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L:\5. LF-REIT III\5.2 Assets in Underwriting\5.2.2 Early Underwriting\Package - 2 Hotels - Wichita\"/>
    </mc:Choice>
  </mc:AlternateContent>
  <xr:revisionPtr revIDLastSave="0" documentId="13_ncr:1_{EEBE7055-48DE-41CD-9565-1A1EDA2A8F6B}" xr6:coauthVersionLast="36" xr6:coauthVersionMax="40" xr10:uidLastSave="{00000000-0000-0000-0000-000000000000}"/>
  <bookViews>
    <workbookView xWindow="0" yWindow="0" windowWidth="28800" windowHeight="12225" tabRatio="816" activeTab="11" xr2:uid="{00000000-000D-0000-FFFF-FFFF00000000}"/>
  </bookViews>
  <sheets>
    <sheet name="Versoning" sheetId="29" r:id="rId1"/>
    <sheet name="Board Summary" sheetId="1" r:id="rId2"/>
    <sheet name="Data Entry" sheetId="2" r:id="rId3"/>
    <sheet name="FastTrack" sheetId="3" r:id="rId4"/>
    <sheet name="Notes" sheetId="13" r:id="rId5"/>
    <sheet name="Key Data" sheetId="4" r:id="rId6"/>
    <sheet name="ProForma" sheetId="5" r:id="rId7"/>
    <sheet name="STR" sheetId="17" r:id="rId8"/>
    <sheet name="Overview" sheetId="16" r:id="rId9"/>
    <sheet name="Property Tax" sheetId="6" r:id="rId10"/>
    <sheet name="PIP &amp; Source &amp; Use" sheetId="7" r:id="rId11"/>
    <sheet name="Pricing" sheetId="8" r:id="rId12"/>
    <sheet name="ValueLock" sheetId="9" r:id="rId13"/>
    <sheet name="DCR Analysis" sheetId="10" r:id="rId14"/>
    <sheet name="Rent" sheetId="12" r:id="rId15"/>
    <sheet name="Sensitivity" sheetId="11" r:id="rId16"/>
    <sheet name="Financing Matrix" sheetId="26" r:id="rId17"/>
    <sheet name="Financing Constants" sheetId="27" r:id="rId18"/>
    <sheet name="Property Data Sheet" sheetId="30" r:id="rId19"/>
    <sheet name="Reports" sheetId="14" r:id="rId20"/>
    <sheet name="Photos-Map" sheetId="15" r:id="rId21"/>
    <sheet name="DCFA" sheetId="18" r:id="rId22"/>
    <sheet name="HOST Projections" sheetId="19" r:id="rId23"/>
    <sheet name="Labor Allocations" sheetId="20" r:id="rId24"/>
    <sheet name="Detail CapX" sheetId="21" r:id="rId25"/>
    <sheet name="Financials" sheetId="22" r:id="rId26"/>
    <sheet name="RevPAR Analysis" sheetId="25" r:id="rId27"/>
  </sheets>
  <externalReferences>
    <externalReference r:id="rId28"/>
    <externalReference r:id="rId29"/>
  </externalReferences>
  <definedNames>
    <definedName name="FedRate.UpperBound.Table" localSheetId="18">[1]FedRate!$A$12:$C$4500</definedName>
    <definedName name="FedRate.UpperBound.Table">#REF!</definedName>
    <definedName name="_xlnm.Print_Area" localSheetId="16">'Financing Matrix'!$A$10:$V$100</definedName>
    <definedName name="_xlnm.Print_Area" localSheetId="8">Overview!$A$1:$I$50</definedName>
    <definedName name="_xlnm.Print_Area" localSheetId="10">'PIP &amp; Source &amp; Use'!$A$1:$P$62</definedName>
    <definedName name="_xlnm.Print_Area" localSheetId="6">ProForma!$A$1:$AQ$87</definedName>
    <definedName name="_xlnm.Print_Area" localSheetId="18">'Property Data Sheet'!$F$9:$H$13</definedName>
    <definedName name="_xlnm.Print_Area" localSheetId="9">'Property Tax'!$A$2:$N$29</definedName>
    <definedName name="Z_03C358DA_88A4_4E12_84B7_BB4E50E89831_.wvu.Cols" localSheetId="13" hidden="1">'DCR Analysis'!$O:$AC</definedName>
    <definedName name="Z_03C358DA_88A4_4E12_84B7_BB4E50E89831_.wvu.Cols" localSheetId="6" hidden="1">ProForma!$AC:$AQ</definedName>
    <definedName name="Z_03C358DA_88A4_4E12_84B7_BB4E50E89831_.wvu.Cols" localSheetId="12" hidden="1">ValueLock!$O:$AC,ValueLock!$AI:$AX</definedName>
    <definedName name="Z_03C358DA_88A4_4E12_84B7_BB4E50E89831_.wvu.PrintArea" localSheetId="10" hidden="1">'PIP &amp; Source &amp; Use'!$A$1:$P$62</definedName>
    <definedName name="Z_03C358DA_88A4_4E12_84B7_BB4E50E89831_.wvu.PrintArea" localSheetId="6" hidden="1">ProForma!$A$1:$AQ$87</definedName>
    <definedName name="Z_03C358DA_88A4_4E12_84B7_BB4E50E89831_.wvu.Rows" localSheetId="22" hidden="1">'HOST Projections'!$46:$46,'HOST Projections'!$48:$59,'HOST Projections'!$86:$92</definedName>
    <definedName name="Z_03C358DA_88A4_4E12_84B7_BB4E50E89831_.wvu.Rows" localSheetId="11" hidden="1">Pricing!$90:$98</definedName>
    <definedName name="Z_03C358DA_88A4_4E12_84B7_BB4E50E89831_.wvu.Rows" localSheetId="6" hidden="1">ProForma!$45:$45,ProForma!$47:$61,ProForma!$74:$76,ProForma!$81:$81</definedName>
    <definedName name="Z_03C358DA_88A4_4E12_84B7_BB4E50E89831_.wvu.Rows" localSheetId="15" hidden="1">Sensitivity!$11:$15</definedName>
    <definedName name="Z_BBA80CC4_398C_41FE_99C8_A75F96D5CA58_.wvu.Cols" localSheetId="13" hidden="1">'DCR Analysis'!$O:$AC</definedName>
    <definedName name="Z_BBA80CC4_398C_41FE_99C8_A75F96D5CA58_.wvu.Cols" localSheetId="6" hidden="1">ProForma!$AC:$AQ</definedName>
    <definedName name="Z_BBA80CC4_398C_41FE_99C8_A75F96D5CA58_.wvu.Cols" localSheetId="12" hidden="1">ValueLock!$O:$AC,ValueLock!$AI:$AX</definedName>
    <definedName name="Z_BBA80CC4_398C_41FE_99C8_A75F96D5CA58_.wvu.PrintArea" localSheetId="10" hidden="1">'PIP &amp; Source &amp; Use'!$A$1:$P$62</definedName>
    <definedName name="Z_BBA80CC4_398C_41FE_99C8_A75F96D5CA58_.wvu.PrintArea" localSheetId="6" hidden="1">ProForma!$A$1:$AQ$87</definedName>
    <definedName name="Z_BBA80CC4_398C_41FE_99C8_A75F96D5CA58_.wvu.Rows" localSheetId="22" hidden="1">'HOST Projections'!$46:$46,'HOST Projections'!$48:$59,'HOST Projections'!$86:$92</definedName>
    <definedName name="Z_BBA80CC4_398C_41FE_99C8_A75F96D5CA58_.wvu.Rows" localSheetId="11" hidden="1">Pricing!$90:$98</definedName>
    <definedName name="Z_BBA80CC4_398C_41FE_99C8_A75F96D5CA58_.wvu.Rows" localSheetId="6" hidden="1">ProForma!$45:$45,ProForma!$47:$61,ProForma!$74:$76,ProForma!$81:$81</definedName>
    <definedName name="Z_BBA80CC4_398C_41FE_99C8_A75F96D5CA58_.wvu.Rows" localSheetId="15" hidden="1">Sensitivity!$11:$15</definedName>
  </definedNames>
  <calcPr calcId="191029"/>
  <customWorkbookViews>
    <customWorkbookView name="Alec Worwa - Personal View" guid="{BBA80CC4-398C-41FE-99C8-A75F96D5CA58}" mergeInterval="0" personalView="1" maximized="1" xWindow="-8" yWindow="-8" windowWidth="1936" windowHeight="1056" activeSheetId="17"/>
    <customWorkbookView name="Norman Leslie - Personal View" guid="{03C358DA-88A4-4E12-84B7-BB4E50E89831}" mergeInterval="0" personalView="1" maximized="1" xWindow="1912" yWindow="-8" windowWidth="1936" windowHeight="1056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5" l="1"/>
  <c r="N8" i="5"/>
  <c r="S66" i="5" l="1"/>
  <c r="S64" i="5"/>
  <c r="N18" i="5"/>
  <c r="N14" i="5" s="1"/>
  <c r="N13" i="5"/>
  <c r="N76" i="5"/>
  <c r="N58" i="5"/>
  <c r="O36" i="5"/>
  <c r="N28" i="5"/>
  <c r="O26" i="5"/>
  <c r="O25" i="5"/>
  <c r="O24" i="5"/>
  <c r="O23" i="5"/>
  <c r="N10" i="5" l="1"/>
  <c r="N20" i="5"/>
  <c r="N67" i="5" l="1"/>
  <c r="O37" i="5"/>
  <c r="O64" i="5"/>
  <c r="O34" i="5"/>
  <c r="O15" i="5"/>
  <c r="O33" i="5"/>
  <c r="N39" i="5"/>
  <c r="N41" i="5" s="1"/>
  <c r="N30" i="5"/>
  <c r="O38" i="5"/>
  <c r="O28" i="5"/>
  <c r="O18" i="5"/>
  <c r="O66" i="5"/>
  <c r="O17" i="5"/>
  <c r="O35" i="5"/>
  <c r="O16" i="5"/>
  <c r="O65" i="5"/>
  <c r="O58" i="5"/>
  <c r="O41" i="5" l="1"/>
  <c r="N45" i="5"/>
  <c r="O45" i="5" s="1"/>
  <c r="O20" i="5"/>
  <c r="O30" i="5" s="1"/>
  <c r="N43" i="5"/>
  <c r="N69" i="5"/>
  <c r="O69" i="5" s="1"/>
  <c r="O67" i="5"/>
  <c r="N60" i="5" l="1"/>
  <c r="O43" i="5"/>
  <c r="N71" i="5" l="1"/>
  <c r="O60" i="5"/>
  <c r="O71" i="5" l="1"/>
  <c r="U66" i="5" l="1"/>
  <c r="W66" i="5" s="1"/>
  <c r="Y66" i="5" s="1"/>
  <c r="AA66" i="5" s="1"/>
  <c r="K36" i="5" l="1"/>
  <c r="J18" i="5" l="1"/>
  <c r="L18" i="5" l="1"/>
  <c r="G14" i="30" l="1"/>
  <c r="G7" i="30"/>
  <c r="G5" i="30"/>
  <c r="G4" i="30"/>
  <c r="C30" i="30"/>
  <c r="B23" i="30"/>
  <c r="B22" i="30" s="1"/>
  <c r="B9" i="30"/>
  <c r="C36" i="30" s="1"/>
  <c r="B7" i="30"/>
  <c r="B4" i="30"/>
  <c r="B3" i="30"/>
  <c r="A72" i="30"/>
  <c r="B72" i="30"/>
  <c r="C72" i="30"/>
  <c r="A73" i="30"/>
  <c r="B73" i="30"/>
  <c r="C73" i="30"/>
  <c r="A74" i="30"/>
  <c r="B74" i="30"/>
  <c r="C74" i="30"/>
  <c r="A75" i="30"/>
  <c r="B75" i="30"/>
  <c r="C75" i="30"/>
  <c r="A76" i="30"/>
  <c r="B76" i="30"/>
  <c r="C76" i="30"/>
  <c r="A77" i="30"/>
  <c r="B77" i="30"/>
  <c r="C77" i="30"/>
  <c r="A78" i="30"/>
  <c r="B78" i="30"/>
  <c r="C78" i="30"/>
  <c r="C71" i="30"/>
  <c r="B71" i="30"/>
  <c r="A71" i="30"/>
  <c r="B43" i="30"/>
  <c r="H5" i="30"/>
  <c r="H4" i="30"/>
  <c r="H6" i="30" s="1"/>
  <c r="C22" i="30" l="1"/>
  <c r="G6" i="30"/>
  <c r="C21" i="30"/>
  <c r="C23" i="30"/>
  <c r="C35" i="30"/>
  <c r="T48" i="26"/>
  <c r="BV179" i="26" s="1"/>
  <c r="Q48" i="26"/>
  <c r="BL179" i="26" s="1"/>
  <c r="T100" i="26"/>
  <c r="T99" i="26"/>
  <c r="Q100" i="26"/>
  <c r="Q99" i="26"/>
  <c r="N100" i="26"/>
  <c r="N99" i="26"/>
  <c r="K100" i="26"/>
  <c r="K99" i="26"/>
  <c r="H100" i="26"/>
  <c r="H99" i="26"/>
  <c r="E100" i="26"/>
  <c r="E99" i="26"/>
  <c r="E14" i="26"/>
  <c r="BL181" i="26" s="1"/>
  <c r="N48" i="26"/>
  <c r="BB179" i="26" s="1"/>
  <c r="K48" i="26"/>
  <c r="AR179" i="26" s="1"/>
  <c r="AA107" i="26"/>
  <c r="W108" i="26"/>
  <c r="AA108" i="26" s="1"/>
  <c r="E48" i="26"/>
  <c r="X179" i="26" s="1"/>
  <c r="H48" i="26"/>
  <c r="AH179" i="26" s="1"/>
  <c r="AG182" i="26"/>
  <c r="AG183" i="26" s="1"/>
  <c r="BY107" i="26"/>
  <c r="BX107" i="26"/>
  <c r="T42" i="26"/>
  <c r="BU108" i="26"/>
  <c r="BY108" i="26" s="1"/>
  <c r="BO181" i="26"/>
  <c r="BK182" i="26"/>
  <c r="BO182" i="26" s="1"/>
  <c r="BE181" i="26"/>
  <c r="BA182" i="26"/>
  <c r="AU181" i="26"/>
  <c r="AQ182" i="26"/>
  <c r="AK181" i="26"/>
  <c r="AA181" i="26"/>
  <c r="W182" i="26"/>
  <c r="AA182" i="26" s="1"/>
  <c r="A1" i="21"/>
  <c r="A1" i="19"/>
  <c r="A1" i="18"/>
  <c r="A1" i="27"/>
  <c r="A1" i="26"/>
  <c r="A1" i="11"/>
  <c r="A1" i="12"/>
  <c r="A1" i="10"/>
  <c r="A1" i="9"/>
  <c r="A1" i="8"/>
  <c r="A1" i="7"/>
  <c r="A35" i="7" s="1"/>
  <c r="A1" i="4"/>
  <c r="A1" i="13"/>
  <c r="A1" i="3"/>
  <c r="A1" i="2"/>
  <c r="A1" i="5"/>
  <c r="E37" i="8"/>
  <c r="E16" i="1" s="1"/>
  <c r="V67" i="5"/>
  <c r="F19" i="7"/>
  <c r="G19" i="7" s="1"/>
  <c r="F20" i="7"/>
  <c r="E36" i="8"/>
  <c r="F21" i="7" s="1"/>
  <c r="G21" i="7" s="1"/>
  <c r="E66" i="2"/>
  <c r="K28" i="7" s="1"/>
  <c r="K24" i="7"/>
  <c r="K25" i="7"/>
  <c r="K26" i="7"/>
  <c r="K27" i="7"/>
  <c r="P40" i="7"/>
  <c r="F10" i="7" s="1"/>
  <c r="F12" i="7"/>
  <c r="B27" i="30" s="1"/>
  <c r="F24" i="7"/>
  <c r="G24" i="7" s="1"/>
  <c r="A55" i="27"/>
  <c r="A67" i="27"/>
  <c r="A79" i="27"/>
  <c r="A78" i="27" s="1"/>
  <c r="A42" i="27"/>
  <c r="A35" i="27"/>
  <c r="A36" i="27"/>
  <c r="B8" i="27"/>
  <c r="E8" i="27"/>
  <c r="F8" i="27"/>
  <c r="B9" i="27"/>
  <c r="E9" i="27"/>
  <c r="F9" i="27"/>
  <c r="B10" i="27"/>
  <c r="E10" i="27"/>
  <c r="F10" i="27"/>
  <c r="B11" i="27"/>
  <c r="E11" i="27"/>
  <c r="F11" i="27"/>
  <c r="B12" i="27"/>
  <c r="E12" i="27"/>
  <c r="F12" i="27"/>
  <c r="B13" i="27"/>
  <c r="E13" i="27"/>
  <c r="F13" i="27"/>
  <c r="B14" i="27"/>
  <c r="E14" i="27"/>
  <c r="F14" i="27"/>
  <c r="B15" i="27"/>
  <c r="E15" i="27"/>
  <c r="F15" i="27"/>
  <c r="B16" i="27"/>
  <c r="E16" i="27"/>
  <c r="F16" i="27"/>
  <c r="B17" i="27"/>
  <c r="E17" i="27"/>
  <c r="F17" i="27"/>
  <c r="B18" i="27"/>
  <c r="E18" i="27"/>
  <c r="F18" i="27"/>
  <c r="B19" i="27"/>
  <c r="E19" i="27"/>
  <c r="F19" i="27"/>
  <c r="B20" i="27"/>
  <c r="E20" i="27"/>
  <c r="F20" i="27"/>
  <c r="B21" i="27"/>
  <c r="E21" i="27"/>
  <c r="F21" i="27"/>
  <c r="B22" i="27"/>
  <c r="E22" i="27"/>
  <c r="F22" i="27"/>
  <c r="B23" i="27"/>
  <c r="E23" i="27"/>
  <c r="F23" i="27"/>
  <c r="B24" i="27"/>
  <c r="E24" i="27"/>
  <c r="F24" i="27"/>
  <c r="B25" i="27"/>
  <c r="E25" i="27"/>
  <c r="F25" i="27"/>
  <c r="B26" i="27"/>
  <c r="E26" i="27"/>
  <c r="F26" i="27"/>
  <c r="B27" i="27"/>
  <c r="E27" i="27"/>
  <c r="F27" i="27"/>
  <c r="B28" i="27"/>
  <c r="E28" i="27"/>
  <c r="F28" i="27"/>
  <c r="B29" i="27"/>
  <c r="E29" i="27"/>
  <c r="F29" i="27"/>
  <c r="B30" i="27"/>
  <c r="E30" i="27"/>
  <c r="F30" i="27"/>
  <c r="B31" i="27"/>
  <c r="E31" i="27"/>
  <c r="F31" i="27"/>
  <c r="B32" i="27"/>
  <c r="E32" i="27"/>
  <c r="F32" i="27"/>
  <c r="B33" i="27"/>
  <c r="E33" i="27"/>
  <c r="F33" i="27"/>
  <c r="B34" i="27"/>
  <c r="E34" i="27"/>
  <c r="F34" i="27"/>
  <c r="B35" i="27"/>
  <c r="C35" i="27"/>
  <c r="D35" i="27"/>
  <c r="E37" i="27"/>
  <c r="E35" i="27" s="1"/>
  <c r="F35" i="27"/>
  <c r="B36" i="27"/>
  <c r="C36" i="27"/>
  <c r="D36" i="27"/>
  <c r="F36" i="27" s="1"/>
  <c r="B37" i="27"/>
  <c r="F37" i="27"/>
  <c r="A38" i="27"/>
  <c r="B38" i="27" s="1"/>
  <c r="C38" i="27"/>
  <c r="D38" i="27"/>
  <c r="E40" i="27"/>
  <c r="F38" i="27"/>
  <c r="A39" i="27"/>
  <c r="B39" i="27" s="1"/>
  <c r="C39" i="27"/>
  <c r="D39" i="27"/>
  <c r="F39" i="27" s="1"/>
  <c r="E39" i="27"/>
  <c r="B40" i="27"/>
  <c r="F40" i="27"/>
  <c r="A41" i="27"/>
  <c r="B41" i="27" s="1"/>
  <c r="C41" i="27"/>
  <c r="D41" i="27"/>
  <c r="F41" i="27" s="1"/>
  <c r="E43" i="27"/>
  <c r="E41" i="27" s="1"/>
  <c r="B42" i="27"/>
  <c r="C42" i="27"/>
  <c r="D42" i="27"/>
  <c r="F42" i="27" s="1"/>
  <c r="B43" i="27"/>
  <c r="F43" i="27"/>
  <c r="A44" i="27"/>
  <c r="B44" i="27" s="1"/>
  <c r="C44" i="27"/>
  <c r="D44" i="27"/>
  <c r="F44" i="27" s="1"/>
  <c r="E46" i="27"/>
  <c r="E44" i="27" s="1"/>
  <c r="A45" i="27"/>
  <c r="B45" i="27" s="1"/>
  <c r="C45" i="27"/>
  <c r="D45" i="27"/>
  <c r="F45" i="27" s="1"/>
  <c r="B46" i="27"/>
  <c r="F46" i="27"/>
  <c r="A47" i="27"/>
  <c r="B47" i="27" s="1"/>
  <c r="C47" i="27"/>
  <c r="D47" i="27"/>
  <c r="F47" i="27" s="1"/>
  <c r="E49" i="27"/>
  <c r="E47" i="27" s="1"/>
  <c r="A48" i="27"/>
  <c r="B48" i="27" s="1"/>
  <c r="C48" i="27"/>
  <c r="D48" i="27"/>
  <c r="F48" i="27" s="1"/>
  <c r="B49" i="27"/>
  <c r="F49" i="27"/>
  <c r="A50" i="27"/>
  <c r="B50" i="27" s="1"/>
  <c r="C50" i="27"/>
  <c r="D50" i="27"/>
  <c r="F50" i="27" s="1"/>
  <c r="E52" i="27"/>
  <c r="E50" i="27" s="1"/>
  <c r="A52" i="27"/>
  <c r="A51" i="27" s="1"/>
  <c r="B51" i="27" s="1"/>
  <c r="C51" i="27"/>
  <c r="D51" i="27"/>
  <c r="F51" i="27" s="1"/>
  <c r="F52" i="27"/>
  <c r="C53" i="27"/>
  <c r="D53" i="27"/>
  <c r="F53" i="27" s="1"/>
  <c r="E55" i="27"/>
  <c r="E53" i="27" s="1"/>
  <c r="A54" i="27"/>
  <c r="B54" i="27" s="1"/>
  <c r="C54" i="27"/>
  <c r="D54" i="27"/>
  <c r="E54" i="27"/>
  <c r="F54" i="27"/>
  <c r="B55" i="27"/>
  <c r="F55" i="27"/>
  <c r="A56" i="27"/>
  <c r="B56" i="27" s="1"/>
  <c r="C56" i="27"/>
  <c r="D56" i="27"/>
  <c r="E58" i="27"/>
  <c r="F56" i="27"/>
  <c r="A58" i="27"/>
  <c r="A57" i="27" s="1"/>
  <c r="B57" i="27" s="1"/>
  <c r="C57" i="27"/>
  <c r="D57" i="27"/>
  <c r="F57" i="27" s="1"/>
  <c r="F58" i="27"/>
  <c r="A59" i="27"/>
  <c r="B59" i="27" s="1"/>
  <c r="C59" i="27"/>
  <c r="D59" i="27"/>
  <c r="E61" i="27"/>
  <c r="E59" i="27" s="1"/>
  <c r="F59" i="27"/>
  <c r="A61" i="27"/>
  <c r="A60" i="27"/>
  <c r="B60" i="27" s="1"/>
  <c r="C60" i="27"/>
  <c r="D60" i="27"/>
  <c r="F60" i="27" s="1"/>
  <c r="B61" i="27"/>
  <c r="F61" i="27"/>
  <c r="A62" i="27"/>
  <c r="B62" i="27" s="1"/>
  <c r="C62" i="27"/>
  <c r="D62" i="27"/>
  <c r="F62" i="27" s="1"/>
  <c r="E64" i="27"/>
  <c r="E63" i="27" s="1"/>
  <c r="A64" i="27"/>
  <c r="A63" i="27"/>
  <c r="B63" i="27" s="1"/>
  <c r="C63" i="27"/>
  <c r="D63" i="27"/>
  <c r="F63" i="27"/>
  <c r="B64" i="27"/>
  <c r="F64" i="27"/>
  <c r="A65" i="27"/>
  <c r="B65" i="27" s="1"/>
  <c r="C65" i="27"/>
  <c r="D65" i="27"/>
  <c r="F65" i="27" s="1"/>
  <c r="E67" i="27"/>
  <c r="A66" i="27"/>
  <c r="B66" i="27" s="1"/>
  <c r="C66" i="27"/>
  <c r="D66" i="27"/>
  <c r="F66" i="27"/>
  <c r="B67" i="27"/>
  <c r="F67" i="27"/>
  <c r="A68" i="27"/>
  <c r="B68" i="27"/>
  <c r="C68" i="27"/>
  <c r="D68" i="27"/>
  <c r="F68" i="27" s="1"/>
  <c r="E70" i="27"/>
  <c r="E68" i="27"/>
  <c r="A70" i="27"/>
  <c r="B70" i="27" s="1"/>
  <c r="C69" i="27"/>
  <c r="D69" i="27"/>
  <c r="F69" i="27"/>
  <c r="F70" i="27"/>
  <c r="C71" i="27"/>
  <c r="D71" i="27"/>
  <c r="F71" i="27" s="1"/>
  <c r="E73" i="27"/>
  <c r="E71" i="27" s="1"/>
  <c r="A73" i="27"/>
  <c r="B73" i="27" s="1"/>
  <c r="C72" i="27"/>
  <c r="D72" i="27"/>
  <c r="F72" i="27" s="1"/>
  <c r="F73" i="27"/>
  <c r="C74" i="27"/>
  <c r="D74" i="27"/>
  <c r="F74" i="27" s="1"/>
  <c r="E76" i="27"/>
  <c r="A76" i="27"/>
  <c r="B76" i="27" s="1"/>
  <c r="C75" i="27"/>
  <c r="D75" i="27"/>
  <c r="F75" i="27"/>
  <c r="F76" i="27"/>
  <c r="C77" i="27"/>
  <c r="D77" i="27"/>
  <c r="F77" i="27" s="1"/>
  <c r="E79" i="27"/>
  <c r="E77" i="27" s="1"/>
  <c r="C78" i="27"/>
  <c r="D78" i="27"/>
  <c r="F78" i="27" s="1"/>
  <c r="E78" i="27"/>
  <c r="F79" i="27"/>
  <c r="C80" i="27"/>
  <c r="D80" i="27"/>
  <c r="F80" i="27" s="1"/>
  <c r="E82" i="27"/>
  <c r="E80" i="27"/>
  <c r="A82" i="27"/>
  <c r="A81" i="27" s="1"/>
  <c r="B81" i="27" s="1"/>
  <c r="C81" i="27"/>
  <c r="D81" i="27"/>
  <c r="F81" i="27" s="1"/>
  <c r="E81" i="27"/>
  <c r="F82" i="27"/>
  <c r="C83" i="27"/>
  <c r="D83" i="27"/>
  <c r="F83" i="27" s="1"/>
  <c r="E85" i="27"/>
  <c r="E83" i="27" s="1"/>
  <c r="A85" i="27"/>
  <c r="A84" i="27" s="1"/>
  <c r="B84" i="27" s="1"/>
  <c r="C84" i="27"/>
  <c r="D84" i="27"/>
  <c r="F84" i="27" s="1"/>
  <c r="F85" i="27"/>
  <c r="C86" i="27"/>
  <c r="D86" i="27"/>
  <c r="F86" i="27" s="1"/>
  <c r="E88" i="27"/>
  <c r="E86" i="27" s="1"/>
  <c r="C87" i="27"/>
  <c r="D87" i="27"/>
  <c r="F87" i="27" s="1"/>
  <c r="F88" i="27"/>
  <c r="C89" i="27"/>
  <c r="D89" i="27"/>
  <c r="F89" i="27" s="1"/>
  <c r="E91" i="27"/>
  <c r="A91" i="27"/>
  <c r="A90" i="27" s="1"/>
  <c r="B90" i="27" s="1"/>
  <c r="C90" i="27"/>
  <c r="D90" i="27"/>
  <c r="F90" i="27" s="1"/>
  <c r="F91" i="27"/>
  <c r="BN181" i="26"/>
  <c r="BY181" i="26"/>
  <c r="BU182" i="26"/>
  <c r="BY182" i="26" s="1"/>
  <c r="BX181" i="26"/>
  <c r="E38" i="8"/>
  <c r="E44" i="26" s="1"/>
  <c r="BD181" i="26"/>
  <c r="AT181" i="26"/>
  <c r="AJ181" i="26"/>
  <c r="Q42" i="26"/>
  <c r="N42" i="26"/>
  <c r="K42" i="26"/>
  <c r="H42" i="26"/>
  <c r="C66" i="4"/>
  <c r="L140" i="4" s="1"/>
  <c r="C72" i="4"/>
  <c r="C73" i="4"/>
  <c r="C74" i="4"/>
  <c r="C75" i="4"/>
  <c r="C91" i="4" s="1"/>
  <c r="C76" i="4"/>
  <c r="C92" i="4" s="1"/>
  <c r="C77" i="4"/>
  <c r="C78" i="4"/>
  <c r="C79" i="4"/>
  <c r="C80" i="4"/>
  <c r="C81" i="4"/>
  <c r="C82" i="4"/>
  <c r="Q141" i="4"/>
  <c r="O36" i="4"/>
  <c r="O41" i="4" s="1"/>
  <c r="C45" i="4"/>
  <c r="F15" i="8" s="1"/>
  <c r="S24" i="5"/>
  <c r="S58" i="5"/>
  <c r="Q142" i="4"/>
  <c r="U16" i="5"/>
  <c r="W16" i="5" s="1"/>
  <c r="V23" i="5"/>
  <c r="X23" i="5" s="1"/>
  <c r="Z23" i="5" s="1"/>
  <c r="AB23" i="5" s="1"/>
  <c r="AD23" i="5" s="1"/>
  <c r="AF23" i="5" s="1"/>
  <c r="AH23" i="5" s="1"/>
  <c r="AJ23" i="5" s="1"/>
  <c r="AL23" i="5" s="1"/>
  <c r="AN23" i="5" s="1"/>
  <c r="V24" i="5"/>
  <c r="U24" i="5" s="1"/>
  <c r="V25" i="5"/>
  <c r="V26" i="5"/>
  <c r="X26" i="5" s="1"/>
  <c r="Z26" i="5" s="1"/>
  <c r="AB26" i="5" s="1"/>
  <c r="AD26" i="5" s="1"/>
  <c r="V33" i="5"/>
  <c r="X33" i="5" s="1"/>
  <c r="Z33" i="5" s="1"/>
  <c r="AB33" i="5" s="1"/>
  <c r="AD33" i="5" s="1"/>
  <c r="AF33" i="5" s="1"/>
  <c r="AH33" i="5" s="1"/>
  <c r="AJ33" i="5" s="1"/>
  <c r="AL33" i="5" s="1"/>
  <c r="AN33" i="5" s="1"/>
  <c r="V34" i="5"/>
  <c r="X34" i="5" s="1"/>
  <c r="Z34" i="5" s="1"/>
  <c r="AB34" i="5" s="1"/>
  <c r="AD34" i="5" s="1"/>
  <c r="AF34" i="5" s="1"/>
  <c r="AH34" i="5" s="1"/>
  <c r="AJ34" i="5" s="1"/>
  <c r="AL34" i="5" s="1"/>
  <c r="AN34" i="5" s="1"/>
  <c r="V35" i="5"/>
  <c r="X35" i="5" s="1"/>
  <c r="Z35" i="5" s="1"/>
  <c r="AB35" i="5" s="1"/>
  <c r="AD35" i="5" s="1"/>
  <c r="AF35" i="5" s="1"/>
  <c r="AH35" i="5" s="1"/>
  <c r="AJ35" i="5" s="1"/>
  <c r="AL35" i="5" s="1"/>
  <c r="AN35" i="5" s="1"/>
  <c r="V36" i="5"/>
  <c r="X36" i="5" s="1"/>
  <c r="Z36" i="5" s="1"/>
  <c r="AB36" i="5" s="1"/>
  <c r="V37" i="5"/>
  <c r="X37" i="5" s="1"/>
  <c r="Z37" i="5" s="1"/>
  <c r="AB37" i="5" s="1"/>
  <c r="AD37" i="5" s="1"/>
  <c r="AF37" i="5" s="1"/>
  <c r="AH37" i="5" s="1"/>
  <c r="AJ37" i="5" s="1"/>
  <c r="AL37" i="5" s="1"/>
  <c r="AN37" i="5" s="1"/>
  <c r="V38" i="5"/>
  <c r="X38" i="5" s="1"/>
  <c r="Z38" i="5" s="1"/>
  <c r="AB38" i="5" s="1"/>
  <c r="V39" i="5"/>
  <c r="X39" i="5" s="1"/>
  <c r="Z39" i="5" s="1"/>
  <c r="AB39" i="5" s="1"/>
  <c r="U58" i="5"/>
  <c r="U64" i="5"/>
  <c r="W64" i="5" s="1"/>
  <c r="Y64" i="5" s="1"/>
  <c r="U65" i="5"/>
  <c r="W65" i="5" s="1"/>
  <c r="Y65" i="5" s="1"/>
  <c r="AA65" i="5" s="1"/>
  <c r="Q143" i="4"/>
  <c r="X24" i="5"/>
  <c r="Z24" i="5" s="1"/>
  <c r="AB24" i="5" s="1"/>
  <c r="AD24" i="5" s="1"/>
  <c r="AF24" i="5" s="1"/>
  <c r="AH24" i="5" s="1"/>
  <c r="AJ24" i="5" s="1"/>
  <c r="AL24" i="5" s="1"/>
  <c r="AN24" i="5" s="1"/>
  <c r="W58" i="5"/>
  <c r="M144" i="4"/>
  <c r="Q144" i="4"/>
  <c r="Y58" i="5"/>
  <c r="M145" i="4"/>
  <c r="Q145" i="4"/>
  <c r="AA58" i="5"/>
  <c r="Y193" i="26"/>
  <c r="Y194" i="26"/>
  <c r="Y195" i="26"/>
  <c r="Y196" i="26"/>
  <c r="Y197" i="26"/>
  <c r="Y198" i="26"/>
  <c r="Y199" i="26"/>
  <c r="Y200" i="26"/>
  <c r="Y201" i="26"/>
  <c r="Y202" i="26"/>
  <c r="Y203" i="26"/>
  <c r="Y204" i="26"/>
  <c r="Y205" i="26"/>
  <c r="Y206" i="26"/>
  <c r="Y207" i="26"/>
  <c r="Y208" i="26"/>
  <c r="Y209" i="26"/>
  <c r="Y210" i="26"/>
  <c r="Y211" i="26"/>
  <c r="Y212" i="26"/>
  <c r="Y213" i="26"/>
  <c r="Y214" i="26"/>
  <c r="Y215" i="26"/>
  <c r="Y216" i="26"/>
  <c r="Y217" i="26"/>
  <c r="Y218" i="26"/>
  <c r="Y219" i="26"/>
  <c r="Y220" i="26"/>
  <c r="Y221" i="26"/>
  <c r="Y222" i="26"/>
  <c r="Y223" i="26"/>
  <c r="Y224" i="26"/>
  <c r="Y225" i="26"/>
  <c r="Y226" i="26"/>
  <c r="Y227" i="26"/>
  <c r="Y228" i="26"/>
  <c r="Y229" i="26"/>
  <c r="Y230" i="26"/>
  <c r="Y231" i="26"/>
  <c r="Y232" i="26"/>
  <c r="Y233" i="26"/>
  <c r="Y234" i="26"/>
  <c r="Y235" i="26"/>
  <c r="Y236" i="26"/>
  <c r="Y237" i="26"/>
  <c r="Y238" i="26"/>
  <c r="Y239" i="26"/>
  <c r="Y240" i="26"/>
  <c r="AQ178" i="26"/>
  <c r="BV107" i="26"/>
  <c r="BV108" i="26" s="1"/>
  <c r="BV109" i="26" s="1"/>
  <c r="BV110" i="26" s="1"/>
  <c r="BV111" i="26" s="1"/>
  <c r="BV112" i="26" s="1"/>
  <c r="BV113" i="26" s="1"/>
  <c r="BV114" i="26" s="1"/>
  <c r="BV115" i="26" s="1"/>
  <c r="BV116" i="26" s="1"/>
  <c r="BV117" i="26" s="1"/>
  <c r="BV118" i="26" s="1"/>
  <c r="BV119" i="26" s="1"/>
  <c r="BV120" i="26" s="1"/>
  <c r="BV121" i="26" s="1"/>
  <c r="BV122" i="26" s="1"/>
  <c r="BV123" i="26" s="1"/>
  <c r="BV124" i="26" s="1"/>
  <c r="BV125" i="26" s="1"/>
  <c r="BV126" i="26" s="1"/>
  <c r="BV127" i="26" s="1"/>
  <c r="BV128" i="26" s="1"/>
  <c r="BV129" i="26" s="1"/>
  <c r="BV130" i="26" s="1"/>
  <c r="BV131" i="26" s="1"/>
  <c r="BV132" i="26" s="1"/>
  <c r="BV133" i="26" s="1"/>
  <c r="BV134" i="26" s="1"/>
  <c r="BV135" i="26" s="1"/>
  <c r="BV136" i="26" s="1"/>
  <c r="BV137" i="26" s="1"/>
  <c r="BV138" i="26" s="1"/>
  <c r="BV139" i="26" s="1"/>
  <c r="BV140" i="26" s="1"/>
  <c r="BV141" i="26" s="1"/>
  <c r="BV142" i="26" s="1"/>
  <c r="BV143" i="26" s="1"/>
  <c r="BV144" i="26" s="1"/>
  <c r="BV145" i="26" s="1"/>
  <c r="BV146" i="26" s="1"/>
  <c r="BV147" i="26" s="1"/>
  <c r="BV148" i="26" s="1"/>
  <c r="BV149" i="26" s="1"/>
  <c r="BV150" i="26" s="1"/>
  <c r="BV151" i="26" s="1"/>
  <c r="BV152" i="26" s="1"/>
  <c r="BV153" i="26" s="1"/>
  <c r="BV154" i="26" s="1"/>
  <c r="BV155" i="26" s="1"/>
  <c r="BV156" i="26" s="1"/>
  <c r="BV157" i="26" s="1"/>
  <c r="BV158" i="26" s="1"/>
  <c r="BV159" i="26" s="1"/>
  <c r="BV160" i="26" s="1"/>
  <c r="BV161" i="26" s="1"/>
  <c r="BV162" i="26" s="1"/>
  <c r="BV163" i="26" s="1"/>
  <c r="BV164" i="26" s="1"/>
  <c r="BV165" i="26" s="1"/>
  <c r="BV166" i="26" s="1"/>
  <c r="AH107" i="26"/>
  <c r="AH108" i="26" s="1"/>
  <c r="AH109" i="26" s="1"/>
  <c r="AI108" i="26"/>
  <c r="AG178" i="26"/>
  <c r="BY179" i="26"/>
  <c r="BU178" i="26"/>
  <c r="BY105" i="26"/>
  <c r="BV105" i="26"/>
  <c r="BU104" i="26"/>
  <c r="BO179" i="26"/>
  <c r="BK178" i="26"/>
  <c r="BK108" i="26"/>
  <c r="BK109" i="26" s="1"/>
  <c r="BN107" i="26"/>
  <c r="BO107" i="26"/>
  <c r="BO108" i="26"/>
  <c r="BO105" i="26"/>
  <c r="BL105" i="26"/>
  <c r="BK104" i="26"/>
  <c r="BA178" i="26"/>
  <c r="BA104" i="26"/>
  <c r="BD107" i="26"/>
  <c r="AK107" i="26"/>
  <c r="AJ107" i="26"/>
  <c r="BE179" i="26"/>
  <c r="AU179" i="26"/>
  <c r="AK179" i="26"/>
  <c r="AQ104" i="26"/>
  <c r="AG104" i="26"/>
  <c r="BA108" i="26"/>
  <c r="BA109" i="26"/>
  <c r="BA110" i="26" s="1"/>
  <c r="BA111" i="26" s="1"/>
  <c r="BE107" i="26"/>
  <c r="BE108" i="26"/>
  <c r="BE109" i="26"/>
  <c r="BE105" i="26"/>
  <c r="BB105" i="26"/>
  <c r="AU105" i="26"/>
  <c r="AR105" i="26"/>
  <c r="AK105" i="26"/>
  <c r="AA105" i="26"/>
  <c r="AT107" i="26"/>
  <c r="AQ108" i="26"/>
  <c r="AQ109" i="26" s="1"/>
  <c r="AU107" i="26"/>
  <c r="AG108" i="26"/>
  <c r="AG109" i="26"/>
  <c r="AG110" i="26" s="1"/>
  <c r="AG111" i="26" s="1"/>
  <c r="AG112" i="26" s="1"/>
  <c r="AG113" i="26" s="1"/>
  <c r="AG114" i="26" s="1"/>
  <c r="AG115" i="26" s="1"/>
  <c r="AG116" i="26" s="1"/>
  <c r="AG117" i="26" s="1"/>
  <c r="AG118" i="26" s="1"/>
  <c r="AG119" i="26" s="1"/>
  <c r="AG120" i="26" s="1"/>
  <c r="AG121" i="26" s="1"/>
  <c r="AG122" i="26" s="1"/>
  <c r="AG123" i="26" s="1"/>
  <c r="AG124" i="26" s="1"/>
  <c r="AK108" i="26"/>
  <c r="AK111" i="26"/>
  <c r="AK115" i="26"/>
  <c r="AK119" i="26"/>
  <c r="AK123" i="26"/>
  <c r="W104" i="26"/>
  <c r="AA179" i="26"/>
  <c r="X181" i="26"/>
  <c r="X182" i="26" s="1"/>
  <c r="X183" i="26" s="1"/>
  <c r="X184" i="26" s="1"/>
  <c r="X185" i="26" s="1"/>
  <c r="X186" i="26" s="1"/>
  <c r="X187" i="26" s="1"/>
  <c r="X188" i="26" s="1"/>
  <c r="X189" i="26" s="1"/>
  <c r="X190" i="26" s="1"/>
  <c r="X191" i="26" s="1"/>
  <c r="X192" i="26" s="1"/>
  <c r="X193" i="26" s="1"/>
  <c r="X194" i="26" s="1"/>
  <c r="X195" i="26" s="1"/>
  <c r="X196" i="26" s="1"/>
  <c r="X197" i="26" s="1"/>
  <c r="X198" i="26" s="1"/>
  <c r="X199" i="26" s="1"/>
  <c r="X200" i="26" s="1"/>
  <c r="X201" i="26" s="1"/>
  <c r="X202" i="26" s="1"/>
  <c r="X203" i="26" s="1"/>
  <c r="X204" i="26" s="1"/>
  <c r="X205" i="26" s="1"/>
  <c r="X206" i="26" s="1"/>
  <c r="X207" i="26" s="1"/>
  <c r="X208" i="26" s="1"/>
  <c r="X209" i="26" s="1"/>
  <c r="X210" i="26" s="1"/>
  <c r="X211" i="26" s="1"/>
  <c r="X212" i="26" s="1"/>
  <c r="X213" i="26" s="1"/>
  <c r="X214" i="26" s="1"/>
  <c r="X215" i="26" s="1"/>
  <c r="X216" i="26" s="1"/>
  <c r="X217" i="26" s="1"/>
  <c r="X218" i="26" s="1"/>
  <c r="X219" i="26" s="1"/>
  <c r="X220" i="26" s="1"/>
  <c r="X221" i="26" s="1"/>
  <c r="X222" i="26" s="1"/>
  <c r="X223" i="26" s="1"/>
  <c r="X224" i="26" s="1"/>
  <c r="X225" i="26" s="1"/>
  <c r="X226" i="26" s="1"/>
  <c r="X227" i="26" s="1"/>
  <c r="X228" i="26" s="1"/>
  <c r="X229" i="26" s="1"/>
  <c r="X230" i="26" s="1"/>
  <c r="X231" i="26" s="1"/>
  <c r="X232" i="26" s="1"/>
  <c r="X233" i="26" s="1"/>
  <c r="X234" i="26" s="1"/>
  <c r="X235" i="26" s="1"/>
  <c r="X236" i="26" s="1"/>
  <c r="X237" i="26" s="1"/>
  <c r="X238" i="26" s="1"/>
  <c r="X239" i="26" s="1"/>
  <c r="X240" i="26" s="1"/>
  <c r="W178" i="26"/>
  <c r="B3" i="1"/>
  <c r="E17" i="26" s="1"/>
  <c r="E13" i="26"/>
  <c r="E12" i="26"/>
  <c r="A2" i="1"/>
  <c r="E6" i="8"/>
  <c r="B20" i="30" s="1"/>
  <c r="C20" i="30" s="1"/>
  <c r="D20" i="5"/>
  <c r="D67" i="5" s="1"/>
  <c r="F20" i="5"/>
  <c r="F67" i="5" s="1"/>
  <c r="H20" i="5"/>
  <c r="H67" i="5" s="1"/>
  <c r="J20" i="5"/>
  <c r="J67" i="5" s="1"/>
  <c r="L20" i="5"/>
  <c r="L67" i="5" s="1"/>
  <c r="L6" i="6"/>
  <c r="M6" i="6" s="1"/>
  <c r="M10" i="6" s="1"/>
  <c r="E6" i="6"/>
  <c r="D6" i="6"/>
  <c r="D10" i="6" s="1"/>
  <c r="D15" i="6" s="1"/>
  <c r="F6" i="6"/>
  <c r="F7" i="6" s="1"/>
  <c r="G6" i="6"/>
  <c r="H6" i="6"/>
  <c r="H10" i="6" s="1"/>
  <c r="H15" i="6" s="1"/>
  <c r="I6" i="6"/>
  <c r="J6" i="6"/>
  <c r="J10" i="6" s="1"/>
  <c r="J15" i="6" s="1"/>
  <c r="K6" i="6"/>
  <c r="L7" i="6" s="1"/>
  <c r="I13" i="26"/>
  <c r="N135" i="4"/>
  <c r="N116" i="4" s="1"/>
  <c r="N134" i="4"/>
  <c r="N113" i="4" s="1"/>
  <c r="N133" i="4"/>
  <c r="N110" i="4" s="1"/>
  <c r="N132" i="4"/>
  <c r="N109" i="4" s="1"/>
  <c r="N131" i="4"/>
  <c r="N106" i="4" s="1"/>
  <c r="N130" i="4"/>
  <c r="N105" i="4" s="1"/>
  <c r="N129" i="4"/>
  <c r="N104" i="4" s="1"/>
  <c r="N128" i="4"/>
  <c r="N127" i="4"/>
  <c r="N100" i="4" s="1"/>
  <c r="N126" i="4"/>
  <c r="N99" i="4" s="1"/>
  <c r="C113" i="4"/>
  <c r="C116" i="4"/>
  <c r="C99" i="4"/>
  <c r="I50" i="16"/>
  <c r="G50" i="16"/>
  <c r="E50" i="16"/>
  <c r="C50" i="16"/>
  <c r="I44" i="16"/>
  <c r="G44" i="16"/>
  <c r="E44" i="16"/>
  <c r="C44" i="16"/>
  <c r="I38" i="16"/>
  <c r="G38" i="16"/>
  <c r="E38" i="16"/>
  <c r="C38" i="16"/>
  <c r="C48" i="16"/>
  <c r="E48" i="16"/>
  <c r="G48" i="16"/>
  <c r="I48" i="16"/>
  <c r="C49" i="16"/>
  <c r="C9" i="16" s="1"/>
  <c r="E49" i="16"/>
  <c r="E9" i="16" s="1"/>
  <c r="G49" i="16"/>
  <c r="G9" i="16" s="1"/>
  <c r="I49" i="16"/>
  <c r="I9" i="16" s="1"/>
  <c r="I47" i="16"/>
  <c r="G47" i="16"/>
  <c r="E47" i="16"/>
  <c r="C47" i="16"/>
  <c r="I46" i="16"/>
  <c r="G46" i="16"/>
  <c r="E46" i="16"/>
  <c r="C46" i="16"/>
  <c r="C42" i="16"/>
  <c r="E42" i="16"/>
  <c r="G42" i="16"/>
  <c r="I42" i="16"/>
  <c r="C43" i="16"/>
  <c r="E43" i="16"/>
  <c r="G43" i="16"/>
  <c r="I43" i="16"/>
  <c r="I41" i="16"/>
  <c r="G41" i="16"/>
  <c r="E41" i="16"/>
  <c r="C41" i="16"/>
  <c r="I40" i="16"/>
  <c r="G40" i="16"/>
  <c r="E40" i="16"/>
  <c r="C40" i="16"/>
  <c r="C36" i="16"/>
  <c r="E36" i="16"/>
  <c r="G36" i="16"/>
  <c r="I36" i="16"/>
  <c r="C37" i="16"/>
  <c r="E37" i="16"/>
  <c r="G37" i="16"/>
  <c r="I37" i="16"/>
  <c r="I35" i="16"/>
  <c r="G35" i="16"/>
  <c r="E35" i="16"/>
  <c r="C35" i="16"/>
  <c r="I34" i="16"/>
  <c r="G34" i="16"/>
  <c r="E34" i="16"/>
  <c r="C34" i="16"/>
  <c r="C23" i="16"/>
  <c r="E23" i="16"/>
  <c r="G23" i="16"/>
  <c r="I23" i="16"/>
  <c r="C24" i="16"/>
  <c r="E24" i="16"/>
  <c r="G24" i="16"/>
  <c r="I24" i="16"/>
  <c r="I22" i="16"/>
  <c r="G22" i="16"/>
  <c r="E22" i="16"/>
  <c r="C22" i="16"/>
  <c r="I21" i="16"/>
  <c r="G21" i="16"/>
  <c r="E21" i="16"/>
  <c r="C21" i="16"/>
  <c r="C19" i="16"/>
  <c r="E19" i="16"/>
  <c r="G19" i="16"/>
  <c r="I19" i="16"/>
  <c r="I18" i="16"/>
  <c r="G18" i="16"/>
  <c r="E18" i="16"/>
  <c r="C18" i="16"/>
  <c r="I17" i="16"/>
  <c r="G17" i="16"/>
  <c r="E17" i="16"/>
  <c r="C17" i="16"/>
  <c r="I16" i="16"/>
  <c r="G16" i="16"/>
  <c r="E16" i="16"/>
  <c r="C16" i="16"/>
  <c r="I14" i="16"/>
  <c r="G14" i="16"/>
  <c r="E14" i="16"/>
  <c r="C14" i="16"/>
  <c r="I13" i="16"/>
  <c r="G13" i="16"/>
  <c r="E13" i="16"/>
  <c r="C13" i="16"/>
  <c r="I12" i="16"/>
  <c r="G12" i="16"/>
  <c r="E12" i="16"/>
  <c r="C12" i="16"/>
  <c r="I11" i="16"/>
  <c r="G11" i="16"/>
  <c r="E11" i="16"/>
  <c r="C11" i="16"/>
  <c r="A48" i="16"/>
  <c r="A47" i="16"/>
  <c r="A42" i="16"/>
  <c r="A41" i="16"/>
  <c r="A36" i="16"/>
  <c r="A35" i="16"/>
  <c r="F28" i="16"/>
  <c r="D28" i="16"/>
  <c r="B28" i="16"/>
  <c r="A28" i="16"/>
  <c r="A30" i="16"/>
  <c r="A23" i="16"/>
  <c r="A22" i="16"/>
  <c r="A18" i="16"/>
  <c r="A17" i="16"/>
  <c r="A13" i="16"/>
  <c r="A12" i="16"/>
  <c r="A4" i="16"/>
  <c r="F59" i="2"/>
  <c r="E69" i="2" s="1"/>
  <c r="F69" i="2" s="1"/>
  <c r="L69" i="2" s="1"/>
  <c r="E59" i="2"/>
  <c r="D59" i="2"/>
  <c r="B72" i="4"/>
  <c r="B73" i="4"/>
  <c r="B74" i="4"/>
  <c r="B75" i="4"/>
  <c r="B76" i="4"/>
  <c r="B77" i="4"/>
  <c r="M116" i="4"/>
  <c r="L116" i="4"/>
  <c r="K116" i="4"/>
  <c r="J116" i="4"/>
  <c r="S116" i="4" s="1"/>
  <c r="I116" i="4"/>
  <c r="M113" i="4"/>
  <c r="L113" i="4"/>
  <c r="K113" i="4"/>
  <c r="T113" i="4" s="1"/>
  <c r="J113" i="4"/>
  <c r="S113" i="4" s="1"/>
  <c r="I113" i="4"/>
  <c r="M110" i="4"/>
  <c r="L110" i="4"/>
  <c r="K110" i="4"/>
  <c r="J110" i="4"/>
  <c r="I110" i="4"/>
  <c r="W110" i="4" s="1"/>
  <c r="M109" i="4"/>
  <c r="L109" i="4"/>
  <c r="K109" i="4"/>
  <c r="J109" i="4"/>
  <c r="S109" i="4" s="1"/>
  <c r="I109" i="4"/>
  <c r="M106" i="4"/>
  <c r="L106" i="4"/>
  <c r="K106" i="4"/>
  <c r="T106" i="4" s="1"/>
  <c r="J106" i="4"/>
  <c r="I106" i="4"/>
  <c r="M105" i="4"/>
  <c r="L105" i="4"/>
  <c r="K105" i="4"/>
  <c r="J105" i="4"/>
  <c r="S105" i="4" s="1"/>
  <c r="I105" i="4"/>
  <c r="W105" i="4" s="1"/>
  <c r="I104" i="4"/>
  <c r="W104" i="4" s="1"/>
  <c r="W106" i="4"/>
  <c r="M104" i="4"/>
  <c r="L104" i="4"/>
  <c r="U104" i="4" s="1"/>
  <c r="U107" i="4" s="1"/>
  <c r="K104" i="4"/>
  <c r="J104" i="4"/>
  <c r="N101" i="4"/>
  <c r="M101" i="4"/>
  <c r="V101" i="4" s="1"/>
  <c r="L101" i="4"/>
  <c r="K101" i="4"/>
  <c r="J101" i="4"/>
  <c r="I101" i="4"/>
  <c r="R101" i="4" s="1"/>
  <c r="M100" i="4"/>
  <c r="L100" i="4"/>
  <c r="K100" i="4"/>
  <c r="T100" i="4" s="1"/>
  <c r="J100" i="4"/>
  <c r="I100" i="4"/>
  <c r="W100" i="4" s="1"/>
  <c r="M99" i="4"/>
  <c r="V99" i="4" s="1"/>
  <c r="L99" i="4"/>
  <c r="K99" i="4"/>
  <c r="J99" i="4"/>
  <c r="I99" i="4"/>
  <c r="W99" i="4" s="1"/>
  <c r="W116" i="4"/>
  <c r="W109" i="4"/>
  <c r="N65" i="4"/>
  <c r="N64" i="4"/>
  <c r="W64" i="4"/>
  <c r="N63" i="4"/>
  <c r="W63" i="4" s="1"/>
  <c r="P86" i="4"/>
  <c r="R109" i="4"/>
  <c r="AD36" i="5"/>
  <c r="AF36" i="5" s="1"/>
  <c r="AH36" i="5" s="1"/>
  <c r="AJ36" i="5" s="1"/>
  <c r="AL36" i="5" s="1"/>
  <c r="AN36" i="5" s="1"/>
  <c r="AD38" i="5"/>
  <c r="AF38" i="5" s="1"/>
  <c r="AH38" i="5" s="1"/>
  <c r="AJ38" i="5" s="1"/>
  <c r="AL38" i="5" s="1"/>
  <c r="AN38" i="5" s="1"/>
  <c r="O82" i="2"/>
  <c r="O81" i="2"/>
  <c r="O80" i="2"/>
  <c r="O79" i="2"/>
  <c r="H116" i="4"/>
  <c r="H113" i="4"/>
  <c r="H110" i="4"/>
  <c r="H109" i="4"/>
  <c r="H106" i="4"/>
  <c r="H105" i="4"/>
  <c r="H104" i="4"/>
  <c r="H101" i="4"/>
  <c r="H100" i="4"/>
  <c r="H99" i="4"/>
  <c r="D82" i="4"/>
  <c r="H98" i="4" s="1"/>
  <c r="D81" i="4"/>
  <c r="H97" i="4" s="1"/>
  <c r="D80" i="4"/>
  <c r="H96" i="4" s="1"/>
  <c r="D79" i="4"/>
  <c r="H95" i="4" s="1"/>
  <c r="D78" i="4"/>
  <c r="H94" i="4" s="1"/>
  <c r="D77" i="4"/>
  <c r="H93" i="4" s="1"/>
  <c r="D76" i="4"/>
  <c r="H92" i="4" s="1"/>
  <c r="D75" i="4"/>
  <c r="H91" i="4" s="1"/>
  <c r="D74" i="4"/>
  <c r="H90" i="4" s="1"/>
  <c r="D73" i="4"/>
  <c r="H89" i="4" s="1"/>
  <c r="D72" i="4"/>
  <c r="H88" i="4" s="1"/>
  <c r="C110" i="4"/>
  <c r="C109" i="4"/>
  <c r="C106" i="4"/>
  <c r="C105" i="4"/>
  <c r="C104" i="4"/>
  <c r="C101" i="4"/>
  <c r="C100" i="4"/>
  <c r="B116" i="4"/>
  <c r="B113" i="4"/>
  <c r="B110" i="4"/>
  <c r="B109" i="4"/>
  <c r="B106" i="4"/>
  <c r="B105" i="4"/>
  <c r="B104" i="4"/>
  <c r="B101" i="4"/>
  <c r="B100" i="4"/>
  <c r="B97" i="4"/>
  <c r="B96" i="4"/>
  <c r="B95" i="4"/>
  <c r="B94" i="4"/>
  <c r="B93" i="4"/>
  <c r="B92" i="4"/>
  <c r="B91" i="4"/>
  <c r="B90" i="4"/>
  <c r="B89" i="4"/>
  <c r="B88" i="4"/>
  <c r="B98" i="4"/>
  <c r="L79" i="2"/>
  <c r="L80" i="2"/>
  <c r="L81" i="2"/>
  <c r="L82" i="2"/>
  <c r="B99" i="4"/>
  <c r="B136" i="4"/>
  <c r="Z116" i="4"/>
  <c r="G20" i="4"/>
  <c r="I20" i="4"/>
  <c r="K20" i="4"/>
  <c r="M20" i="4"/>
  <c r="M18" i="4"/>
  <c r="K18" i="4"/>
  <c r="I18" i="4"/>
  <c r="G18" i="4"/>
  <c r="M13" i="4"/>
  <c r="K13" i="4"/>
  <c r="I13" i="4"/>
  <c r="M11" i="4"/>
  <c r="K11" i="4"/>
  <c r="I11" i="4"/>
  <c r="G11" i="4"/>
  <c r="G13" i="4"/>
  <c r="Y116" i="4"/>
  <c r="X116" i="4"/>
  <c r="V116" i="4"/>
  <c r="U116" i="4"/>
  <c r="T116" i="4"/>
  <c r="R116" i="4"/>
  <c r="S99" i="4"/>
  <c r="X99" i="4"/>
  <c r="U99" i="4"/>
  <c r="T99" i="4"/>
  <c r="O86" i="4"/>
  <c r="N86" i="4"/>
  <c r="M86" i="4"/>
  <c r="L86" i="4"/>
  <c r="K86" i="4"/>
  <c r="J86" i="4"/>
  <c r="I86" i="4"/>
  <c r="L33" i="2"/>
  <c r="L32" i="2"/>
  <c r="P71" i="4"/>
  <c r="O71" i="4"/>
  <c r="N71" i="4"/>
  <c r="N87" i="4" s="1"/>
  <c r="M71" i="4"/>
  <c r="M87" i="4"/>
  <c r="L71" i="4"/>
  <c r="L87" i="4" s="1"/>
  <c r="K71" i="4"/>
  <c r="K87" i="4"/>
  <c r="J71" i="4"/>
  <c r="J87" i="4" s="1"/>
  <c r="I71" i="4"/>
  <c r="I87" i="4"/>
  <c r="Y65" i="4"/>
  <c r="X65" i="4"/>
  <c r="V65" i="4"/>
  <c r="U65" i="4"/>
  <c r="T65" i="4"/>
  <c r="S65" i="4"/>
  <c r="Y64" i="4"/>
  <c r="X64" i="4"/>
  <c r="V64" i="4"/>
  <c r="U64" i="4"/>
  <c r="T64" i="4"/>
  <c r="S64" i="4"/>
  <c r="Y63" i="4"/>
  <c r="X63" i="4"/>
  <c r="V63" i="4"/>
  <c r="U63" i="4"/>
  <c r="T63" i="4"/>
  <c r="S63" i="4"/>
  <c r="Y62" i="4"/>
  <c r="X62" i="4"/>
  <c r="V62" i="4"/>
  <c r="U62" i="4"/>
  <c r="T62" i="4"/>
  <c r="S62" i="4"/>
  <c r="Y61" i="4"/>
  <c r="X61" i="4"/>
  <c r="V61" i="4"/>
  <c r="U61" i="4"/>
  <c r="T61" i="4"/>
  <c r="S61" i="4"/>
  <c r="Y60" i="4"/>
  <c r="X60" i="4"/>
  <c r="V60" i="4"/>
  <c r="U60" i="4"/>
  <c r="R60" i="4"/>
  <c r="S60" i="4"/>
  <c r="T60" i="4"/>
  <c r="N60" i="4"/>
  <c r="W60" i="4" s="1"/>
  <c r="Y59" i="4"/>
  <c r="X59" i="4"/>
  <c r="V59" i="4"/>
  <c r="U59" i="4"/>
  <c r="T59" i="4"/>
  <c r="S59" i="4"/>
  <c r="Y58" i="4"/>
  <c r="X58" i="4"/>
  <c r="V58" i="4"/>
  <c r="U58" i="4"/>
  <c r="T58" i="4"/>
  <c r="S58" i="4"/>
  <c r="Y57" i="4"/>
  <c r="X57" i="4"/>
  <c r="X66" i="4" s="1"/>
  <c r="V57" i="4"/>
  <c r="U57" i="4"/>
  <c r="T57" i="4"/>
  <c r="S57" i="4"/>
  <c r="Y56" i="4"/>
  <c r="X56" i="4"/>
  <c r="V56" i="4"/>
  <c r="U56" i="4"/>
  <c r="U55" i="4"/>
  <c r="C47" i="4"/>
  <c r="T56" i="4"/>
  <c r="S56" i="4"/>
  <c r="S66" i="4" s="1"/>
  <c r="Y55" i="4"/>
  <c r="X55" i="4"/>
  <c r="V55" i="4"/>
  <c r="T55" i="4"/>
  <c r="T66" i="4" s="1"/>
  <c r="S55" i="4"/>
  <c r="W65" i="4"/>
  <c r="B34" i="3"/>
  <c r="B33" i="3"/>
  <c r="B32" i="3"/>
  <c r="B31" i="3"/>
  <c r="B30" i="3"/>
  <c r="G18" i="7"/>
  <c r="D8" i="5"/>
  <c r="P15" i="5"/>
  <c r="D58" i="5"/>
  <c r="E36" i="5"/>
  <c r="E25" i="5"/>
  <c r="E24" i="5"/>
  <c r="E23" i="5"/>
  <c r="D9" i="5"/>
  <c r="F58" i="5"/>
  <c r="G36" i="5"/>
  <c r="F28" i="5"/>
  <c r="G26" i="5"/>
  <c r="G25" i="5"/>
  <c r="G24" i="5"/>
  <c r="G23" i="5"/>
  <c r="F9" i="5"/>
  <c r="F10" i="5" s="1"/>
  <c r="F8" i="5"/>
  <c r="D26" i="4"/>
  <c r="D25" i="4"/>
  <c r="D21" i="4"/>
  <c r="D14" i="4"/>
  <c r="F26" i="4"/>
  <c r="F25" i="4"/>
  <c r="F21" i="4"/>
  <c r="G22" i="4" s="1"/>
  <c r="F14" i="4"/>
  <c r="F44" i="3"/>
  <c r="F38" i="3"/>
  <c r="E34" i="3"/>
  <c r="F34" i="3" s="1"/>
  <c r="E33" i="3"/>
  <c r="F33" i="3" s="1"/>
  <c r="E32" i="3"/>
  <c r="F32" i="3" s="1"/>
  <c r="E31" i="3"/>
  <c r="F31" i="3" s="1"/>
  <c r="E30" i="3"/>
  <c r="F30" i="3" s="1"/>
  <c r="I37" i="1"/>
  <c r="F54" i="1"/>
  <c r="H37" i="1"/>
  <c r="E54" i="1" s="1"/>
  <c r="G37" i="1"/>
  <c r="D54" i="1" s="1"/>
  <c r="F37" i="1"/>
  <c r="C54" i="1" s="1"/>
  <c r="E37" i="1"/>
  <c r="B54" i="1" s="1"/>
  <c r="E3" i="10"/>
  <c r="M4" i="10"/>
  <c r="K4" i="10"/>
  <c r="I4" i="10"/>
  <c r="G4" i="10"/>
  <c r="E4" i="10"/>
  <c r="G20" i="7"/>
  <c r="AP49" i="5"/>
  <c r="AP58" i="5" s="1"/>
  <c r="AP50" i="5"/>
  <c r="AP54" i="5"/>
  <c r="AP55" i="5"/>
  <c r="AP56" i="5"/>
  <c r="L28" i="5"/>
  <c r="G11" i="30" s="1"/>
  <c r="H11" i="30" s="1"/>
  <c r="J28" i="5"/>
  <c r="K28" i="5" s="1"/>
  <c r="L75" i="4"/>
  <c r="L91" i="4" s="1"/>
  <c r="U91" i="4" s="1"/>
  <c r="K75" i="4"/>
  <c r="K91" i="4" s="1"/>
  <c r="T91" i="4" s="1"/>
  <c r="K76" i="4"/>
  <c r="T76" i="4" s="1"/>
  <c r="K77" i="4"/>
  <c r="K78" i="4"/>
  <c r="T78" i="4" s="1"/>
  <c r="I72" i="4"/>
  <c r="J72" i="4"/>
  <c r="J88" i="4" s="1"/>
  <c r="S88" i="4" s="1"/>
  <c r="I73" i="4"/>
  <c r="J73" i="4"/>
  <c r="S73" i="4" s="1"/>
  <c r="I74" i="4"/>
  <c r="J74" i="4"/>
  <c r="I75" i="4"/>
  <c r="J75" i="4"/>
  <c r="J91" i="4" s="1"/>
  <c r="S91" i="4" s="1"/>
  <c r="I76" i="4"/>
  <c r="R76" i="4" s="1"/>
  <c r="J76" i="4"/>
  <c r="J92" i="4" s="1"/>
  <c r="S92" i="4" s="1"/>
  <c r="I77" i="4"/>
  <c r="I93" i="4" s="1"/>
  <c r="R93" i="4" s="1"/>
  <c r="J77" i="4"/>
  <c r="S77" i="4" s="1"/>
  <c r="I78" i="4"/>
  <c r="J78" i="4"/>
  <c r="J94" i="4" s="1"/>
  <c r="S94" i="4" s="1"/>
  <c r="K72" i="4"/>
  <c r="S78" i="4"/>
  <c r="H8" i="5"/>
  <c r="A1" i="16"/>
  <c r="E10" i="6"/>
  <c r="E15" i="6" s="1"/>
  <c r="K73" i="4"/>
  <c r="K89" i="4" s="1"/>
  <c r="T89" i="4" s="1"/>
  <c r="L73" i="4"/>
  <c r="U73" i="4" s="1"/>
  <c r="M73" i="4"/>
  <c r="M89" i="4" s="1"/>
  <c r="V89" i="4" s="1"/>
  <c r="O73" i="4"/>
  <c r="X89" i="4"/>
  <c r="K74" i="4"/>
  <c r="K90" i="4" s="1"/>
  <c r="L74" i="4"/>
  <c r="L90" i="4" s="1"/>
  <c r="U90" i="4" s="1"/>
  <c r="M74" i="4"/>
  <c r="M90" i="4" s="1"/>
  <c r="V90" i="4" s="1"/>
  <c r="O74" i="4"/>
  <c r="X90" i="4"/>
  <c r="M75" i="4"/>
  <c r="M91" i="4" s="1"/>
  <c r="V91" i="4" s="1"/>
  <c r="O75" i="4"/>
  <c r="X91" i="4"/>
  <c r="L76" i="4"/>
  <c r="L92" i="4" s="1"/>
  <c r="U92" i="4" s="1"/>
  <c r="M76" i="4"/>
  <c r="M92" i="4" s="1"/>
  <c r="V92" i="4" s="1"/>
  <c r="O76" i="4"/>
  <c r="X92" i="4"/>
  <c r="L77" i="4"/>
  <c r="L93" i="4" s="1"/>
  <c r="U93" i="4" s="1"/>
  <c r="M77" i="4"/>
  <c r="M93" i="4" s="1"/>
  <c r="V93" i="4" s="1"/>
  <c r="O77" i="4"/>
  <c r="X77" i="4" s="1"/>
  <c r="X93" i="4"/>
  <c r="L78" i="4"/>
  <c r="M78" i="4"/>
  <c r="M94" i="4" s="1"/>
  <c r="V94" i="4" s="1"/>
  <c r="O78" i="4"/>
  <c r="X78" i="4" s="1"/>
  <c r="X94" i="4"/>
  <c r="I79" i="4"/>
  <c r="I95" i="4" s="1"/>
  <c r="R95" i="4" s="1"/>
  <c r="J79" i="4"/>
  <c r="K79" i="4"/>
  <c r="L79" i="4"/>
  <c r="U79" i="4"/>
  <c r="M79" i="4"/>
  <c r="M95" i="4" s="1"/>
  <c r="V95" i="4" s="1"/>
  <c r="O79" i="4"/>
  <c r="X95" i="4"/>
  <c r="I80" i="4"/>
  <c r="I96" i="4" s="1"/>
  <c r="R96" i="4" s="1"/>
  <c r="J80" i="4"/>
  <c r="K80" i="4"/>
  <c r="K96" i="4" s="1"/>
  <c r="T96" i="4" s="1"/>
  <c r="L80" i="4"/>
  <c r="M80" i="4"/>
  <c r="O80" i="4"/>
  <c r="X96" i="4"/>
  <c r="I81" i="4"/>
  <c r="I97" i="4" s="1"/>
  <c r="R97" i="4" s="1"/>
  <c r="J81" i="4"/>
  <c r="J97" i="4" s="1"/>
  <c r="S97" i="4" s="1"/>
  <c r="K81" i="4"/>
  <c r="L81" i="4"/>
  <c r="M81" i="4"/>
  <c r="M97" i="4"/>
  <c r="V97" i="4" s="1"/>
  <c r="N81" i="4"/>
  <c r="O81" i="4"/>
  <c r="X81" i="4"/>
  <c r="X97" i="4"/>
  <c r="I82" i="4"/>
  <c r="J82" i="4"/>
  <c r="K82" i="4"/>
  <c r="L82" i="4"/>
  <c r="L98" i="4" s="1"/>
  <c r="U98" i="4" s="1"/>
  <c r="M82" i="4"/>
  <c r="N82" i="4"/>
  <c r="O82" i="4"/>
  <c r="X82" i="4" s="1"/>
  <c r="B82" i="4"/>
  <c r="B81" i="4"/>
  <c r="B80" i="4"/>
  <c r="B79" i="4"/>
  <c r="B78" i="4"/>
  <c r="H82" i="4"/>
  <c r="C98" i="4"/>
  <c r="H81" i="4"/>
  <c r="C97" i="4"/>
  <c r="H80" i="4"/>
  <c r="C96" i="4"/>
  <c r="H79" i="4"/>
  <c r="C95" i="4"/>
  <c r="H78" i="4"/>
  <c r="C94" i="4"/>
  <c r="H77" i="4"/>
  <c r="C93" i="4"/>
  <c r="H76" i="4"/>
  <c r="H75" i="4"/>
  <c r="H74" i="4"/>
  <c r="C90" i="4"/>
  <c r="C88" i="4"/>
  <c r="C89" i="4"/>
  <c r="H73" i="4"/>
  <c r="O72" i="4"/>
  <c r="X72" i="4" s="1"/>
  <c r="X88" i="4"/>
  <c r="M72" i="4"/>
  <c r="M88" i="4" s="1"/>
  <c r="V88" i="4" s="1"/>
  <c r="L88" i="4"/>
  <c r="U88" i="4" s="1"/>
  <c r="P66" i="5"/>
  <c r="P65" i="5"/>
  <c r="P64" i="5"/>
  <c r="P38" i="5"/>
  <c r="P37" i="5"/>
  <c r="P36" i="5"/>
  <c r="P35" i="5"/>
  <c r="P34" i="5"/>
  <c r="P33" i="5"/>
  <c r="P26" i="5"/>
  <c r="P25" i="5"/>
  <c r="P24" i="5"/>
  <c r="P23" i="5"/>
  <c r="P18" i="5"/>
  <c r="P17" i="5"/>
  <c r="D17" i="19" s="1"/>
  <c r="P16" i="5"/>
  <c r="D16" i="19" s="1"/>
  <c r="B6" i="12"/>
  <c r="U113" i="4"/>
  <c r="U110" i="4"/>
  <c r="T110" i="4"/>
  <c r="T109" i="4"/>
  <c r="T111" i="4" s="1"/>
  <c r="S110" i="4"/>
  <c r="U109" i="4"/>
  <c r="U106" i="4"/>
  <c r="S106" i="4"/>
  <c r="U105" i="4"/>
  <c r="T105" i="4"/>
  <c r="T104" i="4"/>
  <c r="S104" i="4"/>
  <c r="U101" i="4"/>
  <c r="T101" i="4"/>
  <c r="S101" i="4"/>
  <c r="U100" i="4"/>
  <c r="S100" i="4"/>
  <c r="P81" i="4"/>
  <c r="P80" i="4"/>
  <c r="P79" i="4"/>
  <c r="C26" i="10"/>
  <c r="R24" i="6"/>
  <c r="R23" i="6"/>
  <c r="R22" i="6"/>
  <c r="R21" i="6"/>
  <c r="J18" i="6"/>
  <c r="I18" i="6"/>
  <c r="H18" i="6"/>
  <c r="G18" i="6"/>
  <c r="F18" i="6"/>
  <c r="E18" i="6"/>
  <c r="V15" i="6"/>
  <c r="R15" i="6"/>
  <c r="V14" i="6"/>
  <c r="R14" i="6"/>
  <c r="V13" i="6"/>
  <c r="R13" i="6"/>
  <c r="V12" i="6"/>
  <c r="R12" i="6"/>
  <c r="I10" i="6"/>
  <c r="I15" i="6" s="1"/>
  <c r="G10" i="6"/>
  <c r="G15" i="6" s="1"/>
  <c r="V7" i="6"/>
  <c r="R7" i="6"/>
  <c r="V6" i="6"/>
  <c r="R6" i="6"/>
  <c r="K10" i="6"/>
  <c r="V5" i="6"/>
  <c r="R5" i="6"/>
  <c r="V4" i="6"/>
  <c r="R4" i="6"/>
  <c r="L10" i="6"/>
  <c r="M36" i="5"/>
  <c r="I36" i="5"/>
  <c r="L58" i="5"/>
  <c r="J58" i="5"/>
  <c r="K26" i="5"/>
  <c r="K25" i="5"/>
  <c r="K24" i="5"/>
  <c r="K23" i="5"/>
  <c r="Y113" i="4"/>
  <c r="Y109" i="4"/>
  <c r="Y106" i="4"/>
  <c r="Y104" i="4"/>
  <c r="Y101" i="4"/>
  <c r="Y100" i="4"/>
  <c r="L21" i="4"/>
  <c r="O19" i="4"/>
  <c r="L14" i="4"/>
  <c r="J14" i="4"/>
  <c r="H14" i="4"/>
  <c r="H27" i="4" s="1"/>
  <c r="H11" i="5" s="1"/>
  <c r="C48" i="4"/>
  <c r="R100" i="4"/>
  <c r="V100" i="4"/>
  <c r="X100" i="4"/>
  <c r="X101" i="4"/>
  <c r="R55" i="4"/>
  <c r="R56" i="4"/>
  <c r="R57" i="4"/>
  <c r="R58" i="4"/>
  <c r="R59" i="4"/>
  <c r="R61" i="4"/>
  <c r="R62" i="4"/>
  <c r="R63" i="4"/>
  <c r="R64" i="4"/>
  <c r="R65" i="4"/>
  <c r="Z65" i="4" s="1"/>
  <c r="V113" i="4"/>
  <c r="X113" i="4"/>
  <c r="V110" i="4"/>
  <c r="V111" i="4" s="1"/>
  <c r="X110" i="4"/>
  <c r="X109" i="4"/>
  <c r="V109" i="4"/>
  <c r="X106" i="4"/>
  <c r="X107" i="4" s="1"/>
  <c r="V106" i="4"/>
  <c r="R106" i="4"/>
  <c r="X105" i="4"/>
  <c r="V105" i="4"/>
  <c r="X104" i="4"/>
  <c r="V104" i="4"/>
  <c r="V107" i="4"/>
  <c r="R104" i="4"/>
  <c r="AD39" i="5"/>
  <c r="AF39" i="5" s="1"/>
  <c r="AH39" i="5" s="1"/>
  <c r="AJ39" i="5" s="1"/>
  <c r="AL39" i="5" s="1"/>
  <c r="AN39" i="5" s="1"/>
  <c r="D18" i="19"/>
  <c r="F18" i="19" s="1"/>
  <c r="D26" i="19"/>
  <c r="D65" i="19"/>
  <c r="H65" i="19" s="1"/>
  <c r="D64" i="19"/>
  <c r="F64" i="19" s="1"/>
  <c r="D63" i="19"/>
  <c r="F63" i="19" s="1"/>
  <c r="D62" i="19"/>
  <c r="H62" i="19" s="1"/>
  <c r="D40" i="19"/>
  <c r="D39" i="19"/>
  <c r="D38" i="19"/>
  <c r="D37" i="19"/>
  <c r="D36" i="19"/>
  <c r="D35" i="19"/>
  <c r="D34" i="19"/>
  <c r="D42" i="19" s="1"/>
  <c r="D25" i="19"/>
  <c r="D24" i="19"/>
  <c r="D23" i="19"/>
  <c r="P26" i="19"/>
  <c r="P25" i="19"/>
  <c r="P24" i="19"/>
  <c r="P23" i="19"/>
  <c r="O64" i="19"/>
  <c r="Q64" i="19" s="1"/>
  <c r="O63" i="19"/>
  <c r="Q63" i="19" s="1"/>
  <c r="O62" i="19"/>
  <c r="Q62" i="19" s="1"/>
  <c r="Q56" i="19"/>
  <c r="O56" i="19"/>
  <c r="M56" i="19"/>
  <c r="J56" i="19"/>
  <c r="H56" i="19"/>
  <c r="F56" i="19"/>
  <c r="D56" i="19"/>
  <c r="H9" i="19"/>
  <c r="F9" i="19"/>
  <c r="F10" i="19" s="1"/>
  <c r="H8" i="19"/>
  <c r="F8" i="19"/>
  <c r="A4" i="19"/>
  <c r="L8" i="5"/>
  <c r="C38" i="1" s="1"/>
  <c r="AC58" i="5"/>
  <c r="AE58" i="5"/>
  <c r="AG58" i="5"/>
  <c r="AI58" i="5"/>
  <c r="AK58" i="5"/>
  <c r="AM58" i="5"/>
  <c r="D39" i="1"/>
  <c r="D38" i="1"/>
  <c r="L9" i="5"/>
  <c r="D9" i="19" s="1"/>
  <c r="J9" i="5"/>
  <c r="B39" i="1" s="1"/>
  <c r="J8" i="5"/>
  <c r="B38" i="1" s="1"/>
  <c r="H9" i="5"/>
  <c r="H58" i="5"/>
  <c r="H28" i="5"/>
  <c r="I26" i="5"/>
  <c r="I25" i="5"/>
  <c r="I24" i="5"/>
  <c r="I23" i="5"/>
  <c r="E27" i="2"/>
  <c r="B12" i="12"/>
  <c r="A4" i="11"/>
  <c r="B86" i="1"/>
  <c r="E27" i="11"/>
  <c r="E22" i="11"/>
  <c r="E18" i="11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D30" i="20"/>
  <c r="I30" i="20" s="1"/>
  <c r="H21" i="20"/>
  <c r="G21" i="20"/>
  <c r="F21" i="20"/>
  <c r="E21" i="20"/>
  <c r="I21" i="20" s="1"/>
  <c r="D21" i="20"/>
  <c r="I35" i="8"/>
  <c r="M25" i="5"/>
  <c r="G35" i="8"/>
  <c r="C15" i="18"/>
  <c r="E15" i="18" s="1"/>
  <c r="E17" i="18" s="1"/>
  <c r="E14" i="18"/>
  <c r="A4" i="18"/>
  <c r="E23" i="8"/>
  <c r="A4" i="8"/>
  <c r="F46" i="7"/>
  <c r="F41" i="7"/>
  <c r="B10" i="7"/>
  <c r="B9" i="7"/>
  <c r="A4" i="7"/>
  <c r="P58" i="5"/>
  <c r="M26" i="5"/>
  <c r="M24" i="5"/>
  <c r="A4" i="5"/>
  <c r="AL34" i="4"/>
  <c r="AL32" i="4"/>
  <c r="AL31" i="4"/>
  <c r="L26" i="4"/>
  <c r="J26" i="4"/>
  <c r="H26" i="4"/>
  <c r="L25" i="4"/>
  <c r="J25" i="4"/>
  <c r="H25" i="4"/>
  <c r="J21" i="4"/>
  <c r="H21" i="4"/>
  <c r="A4" i="4"/>
  <c r="C91" i="1"/>
  <c r="B91" i="1" s="1"/>
  <c r="D26" i="1"/>
  <c r="B10" i="1"/>
  <c r="B11" i="1" s="1"/>
  <c r="B23" i="1" s="1"/>
  <c r="M23" i="5"/>
  <c r="F50" i="7"/>
  <c r="AB9" i="10"/>
  <c r="AB11" i="10"/>
  <c r="AC11" i="10" s="1"/>
  <c r="AC13" i="10" s="1"/>
  <c r="AC9" i="10"/>
  <c r="O9" i="10"/>
  <c r="O11" i="10"/>
  <c r="P11" i="10" s="1"/>
  <c r="P9" i="10"/>
  <c r="Q11" i="10"/>
  <c r="Q9" i="10"/>
  <c r="O19" i="10"/>
  <c r="O21" i="10"/>
  <c r="P21" i="10" s="1"/>
  <c r="AB19" i="10"/>
  <c r="AB21" i="10" s="1"/>
  <c r="AC21" i="10" s="1"/>
  <c r="R9" i="10"/>
  <c r="O15" i="10"/>
  <c r="S9" i="10"/>
  <c r="S13" i="10" s="1"/>
  <c r="S17" i="10" s="1"/>
  <c r="T17" i="10" s="1"/>
  <c r="S11" i="10"/>
  <c r="S15" i="10"/>
  <c r="AB15" i="10"/>
  <c r="T9" i="10"/>
  <c r="Q19" i="10"/>
  <c r="Q21" i="10" s="1"/>
  <c r="R21" i="10" s="1"/>
  <c r="U9" i="10"/>
  <c r="Q15" i="10"/>
  <c r="U11" i="10"/>
  <c r="V11" i="10" s="1"/>
  <c r="W9" i="10"/>
  <c r="V9" i="10"/>
  <c r="S19" i="10"/>
  <c r="S21" i="10" s="1"/>
  <c r="U15" i="10"/>
  <c r="V15" i="10" s="1"/>
  <c r="W11" i="10"/>
  <c r="X9" i="10"/>
  <c r="U19" i="10"/>
  <c r="V19" i="10"/>
  <c r="Y11" i="10"/>
  <c r="Y9" i="10"/>
  <c r="Q25" i="10"/>
  <c r="AB25" i="10"/>
  <c r="O25" i="10"/>
  <c r="Z9" i="10"/>
  <c r="W15" i="10"/>
  <c r="W19" i="10"/>
  <c r="X19" i="10" s="1"/>
  <c r="Y15" i="10"/>
  <c r="S25" i="10"/>
  <c r="Y19" i="10"/>
  <c r="U25" i="10"/>
  <c r="Y25" i="10"/>
  <c r="W25" i="10"/>
  <c r="O13" i="10"/>
  <c r="O17" i="10" s="1"/>
  <c r="P17" i="10" s="1"/>
  <c r="N61" i="4"/>
  <c r="N78" i="4" s="1"/>
  <c r="N62" i="4"/>
  <c r="W62" i="4" s="1"/>
  <c r="N55" i="4"/>
  <c r="W55" i="4" s="1"/>
  <c r="U111" i="4"/>
  <c r="N97" i="4"/>
  <c r="W97" i="4" s="1"/>
  <c r="P72" i="4"/>
  <c r="L89" i="4"/>
  <c r="U89" i="4" s="1"/>
  <c r="Y95" i="4"/>
  <c r="Y79" i="4"/>
  <c r="S81" i="4"/>
  <c r="Z81" i="4" s="1"/>
  <c r="L95" i="4"/>
  <c r="U95" i="4" s="1"/>
  <c r="T73" i="4"/>
  <c r="Y96" i="4"/>
  <c r="Y80" i="4"/>
  <c r="J98" i="4"/>
  <c r="S98" i="4" s="1"/>
  <c r="S82" i="4"/>
  <c r="L96" i="4"/>
  <c r="U96" i="4" s="1"/>
  <c r="U80" i="4"/>
  <c r="K95" i="4"/>
  <c r="T95" i="4" s="1"/>
  <c r="T79" i="4"/>
  <c r="K97" i="4"/>
  <c r="T97" i="4" s="1"/>
  <c r="T81" i="4"/>
  <c r="J96" i="4"/>
  <c r="S96" i="4"/>
  <c r="S80" i="4"/>
  <c r="L94" i="4"/>
  <c r="U94" i="4" s="1"/>
  <c r="U78" i="4"/>
  <c r="T90" i="4"/>
  <c r="T74" i="4"/>
  <c r="Y97" i="4"/>
  <c r="Y81" i="4"/>
  <c r="T80" i="4"/>
  <c r="X98" i="4"/>
  <c r="W82" i="4"/>
  <c r="N98" i="4"/>
  <c r="W98" i="4" s="1"/>
  <c r="V82" i="4"/>
  <c r="M98" i="4"/>
  <c r="V98" i="4" s="1"/>
  <c r="R82" i="4"/>
  <c r="I98" i="4"/>
  <c r="R98" i="4" s="1"/>
  <c r="R79" i="4"/>
  <c r="W81" i="4"/>
  <c r="X76" i="4"/>
  <c r="X75" i="4"/>
  <c r="X73" i="4"/>
  <c r="U72" i="4"/>
  <c r="X74" i="4"/>
  <c r="V81" i="4"/>
  <c r="R81" i="4"/>
  <c r="X79" i="4"/>
  <c r="V74" i="4"/>
  <c r="V79" i="4"/>
  <c r="X80" i="4"/>
  <c r="V78" i="4"/>
  <c r="V77" i="4"/>
  <c r="V75" i="4"/>
  <c r="V73" i="4"/>
  <c r="V72" i="4"/>
  <c r="F44" i="7"/>
  <c r="R19" i="10"/>
  <c r="Y13" i="10"/>
  <c r="Y17" i="10" s="1"/>
  <c r="Z17" i="10" s="1"/>
  <c r="P15" i="10"/>
  <c r="J39" i="5"/>
  <c r="J41" i="5" s="1"/>
  <c r="J30" i="5"/>
  <c r="X15" i="10"/>
  <c r="R15" i="10"/>
  <c r="F62" i="19"/>
  <c r="Z11" i="10"/>
  <c r="Z13" i="10" s="1"/>
  <c r="X11" i="10"/>
  <c r="X13" i="10" s="1"/>
  <c r="Q13" i="10"/>
  <c r="Q17" i="10" s="1"/>
  <c r="R17" i="10" s="1"/>
  <c r="H10" i="19"/>
  <c r="P78" i="4"/>
  <c r="Y78" i="4" s="1"/>
  <c r="H63" i="19"/>
  <c r="Z15" i="10"/>
  <c r="P82" i="4"/>
  <c r="Y82" i="4" s="1"/>
  <c r="Y110" i="4"/>
  <c r="P74" i="4"/>
  <c r="Y90" i="4"/>
  <c r="P75" i="4"/>
  <c r="Y75" i="4" s="1"/>
  <c r="H11" i="19"/>
  <c r="K38" i="5"/>
  <c r="K66" i="5"/>
  <c r="K37" i="5"/>
  <c r="K17" i="5"/>
  <c r="K15" i="5"/>
  <c r="K64" i="5"/>
  <c r="K35" i="5"/>
  <c r="K16" i="5"/>
  <c r="K34" i="5"/>
  <c r="C42" i="1"/>
  <c r="K65" i="5"/>
  <c r="K18" i="5"/>
  <c r="K33" i="5"/>
  <c r="D43" i="1"/>
  <c r="U21" i="10"/>
  <c r="R11" i="10"/>
  <c r="R13" i="10" s="1"/>
  <c r="W13" i="10"/>
  <c r="W17" i="10" s="1"/>
  <c r="X17" i="10" s="1"/>
  <c r="I39" i="8"/>
  <c r="I33" i="5"/>
  <c r="I15" i="5"/>
  <c r="I38" i="5"/>
  <c r="T19" i="10"/>
  <c r="I17" i="5"/>
  <c r="B43" i="1"/>
  <c r="K58" i="5"/>
  <c r="N77" i="4"/>
  <c r="N93" i="4" s="1"/>
  <c r="W93" i="4" s="1"/>
  <c r="Y111" i="4"/>
  <c r="Y105" i="4"/>
  <c r="Y107" i="4" s="1"/>
  <c r="Y94" i="4"/>
  <c r="Y91" i="4"/>
  <c r="Y98" i="4"/>
  <c r="Y88" i="4"/>
  <c r="Y72" i="4"/>
  <c r="Y74" i="4"/>
  <c r="G10" i="7"/>
  <c r="P77" i="4"/>
  <c r="Y77" i="4" s="1"/>
  <c r="P76" i="4"/>
  <c r="Y76" i="4" s="1"/>
  <c r="P73" i="4"/>
  <c r="Y73" i="4" s="1"/>
  <c r="Y89" i="4"/>
  <c r="F11" i="19"/>
  <c r="V21" i="10"/>
  <c r="W77" i="4"/>
  <c r="Y92" i="4"/>
  <c r="Y93" i="4"/>
  <c r="Y102" i="4" s="1"/>
  <c r="Y118" i="4" s="1"/>
  <c r="Y66" i="4"/>
  <c r="J34" i="19"/>
  <c r="J42" i="19" s="1"/>
  <c r="C136" i="4"/>
  <c r="Y99" i="4"/>
  <c r="K18" i="6"/>
  <c r="V76" i="4"/>
  <c r="N79" i="4"/>
  <c r="I28" i="5"/>
  <c r="H30" i="5"/>
  <c r="I18" i="5"/>
  <c r="I37" i="5"/>
  <c r="I58" i="5"/>
  <c r="I65" i="5"/>
  <c r="I16" i="5"/>
  <c r="I20" i="5"/>
  <c r="I30" i="5" s="1"/>
  <c r="I34" i="5"/>
  <c r="H39" i="5"/>
  <c r="I66" i="5"/>
  <c r="I35" i="5"/>
  <c r="I64" i="5"/>
  <c r="B42" i="1"/>
  <c r="G28" i="5"/>
  <c r="I94" i="4"/>
  <c r="R94" i="4"/>
  <c r="R78" i="4"/>
  <c r="I91" i="4"/>
  <c r="R91" i="4" s="1"/>
  <c r="R75" i="4"/>
  <c r="K98" i="4"/>
  <c r="T98" i="4" s="1"/>
  <c r="T82" i="4"/>
  <c r="U81" i="4"/>
  <c r="L97" i="4"/>
  <c r="U97" i="4" s="1"/>
  <c r="M96" i="4"/>
  <c r="V96" i="4" s="1"/>
  <c r="V80" i="4"/>
  <c r="J95" i="4"/>
  <c r="S95" i="4" s="1"/>
  <c r="S79" i="4"/>
  <c r="X102" i="4"/>
  <c r="K88" i="4"/>
  <c r="T88" i="4" s="1"/>
  <c r="T72" i="4"/>
  <c r="H64" i="19"/>
  <c r="T77" i="4"/>
  <c r="K93" i="4"/>
  <c r="T93" i="4" s="1"/>
  <c r="N72" i="4"/>
  <c r="N88" i="4" s="1"/>
  <c r="W88" i="4" s="1"/>
  <c r="Y21" i="10"/>
  <c r="Z19" i="10"/>
  <c r="R74" i="4"/>
  <c r="I90" i="4"/>
  <c r="R90" i="4" s="1"/>
  <c r="AC19" i="10"/>
  <c r="P19" i="10"/>
  <c r="I89" i="4"/>
  <c r="R89" i="4" s="1"/>
  <c r="R73" i="4"/>
  <c r="I88" i="4"/>
  <c r="R88" i="4" s="1"/>
  <c r="R72" i="4"/>
  <c r="G35" i="5"/>
  <c r="G17" i="5"/>
  <c r="W113" i="4"/>
  <c r="R113" i="4"/>
  <c r="W79" i="4"/>
  <c r="N95" i="4"/>
  <c r="W95" i="4" s="1"/>
  <c r="Z21" i="10"/>
  <c r="AG184" i="26" l="1"/>
  <c r="AG185" i="26" s="1"/>
  <c r="AK183" i="26"/>
  <c r="S111" i="4"/>
  <c r="Z109" i="4"/>
  <c r="H23" i="20"/>
  <c r="E23" i="20"/>
  <c r="I23" i="20"/>
  <c r="D23" i="20"/>
  <c r="F23" i="20"/>
  <c r="G23" i="20"/>
  <c r="T107" i="4"/>
  <c r="Z100" i="4"/>
  <c r="E51" i="27"/>
  <c r="J93" i="4"/>
  <c r="S93" i="4" s="1"/>
  <c r="Z93" i="4" s="1"/>
  <c r="K20" i="5"/>
  <c r="U82" i="4"/>
  <c r="N59" i="4"/>
  <c r="W59" i="4" s="1"/>
  <c r="T21" i="10"/>
  <c r="P13" i="10"/>
  <c r="AC15" i="10"/>
  <c r="G38" i="8"/>
  <c r="E29" i="11"/>
  <c r="J64" i="19"/>
  <c r="R110" i="4"/>
  <c r="F10" i="6"/>
  <c r="F15" i="6" s="1"/>
  <c r="F17" i="6" s="1"/>
  <c r="K94" i="4"/>
  <c r="T94" i="4" s="1"/>
  <c r="J7" i="6"/>
  <c r="X107" i="26"/>
  <c r="X108" i="26" s="1"/>
  <c r="X109" i="26" s="1"/>
  <c r="X110" i="26" s="1"/>
  <c r="X111" i="26" s="1"/>
  <c r="X112" i="26" s="1"/>
  <c r="X113" i="26" s="1"/>
  <c r="X114" i="26" s="1"/>
  <c r="X115" i="26" s="1"/>
  <c r="X116" i="26" s="1"/>
  <c r="X117" i="26" s="1"/>
  <c r="X118" i="26" s="1"/>
  <c r="X119" i="26" s="1"/>
  <c r="X120" i="26" s="1"/>
  <c r="X121" i="26" s="1"/>
  <c r="X122" i="26" s="1"/>
  <c r="X123" i="26" s="1"/>
  <c r="X124" i="26" s="1"/>
  <c r="X125" i="26" s="1"/>
  <c r="X126" i="26" s="1"/>
  <c r="X127" i="26" s="1"/>
  <c r="X128" i="26" s="1"/>
  <c r="X129" i="26" s="1"/>
  <c r="X130" i="26" s="1"/>
  <c r="X131" i="26" s="1"/>
  <c r="X132" i="26" s="1"/>
  <c r="X133" i="26" s="1"/>
  <c r="X134" i="26" s="1"/>
  <c r="X135" i="26" s="1"/>
  <c r="X136" i="26" s="1"/>
  <c r="X137" i="26" s="1"/>
  <c r="X138" i="26" s="1"/>
  <c r="X139" i="26" s="1"/>
  <c r="X140" i="26" s="1"/>
  <c r="X141" i="26" s="1"/>
  <c r="X142" i="26" s="1"/>
  <c r="X143" i="26" s="1"/>
  <c r="X144" i="26" s="1"/>
  <c r="X145" i="26" s="1"/>
  <c r="X146" i="26" s="1"/>
  <c r="X147" i="26" s="1"/>
  <c r="X148" i="26" s="1"/>
  <c r="X149" i="26" s="1"/>
  <c r="X150" i="26" s="1"/>
  <c r="X151" i="26" s="1"/>
  <c r="X152" i="26" s="1"/>
  <c r="X153" i="26" s="1"/>
  <c r="X154" i="26" s="1"/>
  <c r="X155" i="26" s="1"/>
  <c r="X156" i="26" s="1"/>
  <c r="X157" i="26" s="1"/>
  <c r="X158" i="26" s="1"/>
  <c r="X159" i="26" s="1"/>
  <c r="X160" i="26" s="1"/>
  <c r="X161" i="26" s="1"/>
  <c r="X162" i="26" s="1"/>
  <c r="X163" i="26" s="1"/>
  <c r="X164" i="26" s="1"/>
  <c r="X165" i="26" s="1"/>
  <c r="X166" i="26" s="1"/>
  <c r="AK122" i="26"/>
  <c r="AK118" i="26"/>
  <c r="AK114" i="26"/>
  <c r="AK110" i="26"/>
  <c r="AR107" i="26"/>
  <c r="AR108" i="26" s="1"/>
  <c r="E90" i="27"/>
  <c r="E89" i="27"/>
  <c r="A88" i="27"/>
  <c r="A87" i="27" s="1"/>
  <c r="B87" i="27" s="1"/>
  <c r="A80" i="27"/>
  <c r="B80" i="27" s="1"/>
  <c r="E75" i="27"/>
  <c r="E74" i="27"/>
  <c r="B58" i="27"/>
  <c r="E56" i="27"/>
  <c r="E45" i="27"/>
  <c r="E38" i="27"/>
  <c r="W183" i="26"/>
  <c r="AK182" i="26"/>
  <c r="AH181" i="26"/>
  <c r="AH182" i="26" s="1"/>
  <c r="AH183" i="26" s="1"/>
  <c r="Z64" i="4"/>
  <c r="W72" i="4"/>
  <c r="Z79" i="4"/>
  <c r="Z113" i="4"/>
  <c r="D8" i="19"/>
  <c r="J8" i="19" s="1"/>
  <c r="E26" i="19"/>
  <c r="N26" i="19" s="1"/>
  <c r="AB13" i="10"/>
  <c r="AB17" i="10" s="1"/>
  <c r="AC17" i="10" s="1"/>
  <c r="R80" i="4"/>
  <c r="N57" i="4"/>
  <c r="N56" i="4"/>
  <c r="V13" i="10"/>
  <c r="U13" i="10"/>
  <c r="U17" i="10" s="1"/>
  <c r="V17" i="10" s="1"/>
  <c r="T15" i="10"/>
  <c r="E17" i="1"/>
  <c r="I22" i="4"/>
  <c r="X111" i="4"/>
  <c r="X118" i="4" s="1"/>
  <c r="Q25" i="5"/>
  <c r="T75" i="4"/>
  <c r="S74" i="4"/>
  <c r="J90" i="4"/>
  <c r="F36" i="3"/>
  <c r="F40" i="3" s="1"/>
  <c r="Z106" i="4"/>
  <c r="G12" i="7"/>
  <c r="AK121" i="26"/>
  <c r="AK117" i="26"/>
  <c r="AK113" i="26"/>
  <c r="AK109" i="26"/>
  <c r="AH105" i="26"/>
  <c r="BB107" i="26"/>
  <c r="M143" i="4"/>
  <c r="BU183" i="26"/>
  <c r="BY183" i="26" s="1"/>
  <c r="BV181" i="26"/>
  <c r="BV182" i="26" s="1"/>
  <c r="BV183" i="26" s="1"/>
  <c r="BV184" i="26" s="1"/>
  <c r="BV185" i="26" s="1"/>
  <c r="BV186" i="26" s="1"/>
  <c r="BV187" i="26" s="1"/>
  <c r="BV188" i="26" s="1"/>
  <c r="BV189" i="26" s="1"/>
  <c r="BV190" i="26" s="1"/>
  <c r="BV191" i="26" s="1"/>
  <c r="BV192" i="26" s="1"/>
  <c r="BV193" i="26" s="1"/>
  <c r="BV194" i="26" s="1"/>
  <c r="BV195" i="26" s="1"/>
  <c r="BV196" i="26" s="1"/>
  <c r="BV197" i="26" s="1"/>
  <c r="BV198" i="26" s="1"/>
  <c r="BV199" i="26" s="1"/>
  <c r="BV200" i="26" s="1"/>
  <c r="BV201" i="26" s="1"/>
  <c r="BV202" i="26" s="1"/>
  <c r="BV203" i="26" s="1"/>
  <c r="BV204" i="26" s="1"/>
  <c r="BV205" i="26" s="1"/>
  <c r="BV206" i="26" s="1"/>
  <c r="BV207" i="26" s="1"/>
  <c r="BV208" i="26" s="1"/>
  <c r="BV209" i="26" s="1"/>
  <c r="BV210" i="26" s="1"/>
  <c r="BV211" i="26" s="1"/>
  <c r="BV212" i="26" s="1"/>
  <c r="BV213" i="26" s="1"/>
  <c r="BV214" i="26" s="1"/>
  <c r="BV215" i="26" s="1"/>
  <c r="BV216" i="26" s="1"/>
  <c r="BV217" i="26" s="1"/>
  <c r="BV218" i="26" s="1"/>
  <c r="BV219" i="26" s="1"/>
  <c r="BV220" i="26" s="1"/>
  <c r="BV221" i="26" s="1"/>
  <c r="BV222" i="26" s="1"/>
  <c r="BV223" i="26" s="1"/>
  <c r="BV224" i="26" s="1"/>
  <c r="BV225" i="26" s="1"/>
  <c r="BV226" i="26" s="1"/>
  <c r="BV227" i="26" s="1"/>
  <c r="BV228" i="26" s="1"/>
  <c r="BV229" i="26" s="1"/>
  <c r="BV230" i="26" s="1"/>
  <c r="BV231" i="26" s="1"/>
  <c r="BV232" i="26" s="1"/>
  <c r="BV233" i="26" s="1"/>
  <c r="BV234" i="26" s="1"/>
  <c r="BV235" i="26" s="1"/>
  <c r="BV236" i="26" s="1"/>
  <c r="BV237" i="26" s="1"/>
  <c r="BV238" i="26" s="1"/>
  <c r="BV239" i="26" s="1"/>
  <c r="BV240" i="26" s="1"/>
  <c r="E87" i="27"/>
  <c r="E65" i="27"/>
  <c r="E60" i="27"/>
  <c r="E48" i="27"/>
  <c r="BU109" i="26"/>
  <c r="W109" i="26"/>
  <c r="W110" i="26" s="1"/>
  <c r="AA110" i="26" s="1"/>
  <c r="E42" i="26"/>
  <c r="Y183" i="26" s="1"/>
  <c r="N73" i="5"/>
  <c r="N80" i="5"/>
  <c r="T11" i="10"/>
  <c r="T13" i="10" s="1"/>
  <c r="C46" i="4"/>
  <c r="N58" i="4"/>
  <c r="Z62" i="4"/>
  <c r="M22" i="4"/>
  <c r="R105" i="4"/>
  <c r="R107" i="4" s="1"/>
  <c r="R99" i="4"/>
  <c r="Z99" i="4" s="1"/>
  <c r="Z63" i="4"/>
  <c r="W101" i="4"/>
  <c r="Z101" i="4" s="1"/>
  <c r="AK120" i="26"/>
  <c r="AK116" i="26"/>
  <c r="AK112" i="26"/>
  <c r="BL107" i="26"/>
  <c r="BM107" i="26" s="1"/>
  <c r="M142" i="4"/>
  <c r="E84" i="27"/>
  <c r="B79" i="27"/>
  <c r="E72" i="27"/>
  <c r="E62" i="27"/>
  <c r="E57" i="27"/>
  <c r="E36" i="27"/>
  <c r="BK183" i="26"/>
  <c r="K15" i="4"/>
  <c r="D40" i="1"/>
  <c r="F26" i="19"/>
  <c r="H18" i="19"/>
  <c r="H26" i="19" s="1"/>
  <c r="J62" i="19"/>
  <c r="L13" i="5"/>
  <c r="L14" i="5"/>
  <c r="D10" i="5"/>
  <c r="L10" i="5"/>
  <c r="C39" i="1"/>
  <c r="C40" i="1" s="1"/>
  <c r="D28" i="19"/>
  <c r="B13" i="1"/>
  <c r="B25" i="1" s="1"/>
  <c r="F25" i="1" s="1"/>
  <c r="B12" i="1"/>
  <c r="G37" i="8"/>
  <c r="E28" i="11"/>
  <c r="J23" i="8"/>
  <c r="E6" i="11"/>
  <c r="B73" i="1"/>
  <c r="C73" i="1" s="1"/>
  <c r="J14" i="8"/>
  <c r="B8" i="1"/>
  <c r="J45" i="5"/>
  <c r="K45" i="5" s="1"/>
  <c r="P28" i="5"/>
  <c r="C43" i="1"/>
  <c r="H67" i="19"/>
  <c r="Q36" i="5"/>
  <c r="D46" i="19"/>
  <c r="Q26" i="5"/>
  <c r="M16" i="5"/>
  <c r="M35" i="5"/>
  <c r="M15" i="5"/>
  <c r="M64" i="5"/>
  <c r="M34" i="5"/>
  <c r="M37" i="5"/>
  <c r="M58" i="5"/>
  <c r="L30" i="5"/>
  <c r="Q23" i="5"/>
  <c r="M28" i="5"/>
  <c r="D42" i="1"/>
  <c r="M17" i="5"/>
  <c r="D15" i="19"/>
  <c r="E23" i="19" s="1"/>
  <c r="N23" i="19" s="1"/>
  <c r="O23" i="8"/>
  <c r="O26" i="8" s="1"/>
  <c r="M65" i="5"/>
  <c r="M38" i="5"/>
  <c r="L39" i="5"/>
  <c r="L41" i="5" s="1"/>
  <c r="L45" i="5" s="1"/>
  <c r="M45" i="5" s="1"/>
  <c r="M18" i="5"/>
  <c r="M33" i="5"/>
  <c r="M66" i="5"/>
  <c r="E22" i="2"/>
  <c r="E30" i="2" s="1"/>
  <c r="F30" i="2" s="1"/>
  <c r="L30" i="2" s="1"/>
  <c r="U76" i="4"/>
  <c r="V83" i="4"/>
  <c r="S76" i="4"/>
  <c r="I92" i="4"/>
  <c r="R92" i="4" s="1"/>
  <c r="S72" i="4"/>
  <c r="Z72" i="4" s="1"/>
  <c r="N80" i="4"/>
  <c r="Z55" i="4"/>
  <c r="W61" i="4"/>
  <c r="Z61" i="4" s="1"/>
  <c r="Z82" i="4"/>
  <c r="E19" i="8"/>
  <c r="F19" i="8" s="1"/>
  <c r="F6" i="8"/>
  <c r="F23" i="8"/>
  <c r="M141" i="4"/>
  <c r="J9" i="19"/>
  <c r="M9" i="19"/>
  <c r="P9" i="5"/>
  <c r="B40" i="1"/>
  <c r="P8" i="5"/>
  <c r="X105" i="26"/>
  <c r="H7" i="6"/>
  <c r="E7" i="6"/>
  <c r="F20" i="6"/>
  <c r="AC65" i="5"/>
  <c r="AE65" i="5" s="1"/>
  <c r="AG65" i="5" s="1"/>
  <c r="AI65" i="5" s="1"/>
  <c r="AK65" i="5" s="1"/>
  <c r="AM65" i="5" s="1"/>
  <c r="AP65" i="5"/>
  <c r="AA64" i="5"/>
  <c r="AC64" i="5" s="1"/>
  <c r="AE64" i="5" s="1"/>
  <c r="AG64" i="5" s="1"/>
  <c r="AI64" i="5" s="1"/>
  <c r="AK64" i="5" s="1"/>
  <c r="AM64" i="5" s="1"/>
  <c r="AF26" i="5"/>
  <c r="AH26" i="5" s="1"/>
  <c r="AJ26" i="5" s="1"/>
  <c r="AL26" i="5" s="1"/>
  <c r="AN26" i="5" s="1"/>
  <c r="X67" i="5"/>
  <c r="Z67" i="5" s="1"/>
  <c r="D67" i="19"/>
  <c r="J63" i="19"/>
  <c r="H41" i="5"/>
  <c r="I41" i="5" s="1"/>
  <c r="H43" i="5"/>
  <c r="H60" i="5" s="1"/>
  <c r="G10" i="30"/>
  <c r="K67" i="5"/>
  <c r="J69" i="5"/>
  <c r="K30" i="5"/>
  <c r="K41" i="5"/>
  <c r="J43" i="5"/>
  <c r="M26" i="19"/>
  <c r="J26" i="19"/>
  <c r="J18" i="19"/>
  <c r="M18" i="19" s="1"/>
  <c r="O18" i="19" s="1"/>
  <c r="Q18" i="19" s="1"/>
  <c r="H45" i="5"/>
  <c r="I45" i="5" s="1"/>
  <c r="F16" i="19"/>
  <c r="E24" i="19"/>
  <c r="N24" i="19" s="1"/>
  <c r="D20" i="19"/>
  <c r="E16" i="19" s="1"/>
  <c r="E25" i="19"/>
  <c r="N25" i="19" s="1"/>
  <c r="F17" i="19"/>
  <c r="Q34" i="19"/>
  <c r="Q42" i="19" s="1"/>
  <c r="Q24" i="5"/>
  <c r="P20" i="5"/>
  <c r="Q33" i="5" s="1"/>
  <c r="G67" i="5"/>
  <c r="F69" i="5"/>
  <c r="G69" i="5" s="1"/>
  <c r="G34" i="5"/>
  <c r="F30" i="5"/>
  <c r="G66" i="5"/>
  <c r="G58" i="5"/>
  <c r="G37" i="5"/>
  <c r="G33" i="5"/>
  <c r="G38" i="5"/>
  <c r="G64" i="5"/>
  <c r="G16" i="5"/>
  <c r="F39" i="5"/>
  <c r="F41" i="5" s="1"/>
  <c r="G15" i="5"/>
  <c r="G20" i="5" s="1"/>
  <c r="G30" i="5" s="1"/>
  <c r="G65" i="5"/>
  <c r="G18" i="5"/>
  <c r="S75" i="4"/>
  <c r="J89" i="4"/>
  <c r="S89" i="4" s="1"/>
  <c r="U74" i="4"/>
  <c r="U77" i="4"/>
  <c r="R77" i="4"/>
  <c r="R83" i="4" s="1"/>
  <c r="V66" i="4"/>
  <c r="R66" i="4"/>
  <c r="W78" i="4"/>
  <c r="Z78" i="4" s="1"/>
  <c r="N94" i="4"/>
  <c r="W94" i="4" s="1"/>
  <c r="Z94" i="4" s="1"/>
  <c r="C102" i="4"/>
  <c r="C107" i="4" s="1"/>
  <c r="C111" i="4" s="1"/>
  <c r="C118" i="4" s="1"/>
  <c r="U66" i="4"/>
  <c r="W111" i="4"/>
  <c r="M140" i="4"/>
  <c r="N76" i="4"/>
  <c r="N140" i="4"/>
  <c r="C83" i="4"/>
  <c r="J140" i="4" s="1"/>
  <c r="Z95" i="4"/>
  <c r="O12" i="4"/>
  <c r="Q36" i="4"/>
  <c r="K22" i="4"/>
  <c r="L27" i="4"/>
  <c r="F27" i="4"/>
  <c r="F11" i="5" s="1"/>
  <c r="D27" i="4"/>
  <c r="D11" i="5" s="1"/>
  <c r="J27" i="4"/>
  <c r="J11" i="5" s="1"/>
  <c r="I15" i="4"/>
  <c r="G15" i="4"/>
  <c r="M15" i="4"/>
  <c r="M8" i="19"/>
  <c r="J10" i="5"/>
  <c r="H10" i="5"/>
  <c r="E70" i="2"/>
  <c r="F70" i="2" s="1"/>
  <c r="L70" i="2" s="1"/>
  <c r="AI107" i="26"/>
  <c r="AN107" i="26" s="1"/>
  <c r="AR181" i="26"/>
  <c r="BB181" i="26"/>
  <c r="BB182" i="26" s="1"/>
  <c r="BB183" i="26" s="1"/>
  <c r="AN108" i="26"/>
  <c r="H17" i="6"/>
  <c r="F19" i="6" s="1"/>
  <c r="I17" i="6"/>
  <c r="X83" i="4"/>
  <c r="M67" i="5"/>
  <c r="L69" i="5"/>
  <c r="R102" i="4"/>
  <c r="H16" i="19"/>
  <c r="F24" i="19"/>
  <c r="Z60" i="4"/>
  <c r="Z104" i="4"/>
  <c r="W107" i="4"/>
  <c r="Y83" i="4"/>
  <c r="Z97" i="4"/>
  <c r="U102" i="4"/>
  <c r="U118" i="4" s="1"/>
  <c r="Z59" i="4"/>
  <c r="V102" i="4"/>
  <c r="V118" i="4" s="1"/>
  <c r="T83" i="4"/>
  <c r="E33" i="5"/>
  <c r="E16" i="5"/>
  <c r="E18" i="5"/>
  <c r="E38" i="5"/>
  <c r="D39" i="5"/>
  <c r="D41" i="5" s="1"/>
  <c r="E41" i="5" s="1"/>
  <c r="E35" i="5"/>
  <c r="E17" i="5"/>
  <c r="E66" i="5"/>
  <c r="E37" i="5"/>
  <c r="E34" i="5"/>
  <c r="E58" i="5"/>
  <c r="E15" i="5"/>
  <c r="E65" i="5"/>
  <c r="E64" i="5"/>
  <c r="Z88" i="4"/>
  <c r="Z98" i="4"/>
  <c r="E26" i="18"/>
  <c r="E24" i="18"/>
  <c r="E27" i="18"/>
  <c r="G41" i="18" s="1"/>
  <c r="E25" i="18"/>
  <c r="E23" i="18"/>
  <c r="K15" i="6"/>
  <c r="J17" i="6"/>
  <c r="S107" i="4"/>
  <c r="Z105" i="4"/>
  <c r="P67" i="5"/>
  <c r="H69" i="5"/>
  <c r="I67" i="5"/>
  <c r="U75" i="4"/>
  <c r="S90" i="4"/>
  <c r="K92" i="4"/>
  <c r="T92" i="4" s="1"/>
  <c r="T102" i="4" s="1"/>
  <c r="K7" i="6"/>
  <c r="I7" i="6"/>
  <c r="G7" i="6"/>
  <c r="N6" i="6"/>
  <c r="N10" i="6" s="1"/>
  <c r="AK124" i="26"/>
  <c r="AG125" i="26"/>
  <c r="BA112" i="26"/>
  <c r="BE111" i="26"/>
  <c r="BO109" i="26"/>
  <c r="BK110" i="26"/>
  <c r="Q26" i="19"/>
  <c r="E28" i="20"/>
  <c r="W21" i="10"/>
  <c r="AQ110" i="26"/>
  <c r="AU109" i="26"/>
  <c r="G28" i="20"/>
  <c r="AI109" i="26"/>
  <c r="AH110" i="26"/>
  <c r="AU108" i="26"/>
  <c r="BE110" i="26"/>
  <c r="BR107" i="26"/>
  <c r="AS107" i="26"/>
  <c r="AX107" i="26" s="1"/>
  <c r="Y16" i="5"/>
  <c r="W24" i="5"/>
  <c r="BC107" i="26"/>
  <c r="BH107" i="26" s="1"/>
  <c r="BB108" i="26"/>
  <c r="BC182" i="26"/>
  <c r="AI181" i="26"/>
  <c r="B78" i="27"/>
  <c r="K31" i="7"/>
  <c r="AB67" i="5"/>
  <c r="BL108" i="26"/>
  <c r="X25" i="5"/>
  <c r="B91" i="27"/>
  <c r="B88" i="27"/>
  <c r="B85" i="27"/>
  <c r="B82" i="27"/>
  <c r="A77" i="27"/>
  <c r="B77" i="27" s="1"/>
  <c r="A75" i="27"/>
  <c r="B75" i="27" s="1"/>
  <c r="A74" i="27"/>
  <c r="B74" i="27" s="1"/>
  <c r="A72" i="27"/>
  <c r="B72" i="27" s="1"/>
  <c r="A71" i="27"/>
  <c r="B71" i="27" s="1"/>
  <c r="E69" i="27"/>
  <c r="A69" i="27"/>
  <c r="B69" i="27" s="1"/>
  <c r="E66" i="27"/>
  <c r="B52" i="27"/>
  <c r="E42" i="27"/>
  <c r="Y181" i="26"/>
  <c r="BY109" i="26"/>
  <c r="BU110" i="26"/>
  <c r="Y185" i="26"/>
  <c r="Y184" i="26"/>
  <c r="BE182" i="26"/>
  <c r="BA183" i="26"/>
  <c r="BK184" i="26"/>
  <c r="BO183" i="26"/>
  <c r="A89" i="27"/>
  <c r="B89" i="27" s="1"/>
  <c r="A86" i="27"/>
  <c r="B86" i="27" s="1"/>
  <c r="A83" i="27"/>
  <c r="B83" i="27" s="1"/>
  <c r="A53" i="27"/>
  <c r="B53" i="27" s="1"/>
  <c r="Y108" i="26"/>
  <c r="Y112" i="26"/>
  <c r="Y109" i="26"/>
  <c r="Y114" i="26"/>
  <c r="Y116" i="26"/>
  <c r="Y118" i="26"/>
  <c r="Y110" i="26"/>
  <c r="Y113" i="26"/>
  <c r="Y111" i="26"/>
  <c r="Y117" i="26"/>
  <c r="Y107" i="26"/>
  <c r="Y115" i="26"/>
  <c r="Y120" i="26"/>
  <c r="Y122" i="26"/>
  <c r="Y124" i="26"/>
  <c r="Y126" i="26"/>
  <c r="Y128" i="26"/>
  <c r="Y130" i="26"/>
  <c r="Y143" i="26"/>
  <c r="Y145" i="26"/>
  <c r="Y147" i="26"/>
  <c r="Y149" i="26"/>
  <c r="Y151" i="26"/>
  <c r="Y153" i="26"/>
  <c r="Y132" i="26"/>
  <c r="Y134" i="26"/>
  <c r="Y136" i="26"/>
  <c r="Y138" i="26"/>
  <c r="Y140" i="26"/>
  <c r="Y142" i="26"/>
  <c r="Y155" i="26"/>
  <c r="Y157" i="26"/>
  <c r="Y159" i="26"/>
  <c r="Y161" i="26"/>
  <c r="Y163" i="26"/>
  <c r="Y165" i="26"/>
  <c r="Y119" i="26"/>
  <c r="Y121" i="26"/>
  <c r="Y123" i="26"/>
  <c r="Y125" i="26"/>
  <c r="Y127" i="26"/>
  <c r="Y129" i="26"/>
  <c r="Y144" i="26"/>
  <c r="Y146" i="26"/>
  <c r="Y148" i="26"/>
  <c r="Y150" i="26"/>
  <c r="Y152" i="26"/>
  <c r="Y154" i="26"/>
  <c r="Y135" i="26"/>
  <c r="Y158" i="26"/>
  <c r="Y166" i="26"/>
  <c r="Y137" i="26"/>
  <c r="Y160" i="26"/>
  <c r="Y182" i="26"/>
  <c r="Y186" i="26"/>
  <c r="Y188" i="26"/>
  <c r="Y189" i="26"/>
  <c r="Y190" i="26"/>
  <c r="Y191" i="26"/>
  <c r="Y192" i="26"/>
  <c r="Y131" i="26"/>
  <c r="Y139" i="26"/>
  <c r="Y162" i="26"/>
  <c r="Y133" i="26"/>
  <c r="Y141" i="26"/>
  <c r="Y156" i="26"/>
  <c r="Y164" i="26"/>
  <c r="Y187" i="26"/>
  <c r="AA183" i="26"/>
  <c r="W184" i="26"/>
  <c r="AU182" i="26"/>
  <c r="AQ183" i="26"/>
  <c r="BH182" i="26"/>
  <c r="W111" i="26"/>
  <c r="AI183" i="26"/>
  <c r="AH184" i="26"/>
  <c r="AK184" i="26"/>
  <c r="AA109" i="26"/>
  <c r="AN181" i="26"/>
  <c r="AL181" i="26" s="1"/>
  <c r="AM181" i="26" s="1"/>
  <c r="AI182" i="26"/>
  <c r="BB184" i="26"/>
  <c r="BC183" i="26"/>
  <c r="BW183" i="26"/>
  <c r="BW187" i="26"/>
  <c r="BW191" i="26"/>
  <c r="BW120" i="26"/>
  <c r="BW122" i="26"/>
  <c r="BW124" i="26"/>
  <c r="BW126" i="26"/>
  <c r="BW128" i="26"/>
  <c r="BW130" i="26"/>
  <c r="BW143" i="26"/>
  <c r="BW145" i="26"/>
  <c r="BW182" i="26"/>
  <c r="CB182" i="26" s="1"/>
  <c r="BW186" i="26"/>
  <c r="BW190" i="26"/>
  <c r="BW108" i="26"/>
  <c r="BW110" i="26"/>
  <c r="BW112" i="26"/>
  <c r="BW114" i="26"/>
  <c r="BW116" i="26"/>
  <c r="BW118" i="26"/>
  <c r="BW132" i="26"/>
  <c r="BW134" i="26"/>
  <c r="BW136" i="26"/>
  <c r="BW138" i="26"/>
  <c r="BW140" i="26"/>
  <c r="BW142" i="26"/>
  <c r="BW181" i="26"/>
  <c r="CB181" i="26" s="1"/>
  <c r="BW185" i="26"/>
  <c r="BW189" i="26"/>
  <c r="BW192" i="26"/>
  <c r="BW109" i="26"/>
  <c r="BW117" i="26"/>
  <c r="BW188" i="26"/>
  <c r="BW107" i="26"/>
  <c r="CB107" i="26" s="1"/>
  <c r="BW115" i="26"/>
  <c r="BW131" i="26"/>
  <c r="BW135" i="26"/>
  <c r="BW139" i="26"/>
  <c r="BW146" i="26"/>
  <c r="BW148" i="26"/>
  <c r="BW150" i="26"/>
  <c r="BW152" i="26"/>
  <c r="BW154" i="26"/>
  <c r="BW206" i="26"/>
  <c r="BW208" i="26"/>
  <c r="BW210" i="26"/>
  <c r="BW212" i="26"/>
  <c r="BW214" i="26"/>
  <c r="BW216" i="26"/>
  <c r="BW229" i="26"/>
  <c r="BW231" i="26"/>
  <c r="BW233" i="26"/>
  <c r="BW235" i="26"/>
  <c r="BW237" i="26"/>
  <c r="BW239" i="26"/>
  <c r="BW111" i="26"/>
  <c r="BW121" i="26"/>
  <c r="BW141" i="26"/>
  <c r="BW151" i="26"/>
  <c r="BW156" i="26"/>
  <c r="BW161" i="26"/>
  <c r="BW164" i="26"/>
  <c r="BW194" i="26"/>
  <c r="BW197" i="26"/>
  <c r="BW202" i="26"/>
  <c r="BW207" i="26"/>
  <c r="BW215" i="26"/>
  <c r="BW217" i="26"/>
  <c r="BW220" i="26"/>
  <c r="BW225" i="26"/>
  <c r="BW228" i="26"/>
  <c r="BW230" i="26"/>
  <c r="BW238" i="26"/>
  <c r="BW184" i="26"/>
  <c r="BW113" i="26"/>
  <c r="BW127" i="26"/>
  <c r="BW137" i="26"/>
  <c r="BW149" i="26"/>
  <c r="BW159" i="26"/>
  <c r="BW162" i="26"/>
  <c r="BW195" i="26"/>
  <c r="BW200" i="26"/>
  <c r="BW203" i="26"/>
  <c r="BW205" i="26"/>
  <c r="BW213" i="26"/>
  <c r="BW218" i="26"/>
  <c r="BW223" i="26"/>
  <c r="BW226" i="26"/>
  <c r="BW236" i="26"/>
  <c r="BW123" i="26"/>
  <c r="BW129" i="26"/>
  <c r="BW133" i="26"/>
  <c r="BW144" i="26"/>
  <c r="BW147" i="26"/>
  <c r="BW157" i="26"/>
  <c r="BW160" i="26"/>
  <c r="BW165" i="26"/>
  <c r="BW193" i="26"/>
  <c r="BW198" i="26"/>
  <c r="BW201" i="26"/>
  <c r="BW211" i="26"/>
  <c r="BW221" i="26"/>
  <c r="BW224" i="26"/>
  <c r="BW234" i="26"/>
  <c r="BW158" i="26"/>
  <c r="BW204" i="26"/>
  <c r="BW196" i="26"/>
  <c r="BW227" i="26"/>
  <c r="BW119" i="26"/>
  <c r="BW153" i="26"/>
  <c r="BW163" i="26"/>
  <c r="BW199" i="26"/>
  <c r="BW209" i="26"/>
  <c r="BW219" i="26"/>
  <c r="BW240" i="26"/>
  <c r="BW155" i="26"/>
  <c r="BW222" i="26"/>
  <c r="BW166" i="26"/>
  <c r="BW232" i="26"/>
  <c r="BW125" i="26"/>
  <c r="AR182" i="26"/>
  <c r="AS181" i="26"/>
  <c r="AX181" i="26" s="1"/>
  <c r="BM181" i="26"/>
  <c r="BR181" i="26" s="1"/>
  <c r="BL182" i="26"/>
  <c r="BC181" i="26"/>
  <c r="BH181" i="26" s="1"/>
  <c r="BU184" i="26" l="1"/>
  <c r="S83" i="4"/>
  <c r="N73" i="4"/>
  <c r="W56" i="4"/>
  <c r="G17" i="6"/>
  <c r="O26" i="19"/>
  <c r="W57" i="4"/>
  <c r="Z57" i="4" s="1"/>
  <c r="N74" i="4"/>
  <c r="R111" i="4"/>
  <c r="Z110" i="4"/>
  <c r="G26" i="20"/>
  <c r="G27" i="20"/>
  <c r="G29" i="20"/>
  <c r="G25" i="20"/>
  <c r="G32" i="20" s="1"/>
  <c r="G34" i="20" s="1"/>
  <c r="E25" i="20"/>
  <c r="E32" i="20" s="1"/>
  <c r="E34" i="20" s="1"/>
  <c r="E29" i="20"/>
  <c r="E26" i="20"/>
  <c r="E27" i="20"/>
  <c r="D29" i="20"/>
  <c r="I29" i="20" s="1"/>
  <c r="D28" i="20"/>
  <c r="I28" i="20" s="1"/>
  <c r="D27" i="20"/>
  <c r="I27" i="20" s="1"/>
  <c r="D25" i="20"/>
  <c r="D26" i="20"/>
  <c r="I26" i="20" s="1"/>
  <c r="F8" i="6"/>
  <c r="R118" i="4"/>
  <c r="AB55" i="4"/>
  <c r="N11" i="5"/>
  <c r="N81" i="5"/>
  <c r="N74" i="5"/>
  <c r="N87" i="5" s="1"/>
  <c r="W58" i="4"/>
  <c r="Z58" i="4" s="1"/>
  <c r="N75" i="4"/>
  <c r="N91" i="5"/>
  <c r="N78" i="5"/>
  <c r="N83" i="5" s="1"/>
  <c r="N89" i="5"/>
  <c r="F27" i="20"/>
  <c r="F26" i="20"/>
  <c r="F29" i="20"/>
  <c r="F28" i="20"/>
  <c r="F25" i="20"/>
  <c r="F32" i="20" s="1"/>
  <c r="F34" i="20" s="1"/>
  <c r="H29" i="20"/>
  <c r="H28" i="20"/>
  <c r="H25" i="20"/>
  <c r="H32" i="20" s="1"/>
  <c r="H34" i="20" s="1"/>
  <c r="H27" i="20"/>
  <c r="H26" i="20"/>
  <c r="AK185" i="26"/>
  <c r="AG186" i="26"/>
  <c r="L11" i="5"/>
  <c r="E26" i="2" s="1"/>
  <c r="P10" i="5"/>
  <c r="D10" i="19"/>
  <c r="E25" i="2"/>
  <c r="AI81" i="5"/>
  <c r="O72" i="19"/>
  <c r="H72" i="19"/>
  <c r="Q72" i="19"/>
  <c r="P74" i="5"/>
  <c r="AM81" i="5"/>
  <c r="P81" i="5"/>
  <c r="S81" i="5"/>
  <c r="O24" i="10"/>
  <c r="H74" i="5"/>
  <c r="W74" i="5"/>
  <c r="AI74" i="5"/>
  <c r="AE81" i="5"/>
  <c r="AP74" i="5"/>
  <c r="F72" i="19"/>
  <c r="G39" i="8"/>
  <c r="U24" i="10"/>
  <c r="AK81" i="5"/>
  <c r="U81" i="5"/>
  <c r="W24" i="10"/>
  <c r="O79" i="19"/>
  <c r="AA74" i="5"/>
  <c r="Y24" i="10"/>
  <c r="Y74" i="5"/>
  <c r="AE74" i="5"/>
  <c r="S74" i="5"/>
  <c r="L81" i="5"/>
  <c r="AA81" i="5"/>
  <c r="AK74" i="5"/>
  <c r="AG81" i="5"/>
  <c r="Q24" i="10"/>
  <c r="M79" i="19"/>
  <c r="L74" i="5"/>
  <c r="J74" i="5"/>
  <c r="H79" i="19"/>
  <c r="D79" i="19"/>
  <c r="AC81" i="5"/>
  <c r="D72" i="19"/>
  <c r="F79" i="19"/>
  <c r="J79" i="19"/>
  <c r="D81" i="5"/>
  <c r="AG74" i="5"/>
  <c r="Y81" i="5"/>
  <c r="AM74" i="5"/>
  <c r="U74" i="5"/>
  <c r="H81" i="5"/>
  <c r="S24" i="10"/>
  <c r="J72" i="19"/>
  <c r="F81" i="5"/>
  <c r="D74" i="5"/>
  <c r="M72" i="19"/>
  <c r="AC74" i="5"/>
  <c r="AP81" i="5"/>
  <c r="J81" i="5"/>
  <c r="W81" i="5"/>
  <c r="AB24" i="10"/>
  <c r="F74" i="5"/>
  <c r="Q79" i="19"/>
  <c r="AP64" i="5"/>
  <c r="F15" i="19"/>
  <c r="H15" i="19" s="1"/>
  <c r="J15" i="19" s="1"/>
  <c r="L43" i="5"/>
  <c r="L60" i="5" s="1"/>
  <c r="M60" i="5" s="1"/>
  <c r="M20" i="5"/>
  <c r="M30" i="5" s="1"/>
  <c r="M41" i="5"/>
  <c r="Q16" i="5"/>
  <c r="G12" i="30"/>
  <c r="H12" i="30" s="1"/>
  <c r="E65" i="19"/>
  <c r="P39" i="5"/>
  <c r="P41" i="5" s="1"/>
  <c r="P45" i="5" s="1"/>
  <c r="Q45" i="5" s="1"/>
  <c r="B30" i="30"/>
  <c r="N96" i="4"/>
  <c r="W96" i="4" s="1"/>
  <c r="Z96" i="4" s="1"/>
  <c r="W80" i="4"/>
  <c r="Z80" i="4" s="1"/>
  <c r="CB183" i="26"/>
  <c r="BH183" i="26"/>
  <c r="I43" i="5"/>
  <c r="F43" i="5"/>
  <c r="F60" i="5" s="1"/>
  <c r="H10" i="30"/>
  <c r="C44" i="1"/>
  <c r="C45" i="1" s="1"/>
  <c r="K69" i="5"/>
  <c r="J60" i="5"/>
  <c r="K43" i="5"/>
  <c r="E17" i="19"/>
  <c r="Q15" i="5"/>
  <c r="K26" i="19"/>
  <c r="R26" i="19" s="1"/>
  <c r="E46" i="19"/>
  <c r="Q18" i="5"/>
  <c r="P30" i="5"/>
  <c r="Q17" i="5"/>
  <c r="Q64" i="5"/>
  <c r="Q66" i="5"/>
  <c r="Q65" i="5"/>
  <c r="Q37" i="5"/>
  <c r="Q58" i="5"/>
  <c r="Q35" i="5"/>
  <c r="Q34" i="5"/>
  <c r="Q38" i="5"/>
  <c r="B8" i="12"/>
  <c r="Q28" i="5"/>
  <c r="H17" i="19"/>
  <c r="F25" i="19"/>
  <c r="E64" i="19"/>
  <c r="E37" i="19"/>
  <c r="E28" i="19"/>
  <c r="E36" i="19"/>
  <c r="E39" i="19"/>
  <c r="D30" i="19"/>
  <c r="D44" i="19" s="1"/>
  <c r="E42" i="19"/>
  <c r="E62" i="19"/>
  <c r="E56" i="19"/>
  <c r="E63" i="19"/>
  <c r="E40" i="19"/>
  <c r="E35" i="19"/>
  <c r="E18" i="19"/>
  <c r="E34" i="19"/>
  <c r="E15" i="19"/>
  <c r="E38" i="19"/>
  <c r="E67" i="19"/>
  <c r="G41" i="5"/>
  <c r="F45" i="5"/>
  <c r="G45" i="5" s="1"/>
  <c r="Z77" i="4"/>
  <c r="L141" i="4"/>
  <c r="C49" i="4"/>
  <c r="P140" i="4"/>
  <c r="J141" i="4"/>
  <c r="K140" i="4"/>
  <c r="N92" i="4"/>
  <c r="W92" i="4" s="1"/>
  <c r="W76" i="4"/>
  <c r="Q41" i="4"/>
  <c r="S36" i="4"/>
  <c r="Q19" i="4"/>
  <c r="S9" i="5"/>
  <c r="O26" i="4"/>
  <c r="AN109" i="26"/>
  <c r="AV181" i="26"/>
  <c r="AW181" i="26" s="1"/>
  <c r="AY181" i="26" s="1"/>
  <c r="AT182" i="26" s="1"/>
  <c r="BZ181" i="26"/>
  <c r="CA181" i="26" s="1"/>
  <c r="CC181" i="26" s="1"/>
  <c r="BX182" i="26" s="1"/>
  <c r="BZ182" i="26" s="1"/>
  <c r="CA182" i="26" s="1"/>
  <c r="CB108" i="26"/>
  <c r="BF181" i="26"/>
  <c r="BG181" i="26" s="1"/>
  <c r="BI181" i="26" s="1"/>
  <c r="BD182" i="26" s="1"/>
  <c r="BF182" i="26" s="1"/>
  <c r="BG182" i="26" s="1"/>
  <c r="BI182" i="26" s="1"/>
  <c r="BD183" i="26" s="1"/>
  <c r="BP181" i="26"/>
  <c r="BQ181" i="26" s="1"/>
  <c r="BS181" i="26" s="1"/>
  <c r="BN182" i="26" s="1"/>
  <c r="BM182" i="26"/>
  <c r="BR182" i="26" s="1"/>
  <c r="BL183" i="26"/>
  <c r="BC184" i="26"/>
  <c r="BB185" i="26"/>
  <c r="D28" i="5"/>
  <c r="E26" i="5"/>
  <c r="I69" i="5"/>
  <c r="B44" i="1"/>
  <c r="B45" i="1" s="1"/>
  <c r="BC108" i="26"/>
  <c r="BH108" i="26" s="1"/>
  <c r="BB109" i="26"/>
  <c r="AS108" i="26"/>
  <c r="AX108" i="26" s="1"/>
  <c r="AR109" i="26"/>
  <c r="X21" i="10"/>
  <c r="BE112" i="26"/>
  <c r="BA113" i="26"/>
  <c r="S102" i="4"/>
  <c r="S118" i="4" s="1"/>
  <c r="E67" i="5"/>
  <c r="D69" i="5"/>
  <c r="E69" i="5" s="1"/>
  <c r="I60" i="5"/>
  <c r="H71" i="5"/>
  <c r="H24" i="19"/>
  <c r="O24" i="19" s="1"/>
  <c r="D44" i="1"/>
  <c r="D45" i="1" s="1"/>
  <c r="M69" i="5"/>
  <c r="W112" i="26"/>
  <c r="AA111" i="26"/>
  <c r="F9" i="7"/>
  <c r="B26" i="30" s="1"/>
  <c r="C26" i="30" s="1"/>
  <c r="F43" i="7"/>
  <c r="AS182" i="26"/>
  <c r="AX182" i="26" s="1"/>
  <c r="AR183" i="26"/>
  <c r="AH185" i="26"/>
  <c r="AI184" i="26"/>
  <c r="BO184" i="26"/>
  <c r="BK185" i="26"/>
  <c r="BY110" i="26"/>
  <c r="BU111" i="26"/>
  <c r="BY184" i="26"/>
  <c r="BU185" i="26"/>
  <c r="Z25" i="5"/>
  <c r="AO181" i="26"/>
  <c r="AJ182" i="26" s="1"/>
  <c r="AH111" i="26"/>
  <c r="AI110" i="26"/>
  <c r="AN110" i="26" s="1"/>
  <c r="BO110" i="26"/>
  <c r="BK111" i="26"/>
  <c r="AG126" i="26"/>
  <c r="AK125" i="26"/>
  <c r="U83" i="4"/>
  <c r="M15" i="6"/>
  <c r="M16" i="6" s="1"/>
  <c r="L15" i="6"/>
  <c r="T118" i="4"/>
  <c r="G60" i="5"/>
  <c r="F71" i="5"/>
  <c r="J16" i="19"/>
  <c r="BA184" i="26"/>
  <c r="BE183" i="26"/>
  <c r="BM108" i="26"/>
  <c r="BR108" i="26" s="1"/>
  <c r="BL109" i="26"/>
  <c r="AU183" i="26"/>
  <c r="AQ184" i="26"/>
  <c r="W185" i="26"/>
  <c r="AA184" i="26"/>
  <c r="AA16" i="5"/>
  <c r="AP16" i="5" s="1"/>
  <c r="Y24" i="5"/>
  <c r="AU110" i="26"/>
  <c r="AQ111" i="26"/>
  <c r="P69" i="5"/>
  <c r="Q67" i="5"/>
  <c r="E20" i="5"/>
  <c r="M24" i="19"/>
  <c r="AK186" i="26" l="1"/>
  <c r="AG187" i="26"/>
  <c r="W75" i="4"/>
  <c r="Z75" i="4" s="1"/>
  <c r="N91" i="4"/>
  <c r="W91" i="4" s="1"/>
  <c r="Z91" i="4" s="1"/>
  <c r="N90" i="4"/>
  <c r="W90" i="4" s="1"/>
  <c r="Z90" i="4" s="1"/>
  <c r="W74" i="4"/>
  <c r="Z74" i="4" s="1"/>
  <c r="Z56" i="4"/>
  <c r="Z66" i="4" s="1"/>
  <c r="AA60" i="4" s="1"/>
  <c r="W66" i="4"/>
  <c r="W73" i="4"/>
  <c r="Z73" i="4" s="1"/>
  <c r="N89" i="4"/>
  <c r="W89" i="4" s="1"/>
  <c r="Z89" i="4" s="1"/>
  <c r="I25" i="20"/>
  <c r="I32" i="20" s="1"/>
  <c r="I34" i="20" s="1"/>
  <c r="D32" i="20"/>
  <c r="D34" i="20" s="1"/>
  <c r="D11" i="19"/>
  <c r="M11" i="19" s="1"/>
  <c r="P11" i="5"/>
  <c r="F20" i="19"/>
  <c r="J10" i="19"/>
  <c r="M10" i="19"/>
  <c r="F23" i="19"/>
  <c r="M23" i="19" s="1"/>
  <c r="G13" i="30"/>
  <c r="B52" i="30" s="1"/>
  <c r="M43" i="5"/>
  <c r="Q41" i="5"/>
  <c r="P43" i="5"/>
  <c r="Q43" i="5" s="1"/>
  <c r="Q39" i="5"/>
  <c r="Q20" i="5"/>
  <c r="Q30" i="5" s="1"/>
  <c r="L71" i="5"/>
  <c r="O11" i="8" s="1"/>
  <c r="E20" i="19"/>
  <c r="E30" i="19" s="1"/>
  <c r="CC182" i="26"/>
  <c r="BX183" i="26" s="1"/>
  <c r="BZ183" i="26" s="1"/>
  <c r="CA183" i="26" s="1"/>
  <c r="BP182" i="26"/>
  <c r="BQ182" i="26" s="1"/>
  <c r="BS182" i="26" s="1"/>
  <c r="BN183" i="26" s="1"/>
  <c r="AN184" i="26"/>
  <c r="AN182" i="26"/>
  <c r="AL182" i="26" s="1"/>
  <c r="AM182" i="26" s="1"/>
  <c r="AO182" i="26" s="1"/>
  <c r="AJ183" i="26" s="1"/>
  <c r="AN183" i="26"/>
  <c r="G43" i="5"/>
  <c r="K60" i="5"/>
  <c r="J71" i="5"/>
  <c r="K71" i="5" s="1"/>
  <c r="J24" i="19"/>
  <c r="P34" i="19"/>
  <c r="N34" i="19"/>
  <c r="P37" i="19"/>
  <c r="N37" i="19"/>
  <c r="N39" i="19"/>
  <c r="P39" i="19"/>
  <c r="D58" i="19"/>
  <c r="E44" i="19"/>
  <c r="P38" i="19"/>
  <c r="N38" i="19"/>
  <c r="P35" i="19"/>
  <c r="N35" i="19"/>
  <c r="P36" i="19"/>
  <c r="N36" i="19"/>
  <c r="M25" i="19"/>
  <c r="N40" i="19"/>
  <c r="P40" i="19"/>
  <c r="H25" i="19"/>
  <c r="O25" i="19" s="1"/>
  <c r="J17" i="19"/>
  <c r="M17" i="19" s="1"/>
  <c r="O17" i="19" s="1"/>
  <c r="Q17" i="19" s="1"/>
  <c r="Z92" i="4"/>
  <c r="Z102" i="4" s="1"/>
  <c r="AA89" i="4" s="1"/>
  <c r="J142" i="4"/>
  <c r="K141" i="4"/>
  <c r="Z76" i="4"/>
  <c r="Z83" i="4" s="1"/>
  <c r="AA75" i="4" s="1"/>
  <c r="W83" i="4"/>
  <c r="R140" i="4"/>
  <c r="S140" i="4"/>
  <c r="N141" i="4"/>
  <c r="S41" i="4"/>
  <c r="S12" i="4" s="1"/>
  <c r="S19" i="4"/>
  <c r="U36" i="4"/>
  <c r="E39" i="1"/>
  <c r="Q12" i="4"/>
  <c r="F28" i="19"/>
  <c r="F30" i="19" s="1"/>
  <c r="M16" i="19"/>
  <c r="W186" i="26"/>
  <c r="AA185" i="26"/>
  <c r="BF183" i="26"/>
  <c r="BG183" i="26" s="1"/>
  <c r="BI183" i="26" s="1"/>
  <c r="BD184" i="26" s="1"/>
  <c r="AG127" i="26"/>
  <c r="AK126" i="26"/>
  <c r="AH112" i="26"/>
  <c r="AI111" i="26"/>
  <c r="AN111" i="26" s="1"/>
  <c r="BU186" i="26"/>
  <c r="BY185" i="26"/>
  <c r="BK186" i="26"/>
  <c r="BO185" i="26"/>
  <c r="AS183" i="26"/>
  <c r="AX183" i="26" s="1"/>
  <c r="AR184" i="26"/>
  <c r="AS109" i="26"/>
  <c r="AR110" i="26"/>
  <c r="BC185" i="26"/>
  <c r="BB186" i="26"/>
  <c r="AB25" i="5"/>
  <c r="F13" i="7"/>
  <c r="F25" i="7"/>
  <c r="G25" i="7" s="1"/>
  <c r="G9" i="7"/>
  <c r="O17" i="8"/>
  <c r="AA55" i="4"/>
  <c r="AC55" i="4" s="1"/>
  <c r="AA57" i="4"/>
  <c r="AA64" i="4"/>
  <c r="AA56" i="4"/>
  <c r="AA65" i="4"/>
  <c r="AA63" i="4"/>
  <c r="AA58" i="4"/>
  <c r="AA61" i="4"/>
  <c r="AA62" i="4"/>
  <c r="BE184" i="26"/>
  <c r="BA185" i="26"/>
  <c r="G71" i="5"/>
  <c r="N15" i="6"/>
  <c r="N16" i="6" s="1"/>
  <c r="L16" i="6"/>
  <c r="L18" i="6" s="1"/>
  <c r="BO111" i="26"/>
  <c r="BK112" i="26"/>
  <c r="AH186" i="26"/>
  <c r="AI185" i="26"/>
  <c r="AN185" i="26" s="1"/>
  <c r="E28" i="2"/>
  <c r="E29" i="2" s="1"/>
  <c r="I71" i="5"/>
  <c r="BE113" i="26"/>
  <c r="BA114" i="26"/>
  <c r="D45" i="5"/>
  <c r="E45" i="5" s="1"/>
  <c r="E28" i="5"/>
  <c r="E30" i="5" s="1"/>
  <c r="D30" i="5"/>
  <c r="D43" i="5" s="1"/>
  <c r="BH184" i="26"/>
  <c r="K24" i="19"/>
  <c r="R24" i="19" s="1"/>
  <c r="Q24" i="19"/>
  <c r="M15" i="19"/>
  <c r="H23" i="19"/>
  <c r="J23" i="19" s="1"/>
  <c r="H20" i="19"/>
  <c r="I15" i="19" s="1"/>
  <c r="G64" i="19"/>
  <c r="F40" i="19"/>
  <c r="G56" i="19"/>
  <c r="F35" i="19"/>
  <c r="G18" i="19"/>
  <c r="F38" i="19"/>
  <c r="F34" i="19"/>
  <c r="F65" i="19"/>
  <c r="F36" i="19"/>
  <c r="G62" i="19"/>
  <c r="G17" i="19"/>
  <c r="F37" i="19"/>
  <c r="G63" i="19"/>
  <c r="F39" i="19"/>
  <c r="G16" i="19"/>
  <c r="AQ185" i="26"/>
  <c r="AU184" i="26"/>
  <c r="AA59" i="4"/>
  <c r="Q69" i="5"/>
  <c r="AU111" i="26"/>
  <c r="AQ112" i="26"/>
  <c r="G15" i="19"/>
  <c r="AA24" i="5"/>
  <c r="AP24" i="5" s="1"/>
  <c r="AQ24" i="5" s="1"/>
  <c r="AC16" i="5"/>
  <c r="BM109" i="26"/>
  <c r="BR109" i="26" s="1"/>
  <c r="BL110" i="26"/>
  <c r="BY111" i="26"/>
  <c r="BU112" i="26"/>
  <c r="AA112" i="26"/>
  <c r="W113" i="26"/>
  <c r="BC109" i="26"/>
  <c r="BH109" i="26" s="1"/>
  <c r="BB110" i="26"/>
  <c r="AV182" i="26"/>
  <c r="AW182" i="26" s="1"/>
  <c r="AY182" i="26" s="1"/>
  <c r="AT183" i="26" s="1"/>
  <c r="BM183" i="26"/>
  <c r="BR183" i="26" s="1"/>
  <c r="BL184" i="26"/>
  <c r="AG188" i="26" l="1"/>
  <c r="AK187" i="26"/>
  <c r="W102" i="4"/>
  <c r="W118" i="4" s="1"/>
  <c r="J11" i="19"/>
  <c r="H13" i="30"/>
  <c r="E8" i="8"/>
  <c r="E8" i="11" s="1"/>
  <c r="E23" i="2"/>
  <c r="E24" i="2" s="1"/>
  <c r="L24" i="2" s="1"/>
  <c r="M71" i="5"/>
  <c r="P60" i="5"/>
  <c r="Q60" i="5" s="1"/>
  <c r="CC183" i="26"/>
  <c r="BX184" i="26" s="1"/>
  <c r="BP183" i="26"/>
  <c r="BQ183" i="26" s="1"/>
  <c r="BS183" i="26" s="1"/>
  <c r="BN184" i="26" s="1"/>
  <c r="AL183" i="26"/>
  <c r="AM183" i="26" s="1"/>
  <c r="AO183" i="26" s="1"/>
  <c r="AJ184" i="26" s="1"/>
  <c r="J20" i="19"/>
  <c r="K16" i="19" s="1"/>
  <c r="M28" i="19"/>
  <c r="G20" i="19"/>
  <c r="J25" i="19"/>
  <c r="J28" i="19" s="1"/>
  <c r="D69" i="19"/>
  <c r="E69" i="19" s="1"/>
  <c r="E58" i="19"/>
  <c r="AA90" i="4"/>
  <c r="P141" i="4"/>
  <c r="T140" i="4"/>
  <c r="V140" i="4" s="1"/>
  <c r="K142" i="4"/>
  <c r="J143" i="4"/>
  <c r="L142" i="4"/>
  <c r="W9" i="5"/>
  <c r="G39" i="1" s="1"/>
  <c r="Q9" i="19"/>
  <c r="S26" i="4"/>
  <c r="U9" i="5"/>
  <c r="Q26" i="4"/>
  <c r="O9" i="19"/>
  <c r="U41" i="4"/>
  <c r="U12" i="4" s="1"/>
  <c r="W36" i="4"/>
  <c r="U19" i="4"/>
  <c r="O19" i="8"/>
  <c r="G15" i="8" s="1"/>
  <c r="AI186" i="26"/>
  <c r="AN186" i="26" s="1"/>
  <c r="AH187" i="26"/>
  <c r="Q23" i="19"/>
  <c r="K23" i="19"/>
  <c r="R23" i="19" s="1"/>
  <c r="AQ113" i="26"/>
  <c r="AU112" i="26"/>
  <c r="M38" i="19"/>
  <c r="M40" i="19"/>
  <c r="K15" i="19"/>
  <c r="E43" i="5"/>
  <c r="D60" i="5"/>
  <c r="BE185" i="26"/>
  <c r="BA186" i="26"/>
  <c r="F23" i="7"/>
  <c r="E24" i="10"/>
  <c r="E49" i="10" s="1"/>
  <c r="K25" i="10"/>
  <c r="K50" i="10" s="1"/>
  <c r="M25" i="10"/>
  <c r="M50" i="10" s="1"/>
  <c r="E13" i="9"/>
  <c r="E15" i="9" s="1"/>
  <c r="G24" i="10"/>
  <c r="G49" i="10" s="1"/>
  <c r="E25" i="10"/>
  <c r="E50" i="10" s="1"/>
  <c r="I14" i="26"/>
  <c r="K24" i="10"/>
  <c r="K49" i="10" s="1"/>
  <c r="M24" i="10"/>
  <c r="M49" i="10" s="1"/>
  <c r="B18" i="1"/>
  <c r="G13" i="7"/>
  <c r="I25" i="10"/>
  <c r="I50" i="10" s="1"/>
  <c r="G25" i="10"/>
  <c r="G50" i="10" s="1"/>
  <c r="I24" i="10"/>
  <c r="I49" i="10" s="1"/>
  <c r="AX109" i="26"/>
  <c r="AA99" i="4"/>
  <c r="AA101" i="4"/>
  <c r="Z111" i="4"/>
  <c r="Z107" i="4"/>
  <c r="AA95" i="4"/>
  <c r="AA93" i="4"/>
  <c r="AA100" i="4"/>
  <c r="AA94" i="4"/>
  <c r="AA88" i="4"/>
  <c r="AB88" i="4" s="1"/>
  <c r="AA96" i="4"/>
  <c r="AA91" i="4"/>
  <c r="AA98" i="4"/>
  <c r="AA97" i="4"/>
  <c r="BU187" i="26"/>
  <c r="BY186" i="26"/>
  <c r="AK127" i="26"/>
  <c r="AG128" i="26"/>
  <c r="O16" i="19"/>
  <c r="G28" i="19"/>
  <c r="W114" i="26"/>
  <c r="AA113" i="26"/>
  <c r="AU185" i="26"/>
  <c r="AQ186" i="26"/>
  <c r="M39" i="19"/>
  <c r="F42" i="19"/>
  <c r="G42" i="19" s="1"/>
  <c r="M34" i="19"/>
  <c r="M42" i="19" s="1"/>
  <c r="M46" i="19" s="1"/>
  <c r="BA115" i="26"/>
  <c r="BE114" i="26"/>
  <c r="CB110" i="26"/>
  <c r="BM184" i="26"/>
  <c r="BR184" i="26" s="1"/>
  <c r="BP184" i="26" s="1"/>
  <c r="BQ184" i="26" s="1"/>
  <c r="BS184" i="26" s="1"/>
  <c r="BN185" i="26" s="1"/>
  <c r="BL185" i="26"/>
  <c r="BC110" i="26"/>
  <c r="BH110" i="26" s="1"/>
  <c r="BB111" i="26"/>
  <c r="AV183" i="26"/>
  <c r="AW183" i="26" s="1"/>
  <c r="AY183" i="26" s="1"/>
  <c r="AT184" i="26" s="1"/>
  <c r="AE16" i="5"/>
  <c r="AC24" i="5"/>
  <c r="M37" i="19"/>
  <c r="M36" i="19"/>
  <c r="I67" i="19"/>
  <c r="I65" i="19"/>
  <c r="I63" i="19"/>
  <c r="H40" i="19"/>
  <c r="O40" i="19" s="1"/>
  <c r="I64" i="19"/>
  <c r="H38" i="19"/>
  <c r="O38" i="19" s="1"/>
  <c r="I56" i="19"/>
  <c r="H34" i="19"/>
  <c r="H39" i="19"/>
  <c r="O39" i="19" s="1"/>
  <c r="H35" i="19"/>
  <c r="O35" i="19" s="1"/>
  <c r="I62" i="19"/>
  <c r="I17" i="19"/>
  <c r="I18" i="19"/>
  <c r="H36" i="19"/>
  <c r="O36" i="19" s="1"/>
  <c r="H37" i="19"/>
  <c r="O37" i="19" s="1"/>
  <c r="I16" i="19"/>
  <c r="M20" i="19"/>
  <c r="N16" i="19" s="1"/>
  <c r="O15" i="19"/>
  <c r="E31" i="2"/>
  <c r="F31" i="2" s="1"/>
  <c r="L31" i="2" s="1"/>
  <c r="E40" i="2"/>
  <c r="BF184" i="26"/>
  <c r="BG184" i="26" s="1"/>
  <c r="K62" i="19"/>
  <c r="BY112" i="26"/>
  <c r="BU113" i="26"/>
  <c r="BM110" i="26"/>
  <c r="BR110" i="26" s="1"/>
  <c r="BL111" i="26"/>
  <c r="F67" i="19"/>
  <c r="G67" i="19" s="1"/>
  <c r="J65" i="19"/>
  <c r="G65" i="19"/>
  <c r="M35" i="19"/>
  <c r="H28" i="19"/>
  <c r="H30" i="19" s="1"/>
  <c r="O23" i="19"/>
  <c r="O28" i="19" s="1"/>
  <c r="AA92" i="4"/>
  <c r="BK113" i="26"/>
  <c r="BO112" i="26"/>
  <c r="AD25" i="5"/>
  <c r="BB187" i="26"/>
  <c r="BC186" i="26"/>
  <c r="AS110" i="26"/>
  <c r="AR111" i="26"/>
  <c r="AR185" i="26"/>
  <c r="AS184" i="26"/>
  <c r="BO186" i="26"/>
  <c r="BK187" i="26"/>
  <c r="AH113" i="26"/>
  <c r="AI112" i="26"/>
  <c r="AN112" i="26" s="1"/>
  <c r="W187" i="26"/>
  <c r="AA186" i="26"/>
  <c r="AA81" i="4"/>
  <c r="AA72" i="4"/>
  <c r="AA80" i="4"/>
  <c r="AA79" i="4"/>
  <c r="AA82" i="4"/>
  <c r="AA73" i="4"/>
  <c r="AA77" i="4"/>
  <c r="AA78" i="4"/>
  <c r="AA76" i="4"/>
  <c r="AA74" i="4"/>
  <c r="AG189" i="26" l="1"/>
  <c r="AK188" i="26"/>
  <c r="K64" i="19"/>
  <c r="K34" i="19"/>
  <c r="R34" i="19" s="1"/>
  <c r="J30" i="19"/>
  <c r="J44" i="19" s="1"/>
  <c r="J58" i="19" s="1"/>
  <c r="K63" i="19"/>
  <c r="K56" i="19"/>
  <c r="K42" i="19"/>
  <c r="K17" i="19"/>
  <c r="K18" i="19"/>
  <c r="J35" i="19"/>
  <c r="B9" i="1"/>
  <c r="F10" i="1" s="1"/>
  <c r="F28" i="8"/>
  <c r="F8" i="8"/>
  <c r="E7" i="9"/>
  <c r="E17" i="9" s="1"/>
  <c r="E27" i="8"/>
  <c r="E39" i="2"/>
  <c r="F27" i="8"/>
  <c r="E38" i="2"/>
  <c r="F42" i="3"/>
  <c r="F46" i="3" s="1"/>
  <c r="E28" i="8"/>
  <c r="P71" i="5"/>
  <c r="Q71" i="5" s="1"/>
  <c r="G30" i="19"/>
  <c r="Z118" i="4"/>
  <c r="CB184" i="26"/>
  <c r="BZ184" i="26"/>
  <c r="CA184" i="26" s="1"/>
  <c r="CC184" i="26" s="1"/>
  <c r="BX185" i="26" s="1"/>
  <c r="CB185" i="26" s="1"/>
  <c r="BZ185" i="26" s="1"/>
  <c r="CA185" i="26" s="1"/>
  <c r="CC185" i="26" s="1"/>
  <c r="BX186" i="26" s="1"/>
  <c r="AL184" i="26"/>
  <c r="AM184" i="26" s="1"/>
  <c r="AM242" i="26" s="1"/>
  <c r="AN242" i="26"/>
  <c r="H79" i="26" s="1"/>
  <c r="AX184" i="26"/>
  <c r="AV184" i="26" s="1"/>
  <c r="AW184" i="26" s="1"/>
  <c r="AY184" i="26" s="1"/>
  <c r="AT185" i="26" s="1"/>
  <c r="N46" i="19"/>
  <c r="F44" i="19"/>
  <c r="N42" i="19"/>
  <c r="J38" i="19"/>
  <c r="Q38" i="19" s="1"/>
  <c r="I20" i="19"/>
  <c r="Q25" i="19"/>
  <c r="Q28" i="19" s="1"/>
  <c r="Q46" i="19" s="1"/>
  <c r="K25" i="19"/>
  <c r="R25" i="19" s="1"/>
  <c r="N142" i="4"/>
  <c r="R141" i="4"/>
  <c r="S141" i="4"/>
  <c r="J144" i="4"/>
  <c r="K143" i="4"/>
  <c r="W41" i="4"/>
  <c r="W12" i="4" s="1"/>
  <c r="W19" i="4"/>
  <c r="AL19" i="4" s="1"/>
  <c r="Y36" i="4"/>
  <c r="Y9" i="5"/>
  <c r="H39" i="1" s="1"/>
  <c r="U26" i="4"/>
  <c r="AL36" i="4"/>
  <c r="F39" i="1"/>
  <c r="AN168" i="26"/>
  <c r="BK188" i="26"/>
  <c r="BO187" i="26"/>
  <c r="AS111" i="26"/>
  <c r="AR112" i="26"/>
  <c r="AF25" i="5"/>
  <c r="BO113" i="26"/>
  <c r="BK114" i="26"/>
  <c r="F8" i="1"/>
  <c r="BC111" i="26"/>
  <c r="BH111" i="26" s="1"/>
  <c r="BB112" i="26"/>
  <c r="BA116" i="26"/>
  <c r="BE115" i="26"/>
  <c r="J40" i="19"/>
  <c r="AQ114" i="26"/>
  <c r="AU113" i="26"/>
  <c r="K28" i="19"/>
  <c r="J46" i="19"/>
  <c r="K46" i="19" s="1"/>
  <c r="AI187" i="26"/>
  <c r="AN187" i="26" s="1"/>
  <c r="AH188" i="26"/>
  <c r="Q35" i="19"/>
  <c r="K35" i="19"/>
  <c r="R35" i="19" s="1"/>
  <c r="BY113" i="26"/>
  <c r="BU114" i="26"/>
  <c r="K44" i="19"/>
  <c r="O20" i="19"/>
  <c r="P28" i="19" s="1"/>
  <c r="Q15" i="19"/>
  <c r="O34" i="19"/>
  <c r="O42" i="19" s="1"/>
  <c r="H42" i="19"/>
  <c r="I42" i="19" s="1"/>
  <c r="F58" i="19"/>
  <c r="G44" i="19"/>
  <c r="AQ187" i="26"/>
  <c r="AU186" i="26"/>
  <c r="AA106" i="4"/>
  <c r="AA105" i="4"/>
  <c r="AC88" i="4"/>
  <c r="AA104" i="4"/>
  <c r="G23" i="7"/>
  <c r="F48" i="7"/>
  <c r="F52" i="7" s="1"/>
  <c r="F27" i="7"/>
  <c r="B24" i="30" s="1"/>
  <c r="BI184" i="26"/>
  <c r="BD185" i="26" s="1"/>
  <c r="BH185" i="26" s="1"/>
  <c r="BF185" i="26" s="1"/>
  <c r="BG185" i="26" s="1"/>
  <c r="AA187" i="26"/>
  <c r="W188" i="26"/>
  <c r="BM111" i="26"/>
  <c r="BR111" i="26" s="1"/>
  <c r="BL112" i="26"/>
  <c r="N18" i="19"/>
  <c r="N62" i="19"/>
  <c r="N56" i="19"/>
  <c r="N63" i="19"/>
  <c r="M65" i="19"/>
  <c r="M30" i="19"/>
  <c r="M44" i="19" s="1"/>
  <c r="N64" i="19"/>
  <c r="N17" i="19"/>
  <c r="AA110" i="4"/>
  <c r="AA109" i="4"/>
  <c r="AD88" i="4"/>
  <c r="J36" i="19"/>
  <c r="AG16" i="5"/>
  <c r="AE24" i="5"/>
  <c r="BM185" i="26"/>
  <c r="BR185" i="26" s="1"/>
  <c r="BL186" i="26"/>
  <c r="AA114" i="26"/>
  <c r="W115" i="26"/>
  <c r="Q16" i="19"/>
  <c r="AX110" i="26"/>
  <c r="BE186" i="26"/>
  <c r="BA187" i="26"/>
  <c r="BH242" i="26"/>
  <c r="N79" i="26" s="1"/>
  <c r="N28" i="19"/>
  <c r="AI113" i="26"/>
  <c r="AN113" i="26" s="1"/>
  <c r="AH114" i="26"/>
  <c r="AR186" i="26"/>
  <c r="AS185" i="26"/>
  <c r="AX185" i="26" s="1"/>
  <c r="BB188" i="26"/>
  <c r="BC187" i="26"/>
  <c r="AL242" i="26"/>
  <c r="I79" i="26" s="1"/>
  <c r="I28" i="19"/>
  <c r="K65" i="19"/>
  <c r="J67" i="19"/>
  <c r="K67" i="19" s="1"/>
  <c r="N15" i="19"/>
  <c r="J37" i="19"/>
  <c r="J39" i="19"/>
  <c r="F46" i="19"/>
  <c r="G46" i="19" s="1"/>
  <c r="AK128" i="26"/>
  <c r="AG129" i="26"/>
  <c r="BY187" i="26"/>
  <c r="BU188" i="26"/>
  <c r="B24" i="1"/>
  <c r="F24" i="1" s="1"/>
  <c r="D71" i="5"/>
  <c r="E60" i="5"/>
  <c r="K20" i="19" l="1"/>
  <c r="AG190" i="26"/>
  <c r="AK189" i="26"/>
  <c r="K30" i="19"/>
  <c r="E11" i="9"/>
  <c r="E35" i="9" s="1"/>
  <c r="G35" i="9" s="1"/>
  <c r="I35" i="9" s="1"/>
  <c r="K35" i="9" s="1"/>
  <c r="M35" i="9" s="1"/>
  <c r="AL41" i="4"/>
  <c r="CB186" i="26"/>
  <c r="CB242" i="26" s="1"/>
  <c r="BZ186" i="26"/>
  <c r="BZ242" i="26" s="1"/>
  <c r="AV185" i="26"/>
  <c r="AW185" i="26" s="1"/>
  <c r="AY185" i="26" s="1"/>
  <c r="AT186" i="26" s="1"/>
  <c r="AO184" i="26"/>
  <c r="AJ185" i="26" s="1"/>
  <c r="K38" i="19"/>
  <c r="R38" i="19" s="1"/>
  <c r="I30" i="19"/>
  <c r="P15" i="19"/>
  <c r="P16" i="19"/>
  <c r="P42" i="19"/>
  <c r="O46" i="19"/>
  <c r="P46" i="19" s="1"/>
  <c r="P142" i="4"/>
  <c r="T141" i="4"/>
  <c r="V141" i="4" s="1"/>
  <c r="O33" i="4" s="1"/>
  <c r="O35" i="4" s="1"/>
  <c r="L143" i="4"/>
  <c r="K144" i="4"/>
  <c r="J145" i="4"/>
  <c r="K145" i="4" s="1"/>
  <c r="Y19" i="4"/>
  <c r="Y41" i="4"/>
  <c r="Y12" i="4" s="1"/>
  <c r="AA36" i="4"/>
  <c r="AA9" i="5"/>
  <c r="I39" i="1" s="1"/>
  <c r="W26" i="4"/>
  <c r="AL26" i="4" s="1"/>
  <c r="AL12" i="4"/>
  <c r="AC9" i="5" s="1"/>
  <c r="C24" i="30"/>
  <c r="B25" i="30"/>
  <c r="AX111" i="26"/>
  <c r="F31" i="7"/>
  <c r="G27" i="7"/>
  <c r="B19" i="1"/>
  <c r="H46" i="19"/>
  <c r="I46" i="19" s="1"/>
  <c r="BC188" i="26"/>
  <c r="BB189" i="26"/>
  <c r="BA188" i="26"/>
  <c r="BE187" i="26"/>
  <c r="CA242" i="26"/>
  <c r="M67" i="19"/>
  <c r="N67" i="19" s="1"/>
  <c r="N65" i="19"/>
  <c r="F69" i="19"/>
  <c r="G58" i="19"/>
  <c r="K58" i="19"/>
  <c r="J69" i="19"/>
  <c r="AH189" i="26"/>
  <c r="AI188" i="26"/>
  <c r="AN188" i="26" s="1"/>
  <c r="BC112" i="26"/>
  <c r="BH112" i="26" s="1"/>
  <c r="BB113" i="26"/>
  <c r="AH25" i="5"/>
  <c r="AG130" i="26"/>
  <c r="AK129" i="26"/>
  <c r="AI114" i="26"/>
  <c r="AN114" i="26" s="1"/>
  <c r="AH115" i="26"/>
  <c r="N44" i="19"/>
  <c r="M58" i="19"/>
  <c r="BY188" i="26"/>
  <c r="BU189" i="26"/>
  <c r="Q37" i="19"/>
  <c r="K37" i="19"/>
  <c r="R37" i="19" s="1"/>
  <c r="W116" i="26"/>
  <c r="AA115" i="26"/>
  <c r="BM186" i="26"/>
  <c r="BR186" i="26" s="1"/>
  <c r="BL187" i="26"/>
  <c r="AG24" i="5"/>
  <c r="AI16" i="5"/>
  <c r="BI185" i="26"/>
  <c r="BD186" i="26" s="1"/>
  <c r="BH186" i="26" s="1"/>
  <c r="BF186" i="26" s="1"/>
  <c r="BF242" i="26" s="1"/>
  <c r="O79" i="26" s="1"/>
  <c r="Q20" i="19"/>
  <c r="R15" i="19" s="1"/>
  <c r="BY114" i="26"/>
  <c r="BU115" i="26"/>
  <c r="AU114" i="26"/>
  <c r="AQ115" i="26"/>
  <c r="BO188" i="26"/>
  <c r="BK189" i="26"/>
  <c r="E71" i="5"/>
  <c r="AA188" i="26"/>
  <c r="W189" i="26"/>
  <c r="K39" i="19"/>
  <c r="R39" i="19" s="1"/>
  <c r="Q39" i="19"/>
  <c r="N20" i="19"/>
  <c r="N30" i="19" s="1"/>
  <c r="AS186" i="26"/>
  <c r="AR187" i="26"/>
  <c r="BR242" i="26"/>
  <c r="Q79" i="26" s="1"/>
  <c r="BP185" i="26"/>
  <c r="BQ185" i="26" s="1"/>
  <c r="BS185" i="26" s="1"/>
  <c r="BN186" i="26" s="1"/>
  <c r="Q36" i="19"/>
  <c r="K36" i="19"/>
  <c r="R36" i="19" s="1"/>
  <c r="CB112" i="26"/>
  <c r="BM112" i="26"/>
  <c r="BR112" i="26" s="1"/>
  <c r="BL113" i="26"/>
  <c r="AQ188" i="26"/>
  <c r="AU187" i="26"/>
  <c r="P63" i="19"/>
  <c r="O30" i="19"/>
  <c r="O44" i="19" s="1"/>
  <c r="P64" i="19"/>
  <c r="O65" i="19"/>
  <c r="P62" i="19"/>
  <c r="P56" i="19"/>
  <c r="P18" i="19"/>
  <c r="P17" i="19"/>
  <c r="K40" i="19"/>
  <c r="R40" i="19" s="1"/>
  <c r="Q40" i="19"/>
  <c r="BE116" i="26"/>
  <c r="BA117" i="26"/>
  <c r="H44" i="19"/>
  <c r="BO114" i="26"/>
  <c r="BK115" i="26"/>
  <c r="AS112" i="26"/>
  <c r="AR113" i="26"/>
  <c r="AK190" i="26" l="1"/>
  <c r="AG191" i="26"/>
  <c r="BG186" i="26"/>
  <c r="E21" i="9"/>
  <c r="E31" i="9" s="1"/>
  <c r="E33" i="9" s="1"/>
  <c r="E37" i="9" s="1"/>
  <c r="E39" i="9" s="1"/>
  <c r="E41" i="9" s="1"/>
  <c r="Y26" i="4"/>
  <c r="AP9" i="5"/>
  <c r="CA186" i="26"/>
  <c r="CC186" i="26" s="1"/>
  <c r="BX187" i="26" s="1"/>
  <c r="BP186" i="26"/>
  <c r="BQ186" i="26" s="1"/>
  <c r="BQ242" i="26" s="1"/>
  <c r="AL185" i="26"/>
  <c r="AM185" i="26" s="1"/>
  <c r="AO185" i="26" s="1"/>
  <c r="AJ186" i="26" s="1"/>
  <c r="AX186" i="26"/>
  <c r="AX242" i="26" s="1"/>
  <c r="K79" i="26" s="1"/>
  <c r="BI186" i="26"/>
  <c r="BD187" i="26" s="1"/>
  <c r="BH187" i="26" s="1"/>
  <c r="R46" i="19"/>
  <c r="P20" i="19"/>
  <c r="P30" i="19" s="1"/>
  <c r="N143" i="4"/>
  <c r="O37" i="4"/>
  <c r="O17" i="4"/>
  <c r="O40" i="4"/>
  <c r="R142" i="4"/>
  <c r="S142" i="4"/>
  <c r="AA41" i="4"/>
  <c r="AA12" i="4" s="1"/>
  <c r="AC36" i="4"/>
  <c r="AA19" i="4"/>
  <c r="B28" i="30"/>
  <c r="B53" i="30"/>
  <c r="BR168" i="26"/>
  <c r="BO115" i="26"/>
  <c r="BK116" i="26"/>
  <c r="CB168" i="26"/>
  <c r="T79" i="26" s="1"/>
  <c r="AA189" i="26"/>
  <c r="W190" i="26"/>
  <c r="BY115" i="26"/>
  <c r="BU116" i="26"/>
  <c r="AI24" i="5"/>
  <c r="AK16" i="5"/>
  <c r="AH116" i="26"/>
  <c r="AI115" i="26"/>
  <c r="AN115" i="26" s="1"/>
  <c r="BE188" i="26"/>
  <c r="BA189" i="26"/>
  <c r="E14" i="8"/>
  <c r="G31" i="7"/>
  <c r="G47" i="18"/>
  <c r="G27" i="8"/>
  <c r="G28" i="8"/>
  <c r="O58" i="19"/>
  <c r="P44" i="19"/>
  <c r="AS187" i="26"/>
  <c r="AX187" i="26" s="1"/>
  <c r="AR188" i="26"/>
  <c r="AV186" i="26"/>
  <c r="AA116" i="26"/>
  <c r="W117" i="26"/>
  <c r="M69" i="19"/>
  <c r="N58" i="19"/>
  <c r="BC189" i="26"/>
  <c r="BB190" i="26"/>
  <c r="AX112" i="26"/>
  <c r="AS113" i="26"/>
  <c r="AR114" i="26"/>
  <c r="H58" i="19"/>
  <c r="I44" i="19"/>
  <c r="AQ189" i="26"/>
  <c r="AU188" i="26"/>
  <c r="BM113" i="26"/>
  <c r="BR113" i="26" s="1"/>
  <c r="BL114" i="26"/>
  <c r="AU115" i="26"/>
  <c r="AQ116" i="26"/>
  <c r="BM187" i="26"/>
  <c r="BR187" i="26" s="1"/>
  <c r="BL188" i="26"/>
  <c r="AJ25" i="5"/>
  <c r="BC113" i="26"/>
  <c r="BH113" i="26" s="1"/>
  <c r="BB114" i="26"/>
  <c r="AH190" i="26"/>
  <c r="AI189" i="26"/>
  <c r="AN189" i="26" s="1"/>
  <c r="B26" i="1"/>
  <c r="F26" i="1" s="1"/>
  <c r="F27" i="1" s="1"/>
  <c r="B20" i="1"/>
  <c r="BE117" i="26"/>
  <c r="BA118" i="26"/>
  <c r="P65" i="19"/>
  <c r="O67" i="19"/>
  <c r="P67" i="19" s="1"/>
  <c r="K31" i="9"/>
  <c r="K33" i="9" s="1"/>
  <c r="K37" i="9" s="1"/>
  <c r="K39" i="9" s="1"/>
  <c r="K41" i="9" s="1"/>
  <c r="G31" i="9"/>
  <c r="G33" i="9" s="1"/>
  <c r="G37" i="9" s="1"/>
  <c r="G39" i="9" s="1"/>
  <c r="G41" i="9" s="1"/>
  <c r="I31" i="9"/>
  <c r="I33" i="9" s="1"/>
  <c r="I37" i="9" s="1"/>
  <c r="I39" i="9" s="1"/>
  <c r="I41" i="9" s="1"/>
  <c r="BP242" i="26"/>
  <c r="R79" i="26" s="1"/>
  <c r="BK190" i="26"/>
  <c r="BO189" i="26"/>
  <c r="R56" i="19"/>
  <c r="Q65" i="19"/>
  <c r="R64" i="19"/>
  <c r="Q30" i="19"/>
  <c r="Q44" i="19" s="1"/>
  <c r="R63" i="19"/>
  <c r="R18" i="19"/>
  <c r="R42" i="19"/>
  <c r="R62" i="19"/>
  <c r="R17" i="19"/>
  <c r="R28" i="19"/>
  <c r="BU190" i="26"/>
  <c r="BY189" i="26"/>
  <c r="R16" i="19"/>
  <c r="AG131" i="26"/>
  <c r="AK130" i="26"/>
  <c r="BH168" i="26"/>
  <c r="K69" i="19"/>
  <c r="G69" i="19"/>
  <c r="BG242" i="26"/>
  <c r="AG192" i="26" l="1"/>
  <c r="AK191" i="26"/>
  <c r="BS186" i="26"/>
  <c r="BN187" i="26" s="1"/>
  <c r="M31" i="9"/>
  <c r="M33" i="9" s="1"/>
  <c r="M37" i="9" s="1"/>
  <c r="M39" i="9" s="1"/>
  <c r="M41" i="9" s="1"/>
  <c r="R20" i="19"/>
  <c r="R30" i="19" s="1"/>
  <c r="CB187" i="26"/>
  <c r="BZ187" i="26"/>
  <c r="CA187" i="26" s="1"/>
  <c r="CC187" i="26" s="1"/>
  <c r="BX188" i="26" s="1"/>
  <c r="AW186" i="26"/>
  <c r="BF187" i="26"/>
  <c r="BG187" i="26" s="1"/>
  <c r="BI187" i="26" s="1"/>
  <c r="BD188" i="26" s="1"/>
  <c r="BH188" i="26" s="1"/>
  <c r="AL186" i="26"/>
  <c r="AM186" i="26" s="1"/>
  <c r="AO186" i="26" s="1"/>
  <c r="AJ187" i="26" s="1"/>
  <c r="AP55" i="4"/>
  <c r="O21" i="4"/>
  <c r="P22" i="4" s="1"/>
  <c r="AP56" i="4" s="1"/>
  <c r="P143" i="4"/>
  <c r="T142" i="4"/>
  <c r="V142" i="4" s="1"/>
  <c r="Q33" i="4" s="1"/>
  <c r="Q35" i="4" s="1"/>
  <c r="L144" i="4"/>
  <c r="O10" i="4"/>
  <c r="O42" i="4"/>
  <c r="O43" i="4" s="1"/>
  <c r="AC19" i="4"/>
  <c r="AE36" i="4"/>
  <c r="AC41" i="4"/>
  <c r="AC12" i="4" s="1"/>
  <c r="AE9" i="5"/>
  <c r="AA26" i="4"/>
  <c r="B38" i="30"/>
  <c r="C28" i="30"/>
  <c r="B54" i="30"/>
  <c r="AK131" i="26"/>
  <c r="AG132" i="26"/>
  <c r="BU191" i="26"/>
  <c r="BY190" i="26"/>
  <c r="R44" i="19"/>
  <c r="Q58" i="19"/>
  <c r="B27" i="1"/>
  <c r="G8" i="1"/>
  <c r="G10" i="1"/>
  <c r="BC114" i="26"/>
  <c r="BH114" i="26" s="1"/>
  <c r="BB115" i="26"/>
  <c r="BP187" i="26"/>
  <c r="BQ187" i="26" s="1"/>
  <c r="BS187" i="26" s="1"/>
  <c r="BN188" i="26" s="1"/>
  <c r="BM114" i="26"/>
  <c r="BR114" i="26" s="1"/>
  <c r="BL115" i="26"/>
  <c r="W118" i="26"/>
  <c r="AA117" i="26"/>
  <c r="CB114" i="26"/>
  <c r="BA190" i="26"/>
  <c r="BE189" i="26"/>
  <c r="CB115" i="26"/>
  <c r="AA190" i="26"/>
  <c r="W191" i="26"/>
  <c r="BK117" i="26"/>
  <c r="BO116" i="26"/>
  <c r="BB191" i="26"/>
  <c r="BC190" i="26"/>
  <c r="AR189" i="26"/>
  <c r="AS188" i="26"/>
  <c r="AX188" i="26" s="1"/>
  <c r="E17" i="8"/>
  <c r="F14" i="8"/>
  <c r="E17" i="11"/>
  <c r="AH117" i="26"/>
  <c r="AI116" i="26"/>
  <c r="AN116" i="26" s="1"/>
  <c r="AM16" i="5"/>
  <c r="AK24" i="5"/>
  <c r="R65" i="19"/>
  <c r="Q67" i="19"/>
  <c r="R67" i="19" s="1"/>
  <c r="BA119" i="26"/>
  <c r="BE118" i="26"/>
  <c r="AL25" i="5"/>
  <c r="I58" i="19"/>
  <c r="H69" i="19"/>
  <c r="AX113" i="26"/>
  <c r="AV242" i="26"/>
  <c r="L79" i="26" s="1"/>
  <c r="O69" i="19"/>
  <c r="P58" i="19"/>
  <c r="AX168" i="26"/>
  <c r="BO190" i="26"/>
  <c r="BK191" i="26"/>
  <c r="AI190" i="26"/>
  <c r="AN190" i="26" s="1"/>
  <c r="AH191" i="26"/>
  <c r="BM188" i="26"/>
  <c r="BR188" i="26" s="1"/>
  <c r="BL189" i="26"/>
  <c r="AQ117" i="26"/>
  <c r="AU116" i="26"/>
  <c r="AU189" i="26"/>
  <c r="AQ190" i="26"/>
  <c r="AS114" i="26"/>
  <c r="AR115" i="26"/>
  <c r="N69" i="19"/>
  <c r="BY116" i="26"/>
  <c r="BU117" i="26"/>
  <c r="AG193" i="26" l="1"/>
  <c r="AK192" i="26"/>
  <c r="BF188" i="26"/>
  <c r="BG188" i="26" s="1"/>
  <c r="BI188" i="26" s="1"/>
  <c r="BD189" i="26" s="1"/>
  <c r="BH189" i="26" s="1"/>
  <c r="AW242" i="26"/>
  <c r="AY186" i="26"/>
  <c r="AT187" i="26" s="1"/>
  <c r="CB188" i="26"/>
  <c r="BZ188" i="26"/>
  <c r="CA188" i="26" s="1"/>
  <c r="CC188" i="26" s="1"/>
  <c r="BX189" i="26" s="1"/>
  <c r="CB113" i="26"/>
  <c r="BP188" i="26"/>
  <c r="BQ188" i="26" s="1"/>
  <c r="BS188" i="26" s="1"/>
  <c r="BN189" i="26" s="1"/>
  <c r="AL187" i="26"/>
  <c r="AM187" i="26" s="1"/>
  <c r="AO187" i="26" s="1"/>
  <c r="AJ188" i="26" s="1"/>
  <c r="Q40" i="4"/>
  <c r="Q37" i="4"/>
  <c r="Q17" i="4"/>
  <c r="Q21" i="4" s="1"/>
  <c r="R22" i="4" s="1"/>
  <c r="S8" i="5"/>
  <c r="O25" i="4"/>
  <c r="O14" i="4"/>
  <c r="R143" i="4"/>
  <c r="S143" i="4"/>
  <c r="N144" i="4"/>
  <c r="AG9" i="5"/>
  <c r="AC26" i="4"/>
  <c r="AG36" i="4"/>
  <c r="AE19" i="4"/>
  <c r="AE41" i="4"/>
  <c r="AE12" i="4" s="1"/>
  <c r="CB116" i="26"/>
  <c r="AQ191" i="26"/>
  <c r="AU190" i="26"/>
  <c r="BM189" i="26"/>
  <c r="BR189" i="26" s="1"/>
  <c r="BL190" i="26"/>
  <c r="AR190" i="26"/>
  <c r="AS189" i="26"/>
  <c r="AX189" i="26" s="1"/>
  <c r="BE190" i="26"/>
  <c r="BA191" i="26"/>
  <c r="BM115" i="26"/>
  <c r="BR115" i="26" s="1"/>
  <c r="BL116" i="26"/>
  <c r="R58" i="19"/>
  <c r="Q69" i="19"/>
  <c r="BY191" i="26"/>
  <c r="BU192" i="26"/>
  <c r="AN25" i="5"/>
  <c r="BA120" i="26"/>
  <c r="BE119" i="26"/>
  <c r="AI117" i="26"/>
  <c r="AN117" i="26" s="1"/>
  <c r="AH118" i="26"/>
  <c r="AA191" i="26"/>
  <c r="W192" i="26"/>
  <c r="AG133" i="26"/>
  <c r="AK132" i="26"/>
  <c r="AS115" i="26"/>
  <c r="AR116" i="26"/>
  <c r="AI191" i="26"/>
  <c r="AN191" i="26" s="1"/>
  <c r="AH192" i="26"/>
  <c r="P69" i="19"/>
  <c r="AX114" i="26"/>
  <c r="E33" i="11"/>
  <c r="D72" i="11" s="1"/>
  <c r="I15" i="26"/>
  <c r="B77" i="1"/>
  <c r="C77" i="1" s="1"/>
  <c r="B10" i="12"/>
  <c r="E20" i="11"/>
  <c r="G36" i="8"/>
  <c r="E21" i="8"/>
  <c r="F17" i="8"/>
  <c r="AA118" i="26"/>
  <c r="W119" i="26"/>
  <c r="BC115" i="26"/>
  <c r="BH115" i="26" s="1"/>
  <c r="BB116" i="26"/>
  <c r="BY117" i="26"/>
  <c r="BU118" i="26"/>
  <c r="AQ118" i="26"/>
  <c r="AU117" i="26"/>
  <c r="BK192" i="26"/>
  <c r="BO191" i="26"/>
  <c r="I69" i="19"/>
  <c r="AM24" i="5"/>
  <c r="BB192" i="26"/>
  <c r="BC191" i="26"/>
  <c r="BO117" i="26"/>
  <c r="BK118" i="26"/>
  <c r="BF189" i="26"/>
  <c r="BG189" i="26" s="1"/>
  <c r="BI189" i="26" s="1"/>
  <c r="BD190" i="26" s="1"/>
  <c r="BH190" i="26" s="1"/>
  <c r="AG194" i="26" l="1"/>
  <c r="AK193" i="26"/>
  <c r="S17" i="5"/>
  <c r="S18" i="5"/>
  <c r="CB189" i="26"/>
  <c r="BZ189" i="26" s="1"/>
  <c r="CA189" i="26" s="1"/>
  <c r="CC189" i="26" s="1"/>
  <c r="BX190" i="26" s="1"/>
  <c r="AV187" i="26"/>
  <c r="AW187" i="26" s="1"/>
  <c r="AY187" i="26" s="1"/>
  <c r="AT188" i="26" s="1"/>
  <c r="AV188" i="26" s="1"/>
  <c r="AW188" i="26" s="1"/>
  <c r="AY188" i="26" s="1"/>
  <c r="AT189" i="26" s="1"/>
  <c r="AV189" i="26" s="1"/>
  <c r="AW189" i="26" s="1"/>
  <c r="AY189" i="26" s="1"/>
  <c r="AT190" i="26" s="1"/>
  <c r="BP189" i="26"/>
  <c r="BQ189" i="26" s="1"/>
  <c r="BS189" i="26" s="1"/>
  <c r="BN190" i="26" s="1"/>
  <c r="AL188" i="26"/>
  <c r="AM188" i="26" s="1"/>
  <c r="AO188" i="26" s="1"/>
  <c r="AJ189" i="26" s="1"/>
  <c r="L145" i="4"/>
  <c r="P15" i="4"/>
  <c r="O27" i="4"/>
  <c r="S11" i="5" s="1"/>
  <c r="P144" i="4"/>
  <c r="T143" i="4"/>
  <c r="V143" i="4" s="1"/>
  <c r="S33" i="4" s="1"/>
  <c r="S35" i="4" s="1"/>
  <c r="S10" i="5"/>
  <c r="E38" i="1"/>
  <c r="E40" i="1" s="1"/>
  <c r="S15" i="5"/>
  <c r="Q10" i="4"/>
  <c r="Q42" i="4"/>
  <c r="Q43" i="4" s="1"/>
  <c r="AG19" i="4"/>
  <c r="AI36" i="4"/>
  <c r="AG41" i="4"/>
  <c r="AG12" i="4" s="1"/>
  <c r="AI9" i="5"/>
  <c r="AE26" i="4"/>
  <c r="E32" i="26"/>
  <c r="AD118" i="26" s="1"/>
  <c r="U73" i="5"/>
  <c r="G23" i="10" s="1"/>
  <c r="S80" i="5"/>
  <c r="AA80" i="5"/>
  <c r="E39" i="8"/>
  <c r="W73" i="5"/>
  <c r="I23" i="10" s="1"/>
  <c r="U80" i="5"/>
  <c r="Y73" i="5"/>
  <c r="K23" i="10" s="1"/>
  <c r="W80" i="5"/>
  <c r="S73" i="5"/>
  <c r="E23" i="10" s="1"/>
  <c r="AA73" i="5"/>
  <c r="M23" i="10" s="1"/>
  <c r="Y80" i="5"/>
  <c r="K16" i="12"/>
  <c r="H78" i="19"/>
  <c r="J73" i="5"/>
  <c r="J78" i="19"/>
  <c r="J74" i="19"/>
  <c r="D76" i="5"/>
  <c r="W32" i="10"/>
  <c r="AG76" i="5"/>
  <c r="Y76" i="5"/>
  <c r="M71" i="19"/>
  <c r="D71" i="19"/>
  <c r="O78" i="19"/>
  <c r="J80" i="5"/>
  <c r="I26" i="10"/>
  <c r="I51" i="10" s="1"/>
  <c r="F74" i="19"/>
  <c r="D73" i="5"/>
  <c r="S32" i="10"/>
  <c r="U76" i="5"/>
  <c r="Q71" i="19"/>
  <c r="AM73" i="5"/>
  <c r="H80" i="5"/>
  <c r="AE80" i="5"/>
  <c r="F76" i="5"/>
  <c r="S23" i="10"/>
  <c r="AP80" i="5"/>
  <c r="E26" i="11"/>
  <c r="AK80" i="5"/>
  <c r="K19" i="12"/>
  <c r="P73" i="5"/>
  <c r="L76" i="5"/>
  <c r="F73" i="5"/>
  <c r="AK76" i="5"/>
  <c r="J76" i="5"/>
  <c r="C90" i="1"/>
  <c r="B90" i="1" s="1"/>
  <c r="AI80" i="5"/>
  <c r="Q26" i="10"/>
  <c r="P80" i="5"/>
  <c r="U26" i="10"/>
  <c r="AP76" i="5"/>
  <c r="K26" i="10"/>
  <c r="K51" i="10" s="1"/>
  <c r="O74" i="19"/>
  <c r="G26" i="10"/>
  <c r="G51" i="10" s="1"/>
  <c r="Y23" i="10"/>
  <c r="S76" i="5"/>
  <c r="AA76" i="5"/>
  <c r="AE76" i="5"/>
  <c r="M74" i="19"/>
  <c r="H73" i="5"/>
  <c r="Y26" i="10"/>
  <c r="AM76" i="5"/>
  <c r="Y32" i="10"/>
  <c r="W26" i="10"/>
  <c r="S26" i="10"/>
  <c r="AI76" i="5"/>
  <c r="AB32" i="10"/>
  <c r="L73" i="5"/>
  <c r="O71" i="19"/>
  <c r="AE73" i="5"/>
  <c r="U32" i="10"/>
  <c r="L80" i="5"/>
  <c r="AG73" i="5"/>
  <c r="E26" i="10"/>
  <c r="E51" i="10" s="1"/>
  <c r="D74" i="19"/>
  <c r="O32" i="10"/>
  <c r="F80" i="5"/>
  <c r="AP73" i="5"/>
  <c r="U23" i="10"/>
  <c r="Q23" i="10"/>
  <c r="Q28" i="10" s="1"/>
  <c r="O23" i="10"/>
  <c r="AI73" i="5"/>
  <c r="O26" i="10"/>
  <c r="AG80" i="5"/>
  <c r="AB23" i="10"/>
  <c r="H71" i="19"/>
  <c r="AM80" i="5"/>
  <c r="D78" i="19"/>
  <c r="D80" i="5"/>
  <c r="W76" i="5"/>
  <c r="H76" i="5"/>
  <c r="W23" i="10"/>
  <c r="K17" i="12"/>
  <c r="K18" i="12"/>
  <c r="P76" i="5"/>
  <c r="K20" i="12"/>
  <c r="Q74" i="19"/>
  <c r="J71" i="19"/>
  <c r="H74" i="19"/>
  <c r="AB26" i="10"/>
  <c r="Q78" i="19"/>
  <c r="Q32" i="10"/>
  <c r="M26" i="10"/>
  <c r="M51" i="10" s="1"/>
  <c r="F57" i="7"/>
  <c r="AC73" i="5"/>
  <c r="F78" i="19"/>
  <c r="AC80" i="5"/>
  <c r="AC76" i="5"/>
  <c r="AK73" i="5"/>
  <c r="F71" i="19"/>
  <c r="BY192" i="26"/>
  <c r="BU193" i="26"/>
  <c r="BM116" i="26"/>
  <c r="BR116" i="26" s="1"/>
  <c r="BL117" i="26"/>
  <c r="BM190" i="26"/>
  <c r="BR190" i="26" s="1"/>
  <c r="BL191" i="26"/>
  <c r="AU191" i="26"/>
  <c r="AQ192" i="26"/>
  <c r="W120" i="26"/>
  <c r="AA119" i="26"/>
  <c r="J20" i="12"/>
  <c r="J19" i="12"/>
  <c r="J16" i="12"/>
  <c r="J18" i="12"/>
  <c r="J17" i="12"/>
  <c r="AS116" i="26"/>
  <c r="AR117" i="26"/>
  <c r="AU118" i="26"/>
  <c r="AQ119" i="26"/>
  <c r="CB117" i="26"/>
  <c r="AH193" i="26"/>
  <c r="AI192" i="26"/>
  <c r="AN192" i="26" s="1"/>
  <c r="BY118" i="26"/>
  <c r="BU119" i="26"/>
  <c r="K37" i="26"/>
  <c r="T37" i="26"/>
  <c r="Q37" i="26"/>
  <c r="H37" i="26"/>
  <c r="N37" i="26"/>
  <c r="AA192" i="26"/>
  <c r="W193" i="26"/>
  <c r="BA121" i="26"/>
  <c r="BE120" i="26"/>
  <c r="R69" i="19"/>
  <c r="BA192" i="26"/>
  <c r="BE191" i="26"/>
  <c r="AS190" i="26"/>
  <c r="AX190" i="26" s="1"/>
  <c r="AR191" i="26"/>
  <c r="BB193" i="26"/>
  <c r="BC192" i="26"/>
  <c r="BC116" i="26"/>
  <c r="BH116" i="26" s="1"/>
  <c r="BB117" i="26"/>
  <c r="BO118" i="26"/>
  <c r="BK119" i="26"/>
  <c r="BO192" i="26"/>
  <c r="BK193" i="26"/>
  <c r="E43" i="8"/>
  <c r="AX115" i="26"/>
  <c r="AG134" i="26"/>
  <c r="AK133" i="26"/>
  <c r="AH119" i="26"/>
  <c r="AI118" i="26"/>
  <c r="AN118" i="26" s="1"/>
  <c r="BF190" i="26"/>
  <c r="BG190" i="26" s="1"/>
  <c r="BI190" i="26" s="1"/>
  <c r="BD191" i="26" s="1"/>
  <c r="BH191" i="26" s="1"/>
  <c r="AG195" i="26" l="1"/>
  <c r="AK194" i="26"/>
  <c r="B32" i="30"/>
  <c r="C32" i="30" s="1"/>
  <c r="N85" i="5"/>
  <c r="S26" i="5"/>
  <c r="S25" i="5"/>
  <c r="W28" i="10"/>
  <c r="W34" i="10" s="1"/>
  <c r="Y28" i="10"/>
  <c r="Y34" i="10" s="1"/>
  <c r="CB190" i="26"/>
  <c r="BZ190" i="26"/>
  <c r="CA190" i="26" s="1"/>
  <c r="CC190" i="26" s="1"/>
  <c r="BX191" i="26" s="1"/>
  <c r="AV190" i="26"/>
  <c r="AW190" i="26" s="1"/>
  <c r="AY190" i="26" s="1"/>
  <c r="AT191" i="26" s="1"/>
  <c r="BP190" i="26"/>
  <c r="BQ190" i="26" s="1"/>
  <c r="BS190" i="26" s="1"/>
  <c r="BN191" i="26" s="1"/>
  <c r="AL189" i="26"/>
  <c r="AM189" i="26" s="1"/>
  <c r="AO189" i="26" s="1"/>
  <c r="AJ190" i="26" s="1"/>
  <c r="Q14" i="4"/>
  <c r="Q25" i="4"/>
  <c r="O8" i="19"/>
  <c r="O10" i="19" s="1"/>
  <c r="U8" i="5"/>
  <c r="S17" i="4"/>
  <c r="S21" i="4" s="1"/>
  <c r="T22" i="4" s="1"/>
  <c r="S40" i="4"/>
  <c r="S37" i="4"/>
  <c r="N145" i="4"/>
  <c r="S20" i="5"/>
  <c r="S36" i="5"/>
  <c r="S23" i="5"/>
  <c r="R144" i="4"/>
  <c r="S144" i="4"/>
  <c r="AK9" i="5"/>
  <c r="AG26" i="4"/>
  <c r="AI19" i="4"/>
  <c r="AI41" i="4"/>
  <c r="AI12" i="4" s="1"/>
  <c r="Q85" i="19"/>
  <c r="Q92" i="19" s="1"/>
  <c r="Q73" i="19" s="1"/>
  <c r="Q76" i="19" s="1"/>
  <c r="Q81" i="19" s="1"/>
  <c r="Q89" i="19"/>
  <c r="Q87" i="19"/>
  <c r="S28" i="10"/>
  <c r="S34" i="10" s="1"/>
  <c r="AN169" i="26"/>
  <c r="BY119" i="26"/>
  <c r="BU120" i="26"/>
  <c r="AN243" i="26"/>
  <c r="AS117" i="26"/>
  <c r="AR118" i="26"/>
  <c r="AA120" i="26"/>
  <c r="W121" i="26"/>
  <c r="J87" i="19"/>
  <c r="J89" i="19"/>
  <c r="J85" i="19"/>
  <c r="J92" i="19" s="1"/>
  <c r="J73" i="19" s="1"/>
  <c r="J76" i="19" s="1"/>
  <c r="J81" i="19" s="1"/>
  <c r="J83" i="19" s="1"/>
  <c r="H89" i="19"/>
  <c r="H85" i="19"/>
  <c r="H92" i="19" s="1"/>
  <c r="H73" i="19" s="1"/>
  <c r="H76" i="19" s="1"/>
  <c r="H81" i="19" s="1"/>
  <c r="H83" i="19" s="1"/>
  <c r="H87" i="19"/>
  <c r="M85" i="19"/>
  <c r="M92" i="19" s="1"/>
  <c r="M73" i="19" s="1"/>
  <c r="M76" i="19" s="1"/>
  <c r="M81" i="19" s="1"/>
  <c r="M89" i="19"/>
  <c r="M87" i="19"/>
  <c r="AX116" i="26"/>
  <c r="BK194" i="26"/>
  <c r="BO193" i="26"/>
  <c r="BC117" i="26"/>
  <c r="BH117" i="26" s="1"/>
  <c r="BB118" i="26"/>
  <c r="E33" i="26"/>
  <c r="L13" i="26" s="1"/>
  <c r="L15" i="26" s="1"/>
  <c r="D51" i="8"/>
  <c r="B29" i="1"/>
  <c r="O94" i="8"/>
  <c r="H51" i="8"/>
  <c r="C96" i="1"/>
  <c r="B96" i="1" s="1"/>
  <c r="B5" i="12"/>
  <c r="B7" i="12" s="1"/>
  <c r="I36" i="8"/>
  <c r="J51" i="8"/>
  <c r="L51" i="8"/>
  <c r="F51" i="8"/>
  <c r="BF191" i="26"/>
  <c r="BG191" i="26" s="1"/>
  <c r="BI191" i="26" s="1"/>
  <c r="BD192" i="26" s="1"/>
  <c r="BH192" i="26" s="1"/>
  <c r="BH243" i="26" s="1"/>
  <c r="N80" i="26" s="1"/>
  <c r="BE121" i="26"/>
  <c r="BA122" i="26"/>
  <c r="AA193" i="26"/>
  <c r="W194" i="26"/>
  <c r="CB118" i="26"/>
  <c r="CB169" i="26" s="1"/>
  <c r="AH194" i="26"/>
  <c r="AI193" i="26"/>
  <c r="AU119" i="26"/>
  <c r="AQ120" i="26"/>
  <c r="AU192" i="26"/>
  <c r="AQ193" i="26"/>
  <c r="BU194" i="26"/>
  <c r="BY193" i="26"/>
  <c r="AB28" i="10"/>
  <c r="AB34" i="10" s="1"/>
  <c r="O28" i="10"/>
  <c r="O34" i="10" s="1"/>
  <c r="O85" i="19"/>
  <c r="O92" i="19" s="1"/>
  <c r="O73" i="19" s="1"/>
  <c r="O76" i="19" s="1"/>
  <c r="O81" i="19" s="1"/>
  <c r="O87" i="19"/>
  <c r="O89" i="19"/>
  <c r="P91" i="5"/>
  <c r="P87" i="5"/>
  <c r="P89" i="5"/>
  <c r="P78" i="5"/>
  <c r="P83" i="5" s="1"/>
  <c r="P85" i="5" s="1"/>
  <c r="L18" i="12"/>
  <c r="I32" i="10"/>
  <c r="I48" i="10" s="1"/>
  <c r="D57" i="1"/>
  <c r="E34" i="26"/>
  <c r="E18" i="1"/>
  <c r="C46" i="1" s="1"/>
  <c r="B11" i="12"/>
  <c r="E30" i="11"/>
  <c r="E90" i="11" s="1"/>
  <c r="Z107" i="26"/>
  <c r="BF116" i="26" s="1"/>
  <c r="BG116" i="26" s="1"/>
  <c r="Z181" i="26"/>
  <c r="E37" i="26"/>
  <c r="AD183" i="26"/>
  <c r="AD181" i="26"/>
  <c r="AD182" i="26"/>
  <c r="AD185" i="26"/>
  <c r="AD186" i="26"/>
  <c r="AD187" i="26"/>
  <c r="AD113" i="26"/>
  <c r="AD114" i="26"/>
  <c r="AD115" i="26"/>
  <c r="AD116" i="26"/>
  <c r="AD117" i="26"/>
  <c r="AG135" i="26"/>
  <c r="AK134" i="26"/>
  <c r="BM117" i="26"/>
  <c r="BR117" i="26" s="1"/>
  <c r="BP117" i="26" s="1"/>
  <c r="BQ117" i="26" s="1"/>
  <c r="BL118" i="26"/>
  <c r="F59" i="7"/>
  <c r="F62" i="7" s="1"/>
  <c r="Q34" i="10"/>
  <c r="L78" i="5"/>
  <c r="L83" i="5" s="1"/>
  <c r="L85" i="5" s="1"/>
  <c r="L87" i="5"/>
  <c r="L89" i="5"/>
  <c r="L91" i="5"/>
  <c r="H78" i="5"/>
  <c r="H83" i="5" s="1"/>
  <c r="H85" i="5" s="1"/>
  <c r="H89" i="5"/>
  <c r="H87" i="5"/>
  <c r="H91" i="5"/>
  <c r="D78" i="5"/>
  <c r="D83" i="5" s="1"/>
  <c r="D85" i="5" s="1"/>
  <c r="D87" i="5"/>
  <c r="D89" i="5"/>
  <c r="D91" i="5"/>
  <c r="L19" i="12"/>
  <c r="E57" i="1"/>
  <c r="K32" i="10"/>
  <c r="K48" i="10" s="1"/>
  <c r="F57" i="1"/>
  <c r="M32" i="10"/>
  <c r="M48" i="10" s="1"/>
  <c r="L20" i="12"/>
  <c r="BO119" i="26"/>
  <c r="BK120" i="26"/>
  <c r="BE192" i="26"/>
  <c r="BA193" i="26"/>
  <c r="AH120" i="26"/>
  <c r="AI119" i="26"/>
  <c r="BC193" i="26"/>
  <c r="BB194" i="26"/>
  <c r="AS191" i="26"/>
  <c r="AX191" i="26" s="1"/>
  <c r="AV191" i="26" s="1"/>
  <c r="AW191" i="26" s="1"/>
  <c r="AY191" i="26" s="1"/>
  <c r="AT192" i="26" s="1"/>
  <c r="AR192" i="26"/>
  <c r="AD119" i="26"/>
  <c r="BM191" i="26"/>
  <c r="BR191" i="26" s="1"/>
  <c r="BP191" i="26" s="1"/>
  <c r="BQ191" i="26" s="1"/>
  <c r="BS191" i="26" s="1"/>
  <c r="BN192" i="26" s="1"/>
  <c r="BL192" i="26"/>
  <c r="F89" i="19"/>
  <c r="F85" i="19"/>
  <c r="F92" i="19" s="1"/>
  <c r="F73" i="19" s="1"/>
  <c r="F76" i="19" s="1"/>
  <c r="F81" i="19" s="1"/>
  <c r="F83" i="19" s="1"/>
  <c r="F87" i="19"/>
  <c r="U28" i="10"/>
  <c r="U34" i="10" s="1"/>
  <c r="F91" i="5"/>
  <c r="F78" i="5"/>
  <c r="F83" i="5" s="1"/>
  <c r="F85" i="5" s="1"/>
  <c r="F89" i="5"/>
  <c r="F87" i="5"/>
  <c r="D87" i="19"/>
  <c r="D89" i="19"/>
  <c r="D85" i="19"/>
  <c r="D92" i="19" s="1"/>
  <c r="D73" i="19" s="1"/>
  <c r="D76" i="19" s="1"/>
  <c r="D81" i="19" s="1"/>
  <c r="D83" i="19" s="1"/>
  <c r="J87" i="5"/>
  <c r="J78" i="5"/>
  <c r="J83" i="5" s="1"/>
  <c r="J85" i="5" s="1"/>
  <c r="J91" i="5"/>
  <c r="J89" i="5"/>
  <c r="L17" i="12"/>
  <c r="L16" i="12"/>
  <c r="C57" i="1"/>
  <c r="G32" i="10"/>
  <c r="G48" i="10" s="1"/>
  <c r="B57" i="1"/>
  <c r="E32" i="10"/>
  <c r="E48" i="10" s="1"/>
  <c r="D67" i="8"/>
  <c r="AG196" i="26" l="1"/>
  <c r="AK195" i="26"/>
  <c r="U17" i="5"/>
  <c r="U18" i="5"/>
  <c r="S28" i="5"/>
  <c r="T28" i="5" s="1"/>
  <c r="S22" i="5"/>
  <c r="AB119" i="26"/>
  <c r="AC119" i="26" s="1"/>
  <c r="Q83" i="19"/>
  <c r="BF117" i="26"/>
  <c r="BG117" i="26" s="1"/>
  <c r="AV115" i="26"/>
  <c r="AW115" i="26" s="1"/>
  <c r="AV116" i="26"/>
  <c r="AW116" i="26" s="1"/>
  <c r="AL108" i="26"/>
  <c r="AM108" i="26" s="1"/>
  <c r="BP107" i="26"/>
  <c r="AL107" i="26"/>
  <c r="AV107" i="26"/>
  <c r="BZ107" i="26"/>
  <c r="BF107" i="26"/>
  <c r="AL109" i="26"/>
  <c r="AM109" i="26" s="1"/>
  <c r="AL110" i="26"/>
  <c r="AM110" i="26" s="1"/>
  <c r="BF108" i="26"/>
  <c r="BG108" i="26" s="1"/>
  <c r="BP108" i="26"/>
  <c r="BQ108" i="26" s="1"/>
  <c r="AV108" i="26"/>
  <c r="AW108" i="26" s="1"/>
  <c r="BZ108" i="26"/>
  <c r="CA108" i="26" s="1"/>
  <c r="AL111" i="26"/>
  <c r="AM111" i="26" s="1"/>
  <c r="BF109" i="26"/>
  <c r="BG109" i="26" s="1"/>
  <c r="BP109" i="26"/>
  <c r="BQ109" i="26" s="1"/>
  <c r="BP110" i="26"/>
  <c r="BQ110" i="26" s="1"/>
  <c r="AV109" i="26"/>
  <c r="AW109" i="26" s="1"/>
  <c r="AL112" i="26"/>
  <c r="AM112" i="26" s="1"/>
  <c r="BF110" i="26"/>
  <c r="BG110" i="26" s="1"/>
  <c r="BZ110" i="26"/>
  <c r="CA110" i="26" s="1"/>
  <c r="BF111" i="26"/>
  <c r="BG111" i="26" s="1"/>
  <c r="BP111" i="26"/>
  <c r="BQ111" i="26" s="1"/>
  <c r="AL113" i="26"/>
  <c r="AM113" i="26" s="1"/>
  <c r="AV110" i="26"/>
  <c r="AW110" i="26" s="1"/>
  <c r="BP112" i="26"/>
  <c r="BQ112" i="26" s="1"/>
  <c r="BZ112" i="26"/>
  <c r="CA112" i="26" s="1"/>
  <c r="BF112" i="26"/>
  <c r="BG112" i="26" s="1"/>
  <c r="AV111" i="26"/>
  <c r="AW111" i="26" s="1"/>
  <c r="AL114" i="26"/>
  <c r="AM114" i="26" s="1"/>
  <c r="BP113" i="26"/>
  <c r="BQ113" i="26" s="1"/>
  <c r="AL115" i="26"/>
  <c r="AM115" i="26" s="1"/>
  <c r="BF113" i="26"/>
  <c r="BG113" i="26" s="1"/>
  <c r="AV112" i="26"/>
  <c r="AW112" i="26" s="1"/>
  <c r="BZ115" i="26"/>
  <c r="CA115" i="26" s="1"/>
  <c r="AL116" i="26"/>
  <c r="AM116" i="26" s="1"/>
  <c r="AV113" i="26"/>
  <c r="AW113" i="26" s="1"/>
  <c r="BP114" i="26"/>
  <c r="BQ114" i="26" s="1"/>
  <c r="BZ114" i="26"/>
  <c r="CA114" i="26" s="1"/>
  <c r="BF114" i="26"/>
  <c r="BG114" i="26" s="1"/>
  <c r="AL117" i="26"/>
  <c r="AM117" i="26" s="1"/>
  <c r="BZ113" i="26"/>
  <c r="CA113" i="26" s="1"/>
  <c r="BP115" i="26"/>
  <c r="BQ115" i="26" s="1"/>
  <c r="BF115" i="26"/>
  <c r="BG115" i="26" s="1"/>
  <c r="BZ116" i="26"/>
  <c r="CA116" i="26" s="1"/>
  <c r="AV114" i="26"/>
  <c r="AW114" i="26" s="1"/>
  <c r="BP116" i="26"/>
  <c r="BQ116" i="26" s="1"/>
  <c r="AL118" i="26"/>
  <c r="AM118" i="26" s="1"/>
  <c r="BZ117" i="26"/>
  <c r="CA117" i="26" s="1"/>
  <c r="CB191" i="26"/>
  <c r="BZ191" i="26"/>
  <c r="AL190" i="26"/>
  <c r="AM190" i="26" s="1"/>
  <c r="AO190" i="26" s="1"/>
  <c r="AJ191" i="26" s="1"/>
  <c r="AD184" i="26"/>
  <c r="U10" i="5"/>
  <c r="U15" i="5"/>
  <c r="F38" i="1"/>
  <c r="F40" i="1" s="1"/>
  <c r="P145" i="4"/>
  <c r="T144" i="4"/>
  <c r="V144" i="4" s="1"/>
  <c r="U33" i="4" s="1"/>
  <c r="S35" i="5"/>
  <c r="S37" i="5"/>
  <c r="T18" i="5"/>
  <c r="E9" i="10"/>
  <c r="T64" i="5"/>
  <c r="S39" i="5"/>
  <c r="S34" i="5"/>
  <c r="A16" i="12"/>
  <c r="G16" i="12" s="1"/>
  <c r="T65" i="5"/>
  <c r="T66" i="5"/>
  <c r="E42" i="1"/>
  <c r="S67" i="5"/>
  <c r="S69" i="5" s="1"/>
  <c r="S38" i="5"/>
  <c r="T58" i="5"/>
  <c r="T17" i="5"/>
  <c r="S33" i="5"/>
  <c r="T16" i="5"/>
  <c r="T15" i="5"/>
  <c r="S42" i="4"/>
  <c r="S43" i="4" s="1"/>
  <c r="S10" i="4"/>
  <c r="Q27" i="4"/>
  <c r="R15" i="4"/>
  <c r="AM9" i="5"/>
  <c r="AI26" i="4"/>
  <c r="O83" i="19"/>
  <c r="M83" i="19"/>
  <c r="BZ118" i="26"/>
  <c r="BM192" i="26"/>
  <c r="BR192" i="26" s="1"/>
  <c r="BL193" i="26"/>
  <c r="AL119" i="26"/>
  <c r="AN119" i="26"/>
  <c r="AD107" i="26"/>
  <c r="AB113" i="26"/>
  <c r="AC113" i="26" s="1"/>
  <c r="AB114" i="26"/>
  <c r="AC114" i="26" s="1"/>
  <c r="AB115" i="26"/>
  <c r="AC115" i="26" s="1"/>
  <c r="AB116" i="26"/>
  <c r="AC116" i="26" s="1"/>
  <c r="AB117" i="26"/>
  <c r="AC117" i="26" s="1"/>
  <c r="AB118" i="26"/>
  <c r="AC118" i="26" s="1"/>
  <c r="C47" i="1"/>
  <c r="D46" i="1"/>
  <c r="B46" i="1"/>
  <c r="B47" i="1" s="1"/>
  <c r="AU193" i="26"/>
  <c r="AQ194" i="26"/>
  <c r="AA194" i="26"/>
  <c r="W195" i="26"/>
  <c r="AX117" i="26"/>
  <c r="AV117" i="26" s="1"/>
  <c r="AW117" i="26" s="1"/>
  <c r="AS118" i="26"/>
  <c r="AR119" i="26"/>
  <c r="BY120" i="26"/>
  <c r="BU121" i="26"/>
  <c r="D52" i="11"/>
  <c r="BC194" i="26"/>
  <c r="BB195" i="26"/>
  <c r="AI120" i="26"/>
  <c r="AH121" i="26"/>
  <c r="AD242" i="26"/>
  <c r="AB181" i="26"/>
  <c r="AC181" i="26" s="1"/>
  <c r="AE181" i="26" s="1"/>
  <c r="Z182" i="26" s="1"/>
  <c r="AN193" i="26"/>
  <c r="CB119" i="26"/>
  <c r="BZ119" i="26"/>
  <c r="F67" i="8"/>
  <c r="BA194" i="26"/>
  <c r="BE193" i="26"/>
  <c r="BM118" i="26"/>
  <c r="BR118" i="26" s="1"/>
  <c r="BL119" i="26"/>
  <c r="AG136" i="26"/>
  <c r="AK135" i="26"/>
  <c r="AH195" i="26"/>
  <c r="AI194" i="26"/>
  <c r="BA123" i="26"/>
  <c r="BE122" i="26"/>
  <c r="C16" i="12"/>
  <c r="C19" i="12"/>
  <c r="C18" i="12"/>
  <c r="C17" i="12"/>
  <c r="C20" i="12"/>
  <c r="E15" i="1"/>
  <c r="F29" i="1"/>
  <c r="B30" i="1"/>
  <c r="BO194" i="26"/>
  <c r="BK195" i="26"/>
  <c r="W122" i="26"/>
  <c r="AA121" i="26"/>
  <c r="H80" i="26"/>
  <c r="AR193" i="26"/>
  <c r="AS192" i="26"/>
  <c r="AX192" i="26" s="1"/>
  <c r="AX243" i="26" s="1"/>
  <c r="BF192" i="26"/>
  <c r="BF243" i="26" s="1"/>
  <c r="BK121" i="26"/>
  <c r="BO120" i="26"/>
  <c r="D18" i="12"/>
  <c r="D19" i="12"/>
  <c r="D17" i="12"/>
  <c r="D16" i="12"/>
  <c r="D20" i="12"/>
  <c r="BU195" i="26"/>
  <c r="BY194" i="26"/>
  <c r="AQ121" i="26"/>
  <c r="AU120" i="26"/>
  <c r="O81" i="8"/>
  <c r="N84" i="8"/>
  <c r="N51" i="8"/>
  <c r="U38" i="10" s="1"/>
  <c r="BC118" i="26"/>
  <c r="BH118" i="26" s="1"/>
  <c r="BB119" i="26"/>
  <c r="AD120" i="26"/>
  <c r="AB120" i="26"/>
  <c r="CA191" i="26" l="1"/>
  <c r="CC191" i="26" s="1"/>
  <c r="BX192" i="26" s="1"/>
  <c r="AG197" i="26"/>
  <c r="AK196" i="26"/>
  <c r="E43" i="1"/>
  <c r="S30" i="5"/>
  <c r="E11" i="10"/>
  <c r="U26" i="5"/>
  <c r="U25" i="5"/>
  <c r="E16" i="12"/>
  <c r="T20" i="5"/>
  <c r="T30" i="5" s="1"/>
  <c r="F13" i="10" s="1"/>
  <c r="U35" i="4"/>
  <c r="AM107" i="26"/>
  <c r="AL168" i="26"/>
  <c r="BQ107" i="26"/>
  <c r="BS107" i="26" s="1"/>
  <c r="BN108" i="26" s="1"/>
  <c r="BS108" i="26" s="1"/>
  <c r="BN109" i="26" s="1"/>
  <c r="BS109" i="26" s="1"/>
  <c r="BN110" i="26" s="1"/>
  <c r="BS110" i="26" s="1"/>
  <c r="BN111" i="26" s="1"/>
  <c r="BS111" i="26" s="1"/>
  <c r="BN112" i="26" s="1"/>
  <c r="BS112" i="26" s="1"/>
  <c r="BN113" i="26" s="1"/>
  <c r="BS113" i="26" s="1"/>
  <c r="BN114" i="26" s="1"/>
  <c r="BS114" i="26" s="1"/>
  <c r="BN115" i="26" s="1"/>
  <c r="BS115" i="26" s="1"/>
  <c r="BN116" i="26" s="1"/>
  <c r="BS116" i="26" s="1"/>
  <c r="BN117" i="26" s="1"/>
  <c r="BS117" i="26" s="1"/>
  <c r="BN118" i="26" s="1"/>
  <c r="BP168" i="26"/>
  <c r="BG107" i="26"/>
  <c r="BI107" i="26" s="1"/>
  <c r="BD108" i="26" s="1"/>
  <c r="BI108" i="26" s="1"/>
  <c r="BD109" i="26" s="1"/>
  <c r="BI109" i="26" s="1"/>
  <c r="BD110" i="26" s="1"/>
  <c r="BI110" i="26" s="1"/>
  <c r="BD111" i="26" s="1"/>
  <c r="BI111" i="26" s="1"/>
  <c r="BD112" i="26" s="1"/>
  <c r="BI112" i="26" s="1"/>
  <c r="BD113" i="26" s="1"/>
  <c r="BI113" i="26" s="1"/>
  <c r="BD114" i="26" s="1"/>
  <c r="BI114" i="26" s="1"/>
  <c r="BD115" i="26" s="1"/>
  <c r="BI115" i="26" s="1"/>
  <c r="BD116" i="26" s="1"/>
  <c r="BI116" i="26" s="1"/>
  <c r="BD117" i="26" s="1"/>
  <c r="BI117" i="26" s="1"/>
  <c r="BD118" i="26" s="1"/>
  <c r="BF168" i="26"/>
  <c r="CA107" i="26"/>
  <c r="BZ168" i="26"/>
  <c r="U79" i="26" s="1"/>
  <c r="AL169" i="26"/>
  <c r="AW107" i="26"/>
  <c r="AY107" i="26" s="1"/>
  <c r="AT108" i="26" s="1"/>
  <c r="AY108" i="26" s="1"/>
  <c r="AT109" i="26" s="1"/>
  <c r="AY109" i="26" s="1"/>
  <c r="AT110" i="26" s="1"/>
  <c r="AY110" i="26" s="1"/>
  <c r="AT111" i="26" s="1"/>
  <c r="AY111" i="26" s="1"/>
  <c r="AT112" i="26" s="1"/>
  <c r="AY112" i="26" s="1"/>
  <c r="AT113" i="26" s="1"/>
  <c r="AY113" i="26" s="1"/>
  <c r="AT114" i="26" s="1"/>
  <c r="AY114" i="26" s="1"/>
  <c r="AT115" i="26" s="1"/>
  <c r="AY115" i="26" s="1"/>
  <c r="AT116" i="26" s="1"/>
  <c r="AY116" i="26" s="1"/>
  <c r="AT117" i="26" s="1"/>
  <c r="AY117" i="26" s="1"/>
  <c r="AT118" i="26" s="1"/>
  <c r="AV168" i="26"/>
  <c r="CB192" i="26"/>
  <c r="CB243" i="26" s="1"/>
  <c r="T80" i="26" s="1"/>
  <c r="BZ192" i="26"/>
  <c r="BZ169" i="26"/>
  <c r="CA118" i="26"/>
  <c r="BG192" i="26"/>
  <c r="BG243" i="26" s="1"/>
  <c r="AL191" i="26"/>
  <c r="AM191" i="26" s="1"/>
  <c r="AO191" i="26" s="1"/>
  <c r="AJ192" i="26" s="1"/>
  <c r="AB182" i="26"/>
  <c r="AC182" i="26" s="1"/>
  <c r="AE182" i="26" s="1"/>
  <c r="Z183" i="26" s="1"/>
  <c r="CB193" i="26"/>
  <c r="E17" i="12"/>
  <c r="R145" i="4"/>
  <c r="T145" i="4" s="1"/>
  <c r="S145" i="4"/>
  <c r="U11" i="5"/>
  <c r="O11" i="19"/>
  <c r="F11" i="10"/>
  <c r="E81" i="11"/>
  <c r="E82" i="11" s="1"/>
  <c r="E13" i="10"/>
  <c r="S25" i="4"/>
  <c r="S14" i="4"/>
  <c r="Q8" i="19"/>
  <c r="Q10" i="19" s="1"/>
  <c r="W8" i="5"/>
  <c r="U36" i="5"/>
  <c r="U20" i="5"/>
  <c r="U23" i="5"/>
  <c r="S41" i="5"/>
  <c r="E83" i="11"/>
  <c r="E19" i="10"/>
  <c r="T69" i="5"/>
  <c r="F19" i="10" s="1"/>
  <c r="AB38" i="10"/>
  <c r="E20" i="12"/>
  <c r="O38" i="10"/>
  <c r="CA119" i="26"/>
  <c r="E19" i="12"/>
  <c r="K80" i="26"/>
  <c r="BA124" i="26"/>
  <c r="BE123" i="26"/>
  <c r="AG137" i="26"/>
  <c r="AK136" i="26"/>
  <c r="F52" i="11"/>
  <c r="H67" i="8"/>
  <c r="AN120" i="26"/>
  <c r="AL120" i="26"/>
  <c r="CB120" i="26"/>
  <c r="BZ120" i="26"/>
  <c r="AC120" i="26"/>
  <c r="BH169" i="26"/>
  <c r="BF118" i="26"/>
  <c r="E18" i="12"/>
  <c r="O80" i="26"/>
  <c r="N34" i="26"/>
  <c r="AR194" i="26"/>
  <c r="AS193" i="26"/>
  <c r="BK196" i="26"/>
  <c r="BO195" i="26"/>
  <c r="AI195" i="26"/>
  <c r="AH196" i="26"/>
  <c r="BM119" i="26"/>
  <c r="BL120" i="26"/>
  <c r="BE194" i="26"/>
  <c r="BA195" i="26"/>
  <c r="AV192" i="26"/>
  <c r="BB196" i="26"/>
  <c r="BC195" i="26"/>
  <c r="AS119" i="26"/>
  <c r="AR120" i="26"/>
  <c r="E46" i="1"/>
  <c r="D47" i="1"/>
  <c r="AB107" i="26"/>
  <c r="AC107" i="26" s="1"/>
  <c r="AE107" i="26" s="1"/>
  <c r="Z108" i="26" s="1"/>
  <c r="BC119" i="26"/>
  <c r="BB120" i="26"/>
  <c r="AA122" i="26"/>
  <c r="W123" i="26"/>
  <c r="AX118" i="26"/>
  <c r="W38" i="10"/>
  <c r="S38" i="10"/>
  <c r="I16" i="12"/>
  <c r="BR169" i="26"/>
  <c r="BP118" i="26"/>
  <c r="Q38" i="10"/>
  <c r="AA195" i="26"/>
  <c r="W196" i="26"/>
  <c r="AQ195" i="26"/>
  <c r="AU194" i="26"/>
  <c r="AD108" i="26"/>
  <c r="AB108" i="26" s="1"/>
  <c r="AC108" i="26" s="1"/>
  <c r="BM193" i="26"/>
  <c r="BL194" i="26"/>
  <c r="BI192" i="26"/>
  <c r="BD193" i="26" s="1"/>
  <c r="AU121" i="26"/>
  <c r="AQ122" i="26"/>
  <c r="BU196" i="26"/>
  <c r="BY195" i="26"/>
  <c r="BK122" i="26"/>
  <c r="BO121" i="26"/>
  <c r="AD121" i="26"/>
  <c r="AB121" i="26"/>
  <c r="Y38" i="10"/>
  <c r="AI121" i="26"/>
  <c r="AH122" i="26"/>
  <c r="BY121" i="26"/>
  <c r="BU122" i="26"/>
  <c r="AM119" i="26"/>
  <c r="BR243" i="26"/>
  <c r="BP192" i="26"/>
  <c r="AK197" i="26" l="1"/>
  <c r="AG198" i="26"/>
  <c r="W18" i="5"/>
  <c r="W17" i="5"/>
  <c r="U28" i="5"/>
  <c r="G11" i="10" s="1"/>
  <c r="AE108" i="26"/>
  <c r="Z109" i="26" s="1"/>
  <c r="AW168" i="26"/>
  <c r="BQ168" i="26"/>
  <c r="F9" i="10"/>
  <c r="U37" i="4"/>
  <c r="U40" i="4"/>
  <c r="U10" i="4" s="1"/>
  <c r="U17" i="4"/>
  <c r="BG168" i="26"/>
  <c r="CC107" i="26"/>
  <c r="BX108" i="26" s="1"/>
  <c r="CC108" i="26" s="1"/>
  <c r="BX109" i="26" s="1"/>
  <c r="CA168" i="26"/>
  <c r="AO107" i="26"/>
  <c r="AJ108" i="26" s="1"/>
  <c r="AO108" i="26" s="1"/>
  <c r="AJ109" i="26" s="1"/>
  <c r="AO109" i="26" s="1"/>
  <c r="AJ110" i="26" s="1"/>
  <c r="AO110" i="26" s="1"/>
  <c r="AJ111" i="26" s="1"/>
  <c r="AO111" i="26" s="1"/>
  <c r="AJ112" i="26" s="1"/>
  <c r="AO112" i="26" s="1"/>
  <c r="AJ113" i="26" s="1"/>
  <c r="AO113" i="26" s="1"/>
  <c r="AJ114" i="26" s="1"/>
  <c r="AO114" i="26" s="1"/>
  <c r="AJ115" i="26" s="1"/>
  <c r="AO115" i="26" s="1"/>
  <c r="AJ116" i="26" s="1"/>
  <c r="AO116" i="26" s="1"/>
  <c r="AJ117" i="26" s="1"/>
  <c r="AO117" i="26" s="1"/>
  <c r="AJ118" i="26" s="1"/>
  <c r="AO118" i="26" s="1"/>
  <c r="AJ119" i="26" s="1"/>
  <c r="AO119" i="26" s="1"/>
  <c r="AJ120" i="26" s="1"/>
  <c r="AM169" i="26"/>
  <c r="AM168" i="26"/>
  <c r="BZ243" i="26"/>
  <c r="T34" i="26" s="1"/>
  <c r="CA192" i="26"/>
  <c r="CA169" i="26"/>
  <c r="BP243" i="26"/>
  <c r="BQ192" i="26"/>
  <c r="BP169" i="26"/>
  <c r="BQ118" i="26"/>
  <c r="BF169" i="26"/>
  <c r="BG118" i="26"/>
  <c r="AV243" i="26"/>
  <c r="K34" i="26" s="1"/>
  <c r="AW192" i="26"/>
  <c r="AL192" i="26"/>
  <c r="AB183" i="26"/>
  <c r="AC183" i="26" s="1"/>
  <c r="AE183" i="26" s="1"/>
  <c r="Z184" i="26" s="1"/>
  <c r="AB242" i="26"/>
  <c r="CB194" i="26"/>
  <c r="AX193" i="26"/>
  <c r="BF193" i="26"/>
  <c r="BH193" i="26"/>
  <c r="E84" i="11"/>
  <c r="V145" i="4"/>
  <c r="W33" i="4" s="1"/>
  <c r="AL33" i="4" s="1"/>
  <c r="V15" i="5"/>
  <c r="U30" i="5"/>
  <c r="U35" i="5"/>
  <c r="V66" i="5"/>
  <c r="V65" i="5"/>
  <c r="V64" i="5"/>
  <c r="V18" i="5"/>
  <c r="V17" i="5"/>
  <c r="G9" i="10"/>
  <c r="U34" i="5"/>
  <c r="U37" i="5"/>
  <c r="F42" i="1"/>
  <c r="U33" i="5"/>
  <c r="V16" i="5"/>
  <c r="U38" i="5"/>
  <c r="U39" i="5"/>
  <c r="V58" i="5"/>
  <c r="A17" i="12"/>
  <c r="G17" i="12" s="1"/>
  <c r="I17" i="12" s="1"/>
  <c r="G42" i="10" s="1"/>
  <c r="G47" i="10" s="1"/>
  <c r="G53" i="10" s="1"/>
  <c r="U67" i="5"/>
  <c r="U69" i="5" s="1"/>
  <c r="S27" i="4"/>
  <c r="T15" i="4"/>
  <c r="S45" i="5"/>
  <c r="T45" i="5" s="1"/>
  <c r="T41" i="5"/>
  <c r="F15" i="10" s="1"/>
  <c r="E15" i="10"/>
  <c r="E44" i="1"/>
  <c r="E45" i="1" s="1"/>
  <c r="E47" i="1" s="1"/>
  <c r="B55" i="1" s="1"/>
  <c r="W10" i="5"/>
  <c r="W15" i="5"/>
  <c r="G38" i="1"/>
  <c r="G40" i="1" s="1"/>
  <c r="S43" i="5"/>
  <c r="AM120" i="26"/>
  <c r="AC121" i="26"/>
  <c r="CA120" i="26"/>
  <c r="Q80" i="26"/>
  <c r="BY122" i="26"/>
  <c r="BU123" i="26"/>
  <c r="AX169" i="26"/>
  <c r="AV118" i="26"/>
  <c r="BB197" i="26"/>
  <c r="BC196" i="26"/>
  <c r="CB121" i="26"/>
  <c r="BZ121" i="26"/>
  <c r="BY196" i="26"/>
  <c r="BU197" i="26"/>
  <c r="AA196" i="26"/>
  <c r="W197" i="26"/>
  <c r="E42" i="10"/>
  <c r="E47" i="10" s="1"/>
  <c r="E53" i="10" s="1"/>
  <c r="M16" i="12"/>
  <c r="N16" i="12" s="1"/>
  <c r="BC120" i="26"/>
  <c r="BB121" i="26"/>
  <c r="F46" i="1"/>
  <c r="L80" i="26"/>
  <c r="BM120" i="26"/>
  <c r="BL121" i="26"/>
  <c r="AR195" i="26"/>
  <c r="AS194" i="26"/>
  <c r="AN121" i="26"/>
  <c r="AL121" i="26"/>
  <c r="AD109" i="26"/>
  <c r="AB109" i="26" s="1"/>
  <c r="AC109" i="26" s="1"/>
  <c r="AE109" i="26" s="1"/>
  <c r="Z110" i="26" s="1"/>
  <c r="AB122" i="26"/>
  <c r="AD122" i="26"/>
  <c r="BA125" i="26"/>
  <c r="BE124" i="26"/>
  <c r="BO122" i="26"/>
  <c r="BK123" i="26"/>
  <c r="AU122" i="26"/>
  <c r="AQ123" i="26"/>
  <c r="BM194" i="26"/>
  <c r="BL195" i="26"/>
  <c r="AU195" i="26"/>
  <c r="AQ196" i="26"/>
  <c r="BF119" i="26"/>
  <c r="BH119" i="26"/>
  <c r="AS120" i="26"/>
  <c r="AR121" i="26"/>
  <c r="BR119" i="26"/>
  <c r="BP119" i="26"/>
  <c r="AG138" i="26"/>
  <c r="AK137" i="26"/>
  <c r="Q34" i="26"/>
  <c r="R80" i="26"/>
  <c r="AH123" i="26"/>
  <c r="AI122" i="26"/>
  <c r="BR193" i="26"/>
  <c r="W124" i="26"/>
  <c r="AA123" i="26"/>
  <c r="AV119" i="26"/>
  <c r="AX119" i="26"/>
  <c r="BE195" i="26"/>
  <c r="BA196" i="26"/>
  <c r="AI196" i="26"/>
  <c r="AH197" i="26"/>
  <c r="BO196" i="26"/>
  <c r="BK197" i="26"/>
  <c r="B92" i="1"/>
  <c r="H52" i="11"/>
  <c r="J67" i="8"/>
  <c r="BG193" i="26" l="1"/>
  <c r="AG199" i="26"/>
  <c r="AK198" i="26"/>
  <c r="V28" i="5"/>
  <c r="H11" i="10" s="1"/>
  <c r="F43" i="1"/>
  <c r="U42" i="4"/>
  <c r="U43" i="4" s="1"/>
  <c r="W25" i="5"/>
  <c r="W26" i="5"/>
  <c r="V20" i="5"/>
  <c r="U41" i="5"/>
  <c r="U45" i="5" s="1"/>
  <c r="V45" i="5" s="1"/>
  <c r="U21" i="4"/>
  <c r="CB109" i="26"/>
  <c r="BZ109" i="26" s="1"/>
  <c r="CA109" i="26" s="1"/>
  <c r="CC109" i="26" s="1"/>
  <c r="BX110" i="26" s="1"/>
  <c r="CC110" i="26" s="1"/>
  <c r="BX111" i="26" s="1"/>
  <c r="CA243" i="26"/>
  <c r="CC192" i="26"/>
  <c r="BX193" i="26" s="1"/>
  <c r="BZ193" i="26" s="1"/>
  <c r="CA193" i="26" s="1"/>
  <c r="CC193" i="26" s="1"/>
  <c r="BX194" i="26" s="1"/>
  <c r="BZ194" i="26" s="1"/>
  <c r="CA194" i="26" s="1"/>
  <c r="CC194" i="26" s="1"/>
  <c r="BX195" i="26" s="1"/>
  <c r="CB195" i="26" s="1"/>
  <c r="U80" i="26"/>
  <c r="CA121" i="26"/>
  <c r="BQ243" i="26"/>
  <c r="BS192" i="26"/>
  <c r="BN193" i="26" s="1"/>
  <c r="BP193" i="26" s="1"/>
  <c r="BQ193" i="26" s="1"/>
  <c r="BQ169" i="26"/>
  <c r="BS118" i="26"/>
  <c r="BN119" i="26" s="1"/>
  <c r="BG169" i="26"/>
  <c r="BI118" i="26"/>
  <c r="BD119" i="26" s="1"/>
  <c r="AV169" i="26"/>
  <c r="AW118" i="26"/>
  <c r="AW243" i="26"/>
  <c r="AY192" i="26"/>
  <c r="AT193" i="26" s="1"/>
  <c r="AV193" i="26" s="1"/>
  <c r="AW193" i="26" s="1"/>
  <c r="AL243" i="26"/>
  <c r="AM192" i="26"/>
  <c r="AB184" i="26"/>
  <c r="AC184" i="26" s="1"/>
  <c r="AE184" i="26" s="1"/>
  <c r="Z185" i="26" s="1"/>
  <c r="AO120" i="26"/>
  <c r="AJ121" i="26" s="1"/>
  <c r="G13" i="10"/>
  <c r="W20" i="5"/>
  <c r="W23" i="5"/>
  <c r="W36" i="5"/>
  <c r="M17" i="12"/>
  <c r="N17" i="12" s="1"/>
  <c r="AP53" i="4"/>
  <c r="AP54" i="4"/>
  <c r="Q11" i="19"/>
  <c r="W11" i="5"/>
  <c r="Y33" i="4"/>
  <c r="AA33" i="4" s="1"/>
  <c r="AC33" i="4" s="1"/>
  <c r="AE33" i="4" s="1"/>
  <c r="AG33" i="4" s="1"/>
  <c r="AI33" i="4" s="1"/>
  <c r="W35" i="4"/>
  <c r="AL35" i="4" s="1"/>
  <c r="AX17" i="5"/>
  <c r="E17" i="10"/>
  <c r="S60" i="5"/>
  <c r="T43" i="5"/>
  <c r="Y8" i="5"/>
  <c r="U14" i="4"/>
  <c r="U25" i="4"/>
  <c r="G19" i="10"/>
  <c r="V69" i="5"/>
  <c r="H19" i="10" s="1"/>
  <c r="E85" i="11"/>
  <c r="E86" i="11"/>
  <c r="AC122" i="26"/>
  <c r="AU123" i="26"/>
  <c r="AQ124" i="26"/>
  <c r="AM121" i="26"/>
  <c r="AS195" i="26"/>
  <c r="AR196" i="26"/>
  <c r="BF120" i="26"/>
  <c r="BH120" i="26"/>
  <c r="J52" i="11"/>
  <c r="L67" i="8"/>
  <c r="N67" i="8" s="1"/>
  <c r="AW119" i="26"/>
  <c r="AN122" i="26"/>
  <c r="AL122" i="26"/>
  <c r="BM121" i="26"/>
  <c r="BL122" i="26"/>
  <c r="BY197" i="26"/>
  <c r="BU198" i="26"/>
  <c r="BC197" i="26"/>
  <c r="BB198" i="26"/>
  <c r="BK198" i="26"/>
  <c r="BO197" i="26"/>
  <c r="AA124" i="26"/>
  <c r="W125" i="26"/>
  <c r="AG139" i="26"/>
  <c r="AK138" i="26"/>
  <c r="G46" i="1"/>
  <c r="H46" i="1" s="1"/>
  <c r="I46" i="1" s="1"/>
  <c r="AA197" i="26"/>
  <c r="W198" i="26"/>
  <c r="AH198" i="26"/>
  <c r="AI197" i="26"/>
  <c r="AH124" i="26"/>
  <c r="AI123" i="26"/>
  <c r="AS121" i="26"/>
  <c r="AR122" i="26"/>
  <c r="BG119" i="26"/>
  <c r="AQ197" i="26"/>
  <c r="AU196" i="26"/>
  <c r="BL196" i="26"/>
  <c r="BM195" i="26"/>
  <c r="BO123" i="26"/>
  <c r="BK124" i="26"/>
  <c r="BE125" i="26"/>
  <c r="BA126" i="26"/>
  <c r="AD110" i="26"/>
  <c r="BR120" i="26"/>
  <c r="BP120" i="26"/>
  <c r="BY123" i="26"/>
  <c r="BU124" i="26"/>
  <c r="BE196" i="26"/>
  <c r="BA197" i="26"/>
  <c r="AB123" i="26"/>
  <c r="AD123" i="26"/>
  <c r="BQ119" i="26"/>
  <c r="AX120" i="26"/>
  <c r="AV120" i="26"/>
  <c r="B61" i="1"/>
  <c r="B63" i="1" s="1"/>
  <c r="B59" i="1"/>
  <c r="BC121" i="26"/>
  <c r="BB122" i="26"/>
  <c r="BI193" i="26"/>
  <c r="BD194" i="26" s="1"/>
  <c r="BH194" i="26" s="1"/>
  <c r="BZ195" i="26"/>
  <c r="CB122" i="26"/>
  <c r="BZ122" i="26"/>
  <c r="AG200" i="26" l="1"/>
  <c r="AK199" i="26"/>
  <c r="V30" i="5"/>
  <c r="H13" i="10" s="1"/>
  <c r="H9" i="10"/>
  <c r="W28" i="5"/>
  <c r="W30" i="5" s="1"/>
  <c r="I13" i="10" s="1"/>
  <c r="Y18" i="5"/>
  <c r="Y17" i="5"/>
  <c r="AO121" i="26"/>
  <c r="AJ122" i="26" s="1"/>
  <c r="U43" i="5"/>
  <c r="V43" i="5" s="1"/>
  <c r="H17" i="10" s="1"/>
  <c r="F44" i="1"/>
  <c r="F45" i="1" s="1"/>
  <c r="F47" i="1" s="1"/>
  <c r="C55" i="1" s="1"/>
  <c r="C61" i="1" s="1"/>
  <c r="C63" i="1" s="1"/>
  <c r="G15" i="10"/>
  <c r="V41" i="5"/>
  <c r="H15" i="10" s="1"/>
  <c r="V22" i="4"/>
  <c r="CB111" i="26"/>
  <c r="BZ111" i="26" s="1"/>
  <c r="CA111" i="26" s="1"/>
  <c r="CC111" i="26" s="1"/>
  <c r="BX112" i="26" s="1"/>
  <c r="CC112" i="26" s="1"/>
  <c r="BX113" i="26" s="1"/>
  <c r="CC113" i="26" s="1"/>
  <c r="BX114" i="26" s="1"/>
  <c r="CC114" i="26" s="1"/>
  <c r="BX115" i="26" s="1"/>
  <c r="CC115" i="26" s="1"/>
  <c r="BX116" i="26" s="1"/>
  <c r="CC116" i="26" s="1"/>
  <c r="BX117" i="26" s="1"/>
  <c r="CC117" i="26" s="1"/>
  <c r="BX118" i="26" s="1"/>
  <c r="CC118" i="26" s="1"/>
  <c r="BX119" i="26" s="1"/>
  <c r="CC119" i="26" s="1"/>
  <c r="BX120" i="26" s="1"/>
  <c r="CC120" i="26" s="1"/>
  <c r="BX121" i="26" s="1"/>
  <c r="CC121" i="26" s="1"/>
  <c r="BX122" i="26" s="1"/>
  <c r="AW169" i="26"/>
  <c r="AY118" i="26"/>
  <c r="AT119" i="26" s="1"/>
  <c r="AY119" i="26" s="1"/>
  <c r="AT120" i="26" s="1"/>
  <c r="AM243" i="26"/>
  <c r="AO192" i="26"/>
  <c r="AJ193" i="26" s="1"/>
  <c r="H34" i="26"/>
  <c r="I80" i="26"/>
  <c r="AB185" i="26"/>
  <c r="AC185" i="26" s="1"/>
  <c r="AE185" i="26" s="1"/>
  <c r="Z186" i="26" s="1"/>
  <c r="AM122" i="26"/>
  <c r="AC123" i="26"/>
  <c r="T60" i="5"/>
  <c r="S71" i="5"/>
  <c r="W40" i="4"/>
  <c r="W17" i="4"/>
  <c r="W37" i="4"/>
  <c r="AL37" i="4" s="1"/>
  <c r="Y35" i="4"/>
  <c r="X15" i="5"/>
  <c r="W34" i="5"/>
  <c r="W33" i="5"/>
  <c r="X65" i="5"/>
  <c r="A18" i="12"/>
  <c r="G18" i="12" s="1"/>
  <c r="I18" i="12" s="1"/>
  <c r="I9" i="10"/>
  <c r="X17" i="5"/>
  <c r="W67" i="5"/>
  <c r="W69" i="5" s="1"/>
  <c r="W38" i="5"/>
  <c r="W35" i="5"/>
  <c r="X64" i="5"/>
  <c r="X58" i="5"/>
  <c r="W39" i="5"/>
  <c r="X16" i="5"/>
  <c r="X18" i="5"/>
  <c r="G42" i="1"/>
  <c r="W37" i="5"/>
  <c r="X66" i="5"/>
  <c r="U27" i="4"/>
  <c r="V15" i="4"/>
  <c r="F17" i="10"/>
  <c r="AX15" i="5"/>
  <c r="H38" i="1"/>
  <c r="H40" i="1" s="1"/>
  <c r="Y10" i="5"/>
  <c r="Y15" i="5"/>
  <c r="I11" i="10"/>
  <c r="X28" i="5"/>
  <c r="J11" i="10" s="1"/>
  <c r="CA122" i="26"/>
  <c r="BG120" i="26"/>
  <c r="BQ120" i="26"/>
  <c r="BI119" i="26"/>
  <c r="BD120" i="26" s="1"/>
  <c r="W126" i="26"/>
  <c r="AA125" i="26"/>
  <c r="AY193" i="26"/>
  <c r="AT194" i="26" s="1"/>
  <c r="AX194" i="26" s="1"/>
  <c r="CB123" i="26"/>
  <c r="BZ123" i="26"/>
  <c r="AD111" i="26"/>
  <c r="AB111" i="26" s="1"/>
  <c r="AC111" i="26" s="1"/>
  <c r="BK125" i="26"/>
  <c r="BO124" i="26"/>
  <c r="AI124" i="26"/>
  <c r="AH125" i="26"/>
  <c r="AH199" i="26"/>
  <c r="AI198" i="26"/>
  <c r="AD124" i="26"/>
  <c r="AB124" i="26"/>
  <c r="BC198" i="26"/>
  <c r="BB199" i="26"/>
  <c r="BU199" i="26"/>
  <c r="BY198" i="26"/>
  <c r="BR121" i="26"/>
  <c r="BP121" i="26"/>
  <c r="AQ125" i="26"/>
  <c r="AU124" i="26"/>
  <c r="BY124" i="26"/>
  <c r="BU125" i="26"/>
  <c r="BF121" i="26"/>
  <c r="BH121" i="26"/>
  <c r="AW120" i="26"/>
  <c r="BE197" i="26"/>
  <c r="BA198" i="26"/>
  <c r="BA127" i="26"/>
  <c r="BE126" i="26"/>
  <c r="AU197" i="26"/>
  <c r="AQ198" i="26"/>
  <c r="AS122" i="26"/>
  <c r="AR123" i="26"/>
  <c r="AA198" i="26"/>
  <c r="W199" i="26"/>
  <c r="BS193" i="26"/>
  <c r="BN194" i="26" s="1"/>
  <c r="BR194" i="26" s="1"/>
  <c r="L52" i="11"/>
  <c r="C92" i="1"/>
  <c r="N80" i="8"/>
  <c r="CA195" i="26"/>
  <c r="BS119" i="26"/>
  <c r="BN120" i="26" s="1"/>
  <c r="AB110" i="26"/>
  <c r="AC110" i="26" s="1"/>
  <c r="BL197" i="26"/>
  <c r="BM196" i="26"/>
  <c r="AN123" i="26"/>
  <c r="AL123" i="26"/>
  <c r="BM122" i="26"/>
  <c r="BL123" i="26"/>
  <c r="BC122" i="26"/>
  <c r="BB123" i="26"/>
  <c r="BF194" i="26"/>
  <c r="AV121" i="26"/>
  <c r="AX121" i="26"/>
  <c r="AG140" i="26"/>
  <c r="AK139" i="26"/>
  <c r="BO198" i="26"/>
  <c r="BK199" i="26"/>
  <c r="AS196" i="26"/>
  <c r="AR197" i="26"/>
  <c r="G43" i="1" l="1"/>
  <c r="AG201" i="26"/>
  <c r="AK200" i="26"/>
  <c r="Y25" i="5"/>
  <c r="Y26" i="5"/>
  <c r="AO122" i="26"/>
  <c r="AJ123" i="26" s="1"/>
  <c r="G17" i="10"/>
  <c r="U60" i="5"/>
  <c r="U71" i="5" s="1"/>
  <c r="X20" i="5"/>
  <c r="J9" i="10" s="1"/>
  <c r="C59" i="1"/>
  <c r="Y11" i="5"/>
  <c r="W41" i="5"/>
  <c r="W45" i="5" s="1"/>
  <c r="X45" i="5" s="1"/>
  <c r="W21" i="4"/>
  <c r="AL17" i="4"/>
  <c r="CC122" i="26"/>
  <c r="BX123" i="26" s="1"/>
  <c r="BS120" i="26"/>
  <c r="BN121" i="26" s="1"/>
  <c r="AL193" i="26"/>
  <c r="AM193" i="26" s="1"/>
  <c r="AO193" i="26" s="1"/>
  <c r="AJ194" i="26" s="1"/>
  <c r="AB186" i="26"/>
  <c r="AC186" i="26" s="1"/>
  <c r="AC242" i="26" s="1"/>
  <c r="AE110" i="26"/>
  <c r="Z111" i="26" s="1"/>
  <c r="AE111" i="26" s="1"/>
  <c r="Z112" i="26" s="1"/>
  <c r="AL40" i="4"/>
  <c r="W10" i="4"/>
  <c r="AL10" i="4" s="1"/>
  <c r="AC8" i="5" s="1"/>
  <c r="W42" i="4"/>
  <c r="Y20" i="5"/>
  <c r="Y36" i="5"/>
  <c r="Y23" i="5"/>
  <c r="M18" i="12"/>
  <c r="N18" i="12" s="1"/>
  <c r="I42" i="10"/>
  <c r="I47" i="10" s="1"/>
  <c r="I53" i="10" s="1"/>
  <c r="AA35" i="4"/>
  <c r="Y37" i="4"/>
  <c r="Y40" i="4"/>
  <c r="Y17" i="4"/>
  <c r="Y21" i="4" s="1"/>
  <c r="N84" i="26"/>
  <c r="I84" i="26"/>
  <c r="B16" i="12"/>
  <c r="F16" i="12" s="1"/>
  <c r="H16" i="12" s="1"/>
  <c r="O16" i="12" s="1"/>
  <c r="E21" i="10"/>
  <c r="U84" i="26"/>
  <c r="S78" i="5"/>
  <c r="O84" i="26"/>
  <c r="S87" i="5"/>
  <c r="S91" i="5"/>
  <c r="S89" i="5"/>
  <c r="H84" i="26"/>
  <c r="T84" i="26"/>
  <c r="L84" i="26"/>
  <c r="T71" i="5"/>
  <c r="F21" i="10" s="1"/>
  <c r="B32" i="1"/>
  <c r="D53" i="8"/>
  <c r="D10" i="18"/>
  <c r="C23" i="18" s="1"/>
  <c r="G23" i="18" s="1"/>
  <c r="Q84" i="26"/>
  <c r="R84" i="26"/>
  <c r="K84" i="26"/>
  <c r="I19" i="10"/>
  <c r="X69" i="5"/>
  <c r="J19" i="10" s="1"/>
  <c r="BI120" i="26"/>
  <c r="BD121" i="26" s="1"/>
  <c r="CA123" i="26"/>
  <c r="CC123" i="26" s="1"/>
  <c r="BX124" i="26" s="1"/>
  <c r="AC124" i="26"/>
  <c r="AW121" i="26"/>
  <c r="D69" i="11"/>
  <c r="N52" i="11"/>
  <c r="AS123" i="26"/>
  <c r="AR124" i="26"/>
  <c r="BA128" i="26"/>
  <c r="BE127" i="26"/>
  <c r="AY120" i="26"/>
  <c r="AT121" i="26" s="1"/>
  <c r="AI199" i="26"/>
  <c r="AH200" i="26"/>
  <c r="AD112" i="26"/>
  <c r="AD168" i="26" s="1"/>
  <c r="E79" i="26" s="1"/>
  <c r="AA126" i="26"/>
  <c r="W127" i="26"/>
  <c r="AB125" i="26"/>
  <c r="AD125" i="26"/>
  <c r="BG194" i="26"/>
  <c r="BM123" i="26"/>
  <c r="BL124" i="26"/>
  <c r="BM197" i="26"/>
  <c r="BL198" i="26"/>
  <c r="AX122" i="26"/>
  <c r="AV122" i="26"/>
  <c r="BE198" i="26"/>
  <c r="BA199" i="26"/>
  <c r="BG121" i="26"/>
  <c r="BY125" i="26"/>
  <c r="BU126" i="26"/>
  <c r="BQ121" i="26"/>
  <c r="BU200" i="26"/>
  <c r="BY199" i="26"/>
  <c r="AI125" i="26"/>
  <c r="AH126" i="26"/>
  <c r="AV194" i="26"/>
  <c r="BH122" i="26"/>
  <c r="BF122" i="26"/>
  <c r="CC195" i="26"/>
  <c r="BX196" i="26" s="1"/>
  <c r="CB196" i="26" s="1"/>
  <c r="AR198" i="26"/>
  <c r="AS197" i="26"/>
  <c r="BK200" i="26"/>
  <c r="BO199" i="26"/>
  <c r="AG141" i="26"/>
  <c r="AK140" i="26"/>
  <c r="BC123" i="26"/>
  <c r="BB124" i="26"/>
  <c r="BR122" i="26"/>
  <c r="BP122" i="26"/>
  <c r="AM123" i="26"/>
  <c r="BP194" i="26"/>
  <c r="W200" i="26"/>
  <c r="AA199" i="26"/>
  <c r="AQ199" i="26"/>
  <c r="AU198" i="26"/>
  <c r="CB124" i="26"/>
  <c r="BZ124" i="26"/>
  <c r="AQ126" i="26"/>
  <c r="AU125" i="26"/>
  <c r="BB200" i="26"/>
  <c r="BC199" i="26"/>
  <c r="AL124" i="26"/>
  <c r="AN124" i="26"/>
  <c r="BK126" i="26"/>
  <c r="BO125" i="26"/>
  <c r="AK201" i="26" l="1"/>
  <c r="AG202" i="26"/>
  <c r="W43" i="5"/>
  <c r="W60" i="5" s="1"/>
  <c r="V60" i="5"/>
  <c r="X30" i="5"/>
  <c r="J13" i="10" s="1"/>
  <c r="Z22" i="4"/>
  <c r="G44" i="1"/>
  <c r="G45" i="1" s="1"/>
  <c r="G47" i="1" s="1"/>
  <c r="D55" i="1" s="1"/>
  <c r="D61" i="1" s="1"/>
  <c r="D63" i="1" s="1"/>
  <c r="X41" i="5"/>
  <c r="J15" i="10" s="1"/>
  <c r="I15" i="10"/>
  <c r="X22" i="4"/>
  <c r="AL22" i="4" s="1"/>
  <c r="AL21" i="4"/>
  <c r="W43" i="4"/>
  <c r="AL42" i="4"/>
  <c r="AL43" i="4" s="1"/>
  <c r="AC15" i="5"/>
  <c r="AC10" i="5"/>
  <c r="BS121" i="26"/>
  <c r="BN122" i="26" s="1"/>
  <c r="AN194" i="26"/>
  <c r="AL194" i="26"/>
  <c r="AE186" i="26"/>
  <c r="Z187" i="26" s="1"/>
  <c r="AB187" i="26" s="1"/>
  <c r="AC187" i="26" s="1"/>
  <c r="AE187" i="26" s="1"/>
  <c r="Z188" i="26" s="1"/>
  <c r="BI121" i="26"/>
  <c r="BD122" i="26" s="1"/>
  <c r="AY121" i="26"/>
  <c r="AT122" i="26" s="1"/>
  <c r="K88" i="26"/>
  <c r="K92" i="26"/>
  <c r="D38" i="11"/>
  <c r="D63" i="8"/>
  <c r="T88" i="26"/>
  <c r="T92" i="26"/>
  <c r="E28" i="10"/>
  <c r="E44" i="10"/>
  <c r="Y28" i="5"/>
  <c r="U92" i="26"/>
  <c r="U88" i="26"/>
  <c r="U87" i="5"/>
  <c r="E29" i="8"/>
  <c r="V71" i="5"/>
  <c r="H21" i="10" s="1"/>
  <c r="U91" i="5"/>
  <c r="E10" i="18"/>
  <c r="C24" i="18" s="1"/>
  <c r="G24" i="18" s="1"/>
  <c r="U78" i="5"/>
  <c r="G29" i="8"/>
  <c r="U89" i="5"/>
  <c r="B17" i="12"/>
  <c r="F17" i="12" s="1"/>
  <c r="H17" i="12" s="1"/>
  <c r="O17" i="12" s="1"/>
  <c r="F53" i="8"/>
  <c r="G21" i="10"/>
  <c r="F29" i="8"/>
  <c r="R92" i="26"/>
  <c r="R88" i="26"/>
  <c r="H92" i="26"/>
  <c r="H88" i="26"/>
  <c r="O88" i="26"/>
  <c r="O92" i="26"/>
  <c r="Y42" i="4"/>
  <c r="Y43" i="4" s="1"/>
  <c r="Y10" i="4"/>
  <c r="AA8" i="5"/>
  <c r="W25" i="4"/>
  <c r="AL25" i="4" s="1"/>
  <c r="W14" i="4"/>
  <c r="AL14" i="4" s="1"/>
  <c r="L92" i="26"/>
  <c r="L88" i="26"/>
  <c r="N88" i="26"/>
  <c r="N92" i="26"/>
  <c r="AC35" i="4"/>
  <c r="AA17" i="4"/>
  <c r="AA21" i="4" s="1"/>
  <c r="AB22" i="4" s="1"/>
  <c r="AA40" i="4"/>
  <c r="AA37" i="4"/>
  <c r="Q92" i="26"/>
  <c r="Q88" i="26"/>
  <c r="D55" i="8"/>
  <c r="S83" i="5"/>
  <c r="I88" i="26"/>
  <c r="I92" i="26"/>
  <c r="Z15" i="5"/>
  <c r="Y38" i="5"/>
  <c r="Y35" i="5"/>
  <c r="Z17" i="5"/>
  <c r="H42" i="1"/>
  <c r="Y33" i="5"/>
  <c r="Z16" i="5"/>
  <c r="Y39" i="5"/>
  <c r="Y37" i="5"/>
  <c r="Z64" i="5"/>
  <c r="A19" i="12"/>
  <c r="G19" i="12" s="1"/>
  <c r="I19" i="12" s="1"/>
  <c r="Z58" i="5"/>
  <c r="Y67" i="5"/>
  <c r="Z66" i="5"/>
  <c r="Z18" i="5"/>
  <c r="Z65" i="5"/>
  <c r="Y34" i="5"/>
  <c r="K9" i="10"/>
  <c r="I17" i="10"/>
  <c r="BG122" i="26"/>
  <c r="AC125" i="26"/>
  <c r="CA124" i="26"/>
  <c r="CC124" i="26" s="1"/>
  <c r="BX125" i="26" s="1"/>
  <c r="BE199" i="26"/>
  <c r="BA200" i="26"/>
  <c r="AI200" i="26"/>
  <c r="AH201" i="26"/>
  <c r="AU199" i="26"/>
  <c r="AQ200" i="26"/>
  <c r="BI194" i="26"/>
  <c r="BD195" i="26" s="1"/>
  <c r="BH195" i="26" s="1"/>
  <c r="AB112" i="26"/>
  <c r="AC112" i="26" s="1"/>
  <c r="AD169" i="26"/>
  <c r="CB125" i="26"/>
  <c r="BZ125" i="26"/>
  <c r="AB126" i="26"/>
  <c r="AD126" i="26"/>
  <c r="AX123" i="26"/>
  <c r="AV123" i="26"/>
  <c r="BH123" i="26"/>
  <c r="BF123" i="26"/>
  <c r="BZ196" i="26"/>
  <c r="BK127" i="26"/>
  <c r="BO126" i="26"/>
  <c r="BB201" i="26"/>
  <c r="BC200" i="26"/>
  <c r="BQ194" i="26"/>
  <c r="AH127" i="26"/>
  <c r="AI126" i="26"/>
  <c r="BY200" i="26"/>
  <c r="BU201" i="26"/>
  <c r="AW122" i="26"/>
  <c r="BM124" i="26"/>
  <c r="BL125" i="26"/>
  <c r="BA129" i="26"/>
  <c r="BE128" i="26"/>
  <c r="AM124" i="26"/>
  <c r="BQ122" i="26"/>
  <c r="BC124" i="26"/>
  <c r="BB125" i="26"/>
  <c r="AQ127" i="26"/>
  <c r="AU126" i="26"/>
  <c r="AG142" i="26"/>
  <c r="AK141" i="26"/>
  <c r="AR199" i="26"/>
  <c r="AS198" i="26"/>
  <c r="W201" i="26"/>
  <c r="AA200" i="26"/>
  <c r="AO123" i="26"/>
  <c r="AJ124" i="26" s="1"/>
  <c r="BO200" i="26"/>
  <c r="BK201" i="26"/>
  <c r="AW194" i="26"/>
  <c r="AN125" i="26"/>
  <c r="AL125" i="26"/>
  <c r="BY126" i="26"/>
  <c r="BU127" i="26"/>
  <c r="BM198" i="26"/>
  <c r="BL199" i="26"/>
  <c r="BP123" i="26"/>
  <c r="BR123" i="26"/>
  <c r="W128" i="26"/>
  <c r="AA127" i="26"/>
  <c r="AS124" i="26"/>
  <c r="AR125" i="26"/>
  <c r="X43" i="5" l="1"/>
  <c r="J17" i="10" s="1"/>
  <c r="AK202" i="26"/>
  <c r="AG203" i="26"/>
  <c r="AP8" i="5"/>
  <c r="AA17" i="5"/>
  <c r="AA18" i="5"/>
  <c r="AY122" i="26"/>
  <c r="AT123" i="26" s="1"/>
  <c r="BI122" i="26"/>
  <c r="BD123" i="26" s="1"/>
  <c r="Z20" i="5"/>
  <c r="L9" i="10" s="1"/>
  <c r="D59" i="1"/>
  <c r="AC23" i="5"/>
  <c r="AC36" i="5"/>
  <c r="Y41" i="5"/>
  <c r="Z41" i="5" s="1"/>
  <c r="L15" i="10" s="1"/>
  <c r="BS122" i="26"/>
  <c r="BN123" i="26" s="1"/>
  <c r="AM194" i="26"/>
  <c r="AO194" i="26" s="1"/>
  <c r="AJ195" i="26" s="1"/>
  <c r="AL195" i="26" s="1"/>
  <c r="AM195" i="26" s="1"/>
  <c r="AN195" i="26"/>
  <c r="AC168" i="26"/>
  <c r="AE112" i="26"/>
  <c r="Z113" i="26" s="1"/>
  <c r="AE113" i="26" s="1"/>
  <c r="Z114" i="26" s="1"/>
  <c r="AE114" i="26" s="1"/>
  <c r="Z115" i="26" s="1"/>
  <c r="AE115" i="26" s="1"/>
  <c r="Z116" i="26" s="1"/>
  <c r="AE116" i="26" s="1"/>
  <c r="Z117" i="26" s="1"/>
  <c r="AE117" i="26" s="1"/>
  <c r="Z118" i="26" s="1"/>
  <c r="AE118" i="26" s="1"/>
  <c r="Z119" i="26" s="1"/>
  <c r="AE119" i="26" s="1"/>
  <c r="Z120" i="26" s="1"/>
  <c r="AE120" i="26" s="1"/>
  <c r="Z121" i="26" s="1"/>
  <c r="AE121" i="26" s="1"/>
  <c r="Z122" i="26" s="1"/>
  <c r="AE122" i="26" s="1"/>
  <c r="Z123" i="26" s="1"/>
  <c r="AE123" i="26" s="1"/>
  <c r="Z124" i="26" s="1"/>
  <c r="AE124" i="26" s="1"/>
  <c r="Z125" i="26" s="1"/>
  <c r="AE125" i="26" s="1"/>
  <c r="Z126" i="26" s="1"/>
  <c r="AC169" i="26"/>
  <c r="AD188" i="26"/>
  <c r="AB188" i="26"/>
  <c r="AO124" i="26"/>
  <c r="AJ125" i="26" s="1"/>
  <c r="S85" i="5"/>
  <c r="D57" i="8"/>
  <c r="W71" i="5"/>
  <c r="X60" i="5"/>
  <c r="Y69" i="5"/>
  <c r="D61" i="8"/>
  <c r="D46" i="11" s="1"/>
  <c r="D40" i="11"/>
  <c r="X15" i="4"/>
  <c r="AL15" i="4" s="1"/>
  <c r="W27" i="4"/>
  <c r="AL27" i="4" s="1"/>
  <c r="AC11" i="5" s="1"/>
  <c r="G28" i="10"/>
  <c r="G44" i="10"/>
  <c r="E34" i="10"/>
  <c r="E30" i="10"/>
  <c r="E59" i="11"/>
  <c r="E60" i="11"/>
  <c r="E58" i="11"/>
  <c r="D48" i="11"/>
  <c r="D50" i="11" s="1"/>
  <c r="D54" i="11" s="1"/>
  <c r="D56" i="11" s="1"/>
  <c r="AC40" i="4"/>
  <c r="AC37" i="4"/>
  <c r="AC17" i="4"/>
  <c r="AC21" i="4" s="1"/>
  <c r="AD22" i="4" s="1"/>
  <c r="AE35" i="4"/>
  <c r="D65" i="8"/>
  <c r="D69" i="8" s="1"/>
  <c r="E71" i="8" s="1"/>
  <c r="AA42" i="4"/>
  <c r="AA43" i="4" s="1"/>
  <c r="AA10" i="4"/>
  <c r="F63" i="8"/>
  <c r="F38" i="11"/>
  <c r="U83" i="5"/>
  <c r="F55" i="8"/>
  <c r="Y25" i="4"/>
  <c r="Y14" i="4"/>
  <c r="M19" i="12"/>
  <c r="N19" i="12" s="1"/>
  <c r="K42" i="10"/>
  <c r="K47" i="10" s="1"/>
  <c r="K53" i="10" s="1"/>
  <c r="AA15" i="5"/>
  <c r="I38" i="1"/>
  <c r="I40" i="1" s="1"/>
  <c r="AA10" i="5"/>
  <c r="AP10" i="5" s="1"/>
  <c r="Y30" i="5"/>
  <c r="Z28" i="5"/>
  <c r="L11" i="10" s="1"/>
  <c r="H43" i="1"/>
  <c r="H45" i="1" s="1"/>
  <c r="H47" i="1" s="1"/>
  <c r="E55" i="1" s="1"/>
  <c r="K11" i="10"/>
  <c r="CA125" i="26"/>
  <c r="CC125" i="26" s="1"/>
  <c r="BX126" i="26" s="1"/>
  <c r="BG123" i="26"/>
  <c r="BI123" i="26" s="1"/>
  <c r="BD124" i="26" s="1"/>
  <c r="AC126" i="26"/>
  <c r="BQ123" i="26"/>
  <c r="AM125" i="26"/>
  <c r="AY194" i="26"/>
  <c r="AT195" i="26" s="1"/>
  <c r="AX195" i="26" s="1"/>
  <c r="AG143" i="26"/>
  <c r="AK142" i="26"/>
  <c r="AU127" i="26"/>
  <c r="AQ128" i="26"/>
  <c r="AH202" i="26"/>
  <c r="AI201" i="26"/>
  <c r="BE129" i="26"/>
  <c r="BA130" i="26"/>
  <c r="AN126" i="26"/>
  <c r="AL126" i="26"/>
  <c r="AW123" i="26"/>
  <c r="AB168" i="26"/>
  <c r="F79" i="26" s="1"/>
  <c r="AB169" i="26"/>
  <c r="AQ201" i="26"/>
  <c r="AU200" i="26"/>
  <c r="BE200" i="26"/>
  <c r="BA201" i="26"/>
  <c r="BO127" i="26"/>
  <c r="BK128" i="26"/>
  <c r="AA128" i="26"/>
  <c r="W129" i="26"/>
  <c r="BL200" i="26"/>
  <c r="BM199" i="26"/>
  <c r="AS125" i="26"/>
  <c r="AR126" i="26"/>
  <c r="BY127" i="26"/>
  <c r="BU128" i="26"/>
  <c r="BK202" i="26"/>
  <c r="BO201" i="26"/>
  <c r="W202" i="26"/>
  <c r="AA201" i="26"/>
  <c r="AS199" i="26"/>
  <c r="AR200" i="26"/>
  <c r="BC125" i="26"/>
  <c r="BB126" i="26"/>
  <c r="BM125" i="26"/>
  <c r="BL126" i="26"/>
  <c r="AH128" i="26"/>
  <c r="AI127" i="26"/>
  <c r="BS194" i="26"/>
  <c r="BN195" i="26" s="1"/>
  <c r="BR195" i="26" s="1"/>
  <c r="BC201" i="26"/>
  <c r="BB202" i="26"/>
  <c r="CA196" i="26"/>
  <c r="CC196" i="26" s="1"/>
  <c r="BX197" i="26" s="1"/>
  <c r="CB197" i="26" s="1"/>
  <c r="AB127" i="26"/>
  <c r="AD127" i="26"/>
  <c r="AX124" i="26"/>
  <c r="AV124" i="26"/>
  <c r="CB126" i="26"/>
  <c r="BZ126" i="26"/>
  <c r="BF124" i="26"/>
  <c r="BH124" i="26"/>
  <c r="BP124" i="26"/>
  <c r="BR124" i="26"/>
  <c r="BY201" i="26"/>
  <c r="BU202" i="26"/>
  <c r="BF195" i="26"/>
  <c r="AK203" i="26" l="1"/>
  <c r="AG204" i="26"/>
  <c r="AC18" i="5"/>
  <c r="AA26" i="5"/>
  <c r="AP26" i="5" s="1"/>
  <c r="AP18" i="5"/>
  <c r="AC17" i="5"/>
  <c r="AA25" i="5"/>
  <c r="AP25" i="5" s="1"/>
  <c r="AP17" i="5"/>
  <c r="AY123" i="26"/>
  <c r="AT124" i="26" s="1"/>
  <c r="BS123" i="26"/>
  <c r="BN124" i="26" s="1"/>
  <c r="K15" i="10"/>
  <c r="Y45" i="5"/>
  <c r="Z45" i="5" s="1"/>
  <c r="AO125" i="26"/>
  <c r="AJ126" i="26" s="1"/>
  <c r="AE126" i="26"/>
  <c r="Z127" i="26" s="1"/>
  <c r="AC188" i="26"/>
  <c r="AE188" i="26" s="1"/>
  <c r="Z189" i="26" s="1"/>
  <c r="AB189" i="26" s="1"/>
  <c r="AD189" i="26"/>
  <c r="Z30" i="5"/>
  <c r="L13" i="10" s="1"/>
  <c r="E61" i="1"/>
  <c r="E63" i="1" s="1"/>
  <c r="E59" i="1"/>
  <c r="AB72" i="4"/>
  <c r="AC72" i="4" s="1"/>
  <c r="AA11" i="5"/>
  <c r="AP11" i="5" s="1"/>
  <c r="AP15" i="5"/>
  <c r="AA23" i="5"/>
  <c r="AA36" i="5"/>
  <c r="AP36" i="5" s="1"/>
  <c r="AA20" i="5"/>
  <c r="F65" i="8"/>
  <c r="F69" i="8" s="1"/>
  <c r="G71" i="8" s="1"/>
  <c r="AC42" i="4"/>
  <c r="AC43" i="4" s="1"/>
  <c r="AC10" i="4"/>
  <c r="E38" i="10"/>
  <c r="F36" i="10"/>
  <c r="E30" i="8"/>
  <c r="W78" i="5"/>
  <c r="B18" i="12"/>
  <c r="F18" i="12" s="1"/>
  <c r="H18" i="12" s="1"/>
  <c r="O18" i="12" s="1"/>
  <c r="G30" i="8"/>
  <c r="I21" i="10"/>
  <c r="W87" i="5"/>
  <c r="W89" i="5"/>
  <c r="B85" i="1"/>
  <c r="B89" i="1" s="1"/>
  <c r="B94" i="1" s="1"/>
  <c r="B98" i="1" s="1"/>
  <c r="B99" i="1" s="1"/>
  <c r="H53" i="8"/>
  <c r="F30" i="8"/>
  <c r="F10" i="18"/>
  <c r="C25" i="18" s="1"/>
  <c r="G25" i="18" s="1"/>
  <c r="W91" i="5"/>
  <c r="X71" i="5"/>
  <c r="J21" i="10" s="1"/>
  <c r="Y27" i="4"/>
  <c r="Z15" i="4"/>
  <c r="G58" i="11"/>
  <c r="G60" i="11"/>
  <c r="G59" i="11"/>
  <c r="F48" i="11"/>
  <c r="F50" i="11" s="1"/>
  <c r="F54" i="11" s="1"/>
  <c r="F56" i="11" s="1"/>
  <c r="K13" i="10"/>
  <c r="Y43" i="5"/>
  <c r="F61" i="8"/>
  <c r="F46" i="11" s="1"/>
  <c r="F40" i="11"/>
  <c r="AA14" i="4"/>
  <c r="AA25" i="4"/>
  <c r="AE8" i="5"/>
  <c r="AE17" i="4"/>
  <c r="AE21" i="4" s="1"/>
  <c r="AF22" i="4" s="1"/>
  <c r="AE40" i="4"/>
  <c r="AE37" i="4"/>
  <c r="AG35" i="4"/>
  <c r="D59" i="8"/>
  <c r="D44" i="11" s="1"/>
  <c r="D42" i="11"/>
  <c r="F57" i="8"/>
  <c r="U85" i="5"/>
  <c r="G34" i="10"/>
  <c r="G30" i="10"/>
  <c r="K19" i="10"/>
  <c r="Z69" i="5"/>
  <c r="L19" i="10" s="1"/>
  <c r="H44" i="1"/>
  <c r="AC127" i="26"/>
  <c r="AE127" i="26" s="1"/>
  <c r="Z128" i="26" s="1"/>
  <c r="BQ124" i="26"/>
  <c r="CA126" i="26"/>
  <c r="CC126" i="26" s="1"/>
  <c r="BX127" i="26" s="1"/>
  <c r="AW124" i="26"/>
  <c r="AY124" i="26" s="1"/>
  <c r="AT125" i="26" s="1"/>
  <c r="AH129" i="26"/>
  <c r="AI128" i="26"/>
  <c r="AX125" i="26"/>
  <c r="AV125" i="26"/>
  <c r="BG195" i="26"/>
  <c r="BU203" i="26"/>
  <c r="BY202" i="26"/>
  <c r="BP195" i="26"/>
  <c r="AS200" i="26"/>
  <c r="AR201" i="26"/>
  <c r="CB127" i="26"/>
  <c r="BZ127" i="26"/>
  <c r="AD128" i="26"/>
  <c r="AB128" i="26"/>
  <c r="AU201" i="26"/>
  <c r="AQ202" i="26"/>
  <c r="BA131" i="26"/>
  <c r="BE130" i="26"/>
  <c r="AV195" i="26"/>
  <c r="BH125" i="26"/>
  <c r="BF125" i="26"/>
  <c r="W203" i="26"/>
  <c r="AA202" i="26"/>
  <c r="BY128" i="26"/>
  <c r="BU129" i="26"/>
  <c r="BK129" i="26"/>
  <c r="BO128" i="26"/>
  <c r="BE201" i="26"/>
  <c r="BA202" i="26"/>
  <c r="BG124" i="26"/>
  <c r="BI124" i="26" s="1"/>
  <c r="BD125" i="26" s="1"/>
  <c r="BZ197" i="26"/>
  <c r="CA197" i="26" s="1"/>
  <c r="CC197" i="26" s="1"/>
  <c r="BX198" i="26" s="1"/>
  <c r="CB198" i="26" s="1"/>
  <c r="BM126" i="26"/>
  <c r="BL127" i="26"/>
  <c r="AH203" i="26"/>
  <c r="AI202" i="26"/>
  <c r="AG144" i="26"/>
  <c r="AK143" i="26"/>
  <c r="W130" i="26"/>
  <c r="AA129" i="26"/>
  <c r="AO195" i="26"/>
  <c r="AJ196" i="26" s="1"/>
  <c r="AN196" i="26" s="1"/>
  <c r="BC202" i="26"/>
  <c r="BB203" i="26"/>
  <c r="AN127" i="26"/>
  <c r="AL127" i="26"/>
  <c r="BR125" i="26"/>
  <c r="BP125" i="26"/>
  <c r="BC126" i="26"/>
  <c r="BB127" i="26"/>
  <c r="BO202" i="26"/>
  <c r="BK203" i="26"/>
  <c r="AS126" i="26"/>
  <c r="AR127" i="26"/>
  <c r="BL201" i="26"/>
  <c r="BM200" i="26"/>
  <c r="AM126" i="26"/>
  <c r="AQ129" i="26"/>
  <c r="AU128" i="26"/>
  <c r="AG205" i="26" l="1"/>
  <c r="AK204" i="26"/>
  <c r="AQ25" i="5"/>
  <c r="AE17" i="5"/>
  <c r="AC25" i="5"/>
  <c r="AC20" i="5"/>
  <c r="AD17" i="5" s="1"/>
  <c r="AQ26" i="5"/>
  <c r="AE18" i="5"/>
  <c r="AC26" i="5"/>
  <c r="AC66" i="5"/>
  <c r="AP66" i="5"/>
  <c r="BS124" i="26"/>
  <c r="BN125" i="26" s="1"/>
  <c r="AC189" i="26"/>
  <c r="AE189" i="26" s="1"/>
  <c r="Z190" i="26" s="1"/>
  <c r="AB190" i="26" s="1"/>
  <c r="AD190" i="26"/>
  <c r="W83" i="5"/>
  <c r="H55" i="8"/>
  <c r="AC25" i="4"/>
  <c r="AG8" i="5"/>
  <c r="AC14" i="4"/>
  <c r="F59" i="8"/>
  <c r="F44" i="11" s="1"/>
  <c r="F42" i="11"/>
  <c r="K17" i="10"/>
  <c r="Y60" i="5"/>
  <c r="Z43" i="5"/>
  <c r="L17" i="10" s="1"/>
  <c r="H38" i="11"/>
  <c r="H63" i="8"/>
  <c r="I44" i="10"/>
  <c r="I28" i="10"/>
  <c r="AE10" i="5"/>
  <c r="AE15" i="5"/>
  <c r="AB15" i="5"/>
  <c r="AA34" i="5"/>
  <c r="AP34" i="5" s="1"/>
  <c r="AA33" i="5"/>
  <c r="AB65" i="5"/>
  <c r="I42" i="1"/>
  <c r="AB16" i="5"/>
  <c r="AA39" i="5"/>
  <c r="AP39" i="5" s="1"/>
  <c r="M9" i="10"/>
  <c r="A20" i="12"/>
  <c r="G20" i="12" s="1"/>
  <c r="I20" i="12" s="1"/>
  <c r="AA38" i="5"/>
  <c r="AP38" i="5" s="1"/>
  <c r="AA35" i="5"/>
  <c r="AP35" i="5" s="1"/>
  <c r="AB58" i="5"/>
  <c r="AB64" i="5"/>
  <c r="AA37" i="5"/>
  <c r="AP37" i="5" s="1"/>
  <c r="AB17" i="5"/>
  <c r="AB18" i="5"/>
  <c r="AA67" i="5"/>
  <c r="AB66" i="5"/>
  <c r="AE42" i="4"/>
  <c r="AE43" i="4" s="1"/>
  <c r="AE10" i="4"/>
  <c r="AB15" i="4"/>
  <c r="AA27" i="4"/>
  <c r="AE11" i="5" s="1"/>
  <c r="AA28" i="5"/>
  <c r="AA30" i="5" s="1"/>
  <c r="AP23" i="5"/>
  <c r="AG17" i="4"/>
  <c r="AG21" i="4" s="1"/>
  <c r="AH22" i="4" s="1"/>
  <c r="AG37" i="4"/>
  <c r="AG40" i="4"/>
  <c r="AI35" i="4"/>
  <c r="H36" i="10"/>
  <c r="G38" i="10"/>
  <c r="AP20" i="5"/>
  <c r="AQ36" i="5" s="1"/>
  <c r="CA127" i="26"/>
  <c r="CC127" i="26" s="1"/>
  <c r="BX128" i="26" s="1"/>
  <c r="AC128" i="26"/>
  <c r="AE128" i="26" s="1"/>
  <c r="Z129" i="26" s="1"/>
  <c r="BQ125" i="26"/>
  <c r="AO126" i="26"/>
  <c r="AJ127" i="26" s="1"/>
  <c r="BM201" i="26"/>
  <c r="BL202" i="26"/>
  <c r="AR202" i="26"/>
  <c r="AS201" i="26"/>
  <c r="BI195" i="26"/>
  <c r="BD196" i="26" s="1"/>
  <c r="BH196" i="26" s="1"/>
  <c r="AI203" i="26"/>
  <c r="AH204" i="26"/>
  <c r="AL196" i="26"/>
  <c r="AD129" i="26"/>
  <c r="AB129" i="26"/>
  <c r="AG145" i="26"/>
  <c r="AK144" i="26"/>
  <c r="BM127" i="26"/>
  <c r="BL128" i="26"/>
  <c r="BE202" i="26"/>
  <c r="BA203" i="26"/>
  <c r="BK130" i="26"/>
  <c r="BO129" i="26"/>
  <c r="W204" i="26"/>
  <c r="AA203" i="26"/>
  <c r="AW195" i="26"/>
  <c r="BA132" i="26"/>
  <c r="BE131" i="26"/>
  <c r="AN128" i="26"/>
  <c r="AL128" i="26"/>
  <c r="BF126" i="26"/>
  <c r="BH126" i="26"/>
  <c r="AS127" i="26"/>
  <c r="AR128" i="26"/>
  <c r="BB204" i="26"/>
  <c r="BC203" i="26"/>
  <c r="AX126" i="26"/>
  <c r="AV126" i="26"/>
  <c r="AA130" i="26"/>
  <c r="W131" i="26"/>
  <c r="BP126" i="26"/>
  <c r="BR126" i="26"/>
  <c r="BY129" i="26"/>
  <c r="BU130" i="26"/>
  <c r="AQ203" i="26"/>
  <c r="AU202" i="26"/>
  <c r="BU204" i="26"/>
  <c r="BY203" i="26"/>
  <c r="AI129" i="26"/>
  <c r="AH130" i="26"/>
  <c r="BZ198" i="26"/>
  <c r="CA198" i="26" s="1"/>
  <c r="CC198" i="26" s="1"/>
  <c r="BX199" i="26" s="1"/>
  <c r="CB199" i="26" s="1"/>
  <c r="AQ130" i="26"/>
  <c r="AU129" i="26"/>
  <c r="BK204" i="26"/>
  <c r="BO203" i="26"/>
  <c r="BC127" i="26"/>
  <c r="BB128" i="26"/>
  <c r="AM127" i="26"/>
  <c r="CB128" i="26"/>
  <c r="BZ128" i="26"/>
  <c r="BG125" i="26"/>
  <c r="BI125" i="26" s="1"/>
  <c r="BD126" i="26" s="1"/>
  <c r="BQ195" i="26"/>
  <c r="AW125" i="26"/>
  <c r="AY125" i="26" s="1"/>
  <c r="AT126" i="26" s="1"/>
  <c r="AB243" i="26"/>
  <c r="F80" i="26" s="1"/>
  <c r="E84" i="26" s="1"/>
  <c r="E88" i="26" s="1"/>
  <c r="AG206" i="26" l="1"/>
  <c r="AK205" i="26"/>
  <c r="AG18" i="5"/>
  <c r="AE26" i="5"/>
  <c r="AD15" i="5"/>
  <c r="AC34" i="5"/>
  <c r="AD18" i="5"/>
  <c r="AC35" i="5"/>
  <c r="AC33" i="5"/>
  <c r="AD58" i="5"/>
  <c r="AD65" i="5"/>
  <c r="AD64" i="5"/>
  <c r="AD16" i="5"/>
  <c r="AC37" i="5"/>
  <c r="AC39" i="5"/>
  <c r="AC67" i="5"/>
  <c r="AC38" i="5"/>
  <c r="AC28" i="5"/>
  <c r="AD28" i="5" s="1"/>
  <c r="AG17" i="5"/>
  <c r="AE25" i="5"/>
  <c r="AE66" i="5"/>
  <c r="AG66" i="5" s="1"/>
  <c r="AI66" i="5" s="1"/>
  <c r="AK66" i="5" s="1"/>
  <c r="AM66" i="5" s="1"/>
  <c r="AD66" i="5"/>
  <c r="BS125" i="26"/>
  <c r="BN126" i="26" s="1"/>
  <c r="AC190" i="26"/>
  <c r="AE190" i="26" s="1"/>
  <c r="Z191" i="26" s="1"/>
  <c r="AB191" i="26" s="1"/>
  <c r="AB20" i="5"/>
  <c r="N9" i="10" s="1"/>
  <c r="AD191" i="26"/>
  <c r="E92" i="26"/>
  <c r="AQ15" i="5"/>
  <c r="AQ35" i="5"/>
  <c r="AQ39" i="5"/>
  <c r="M13" i="10"/>
  <c r="H65" i="8"/>
  <c r="H69" i="8" s="1"/>
  <c r="I71" i="8" s="1"/>
  <c r="AA69" i="5"/>
  <c r="AP67" i="5"/>
  <c r="AQ37" i="5"/>
  <c r="AQ38" i="5"/>
  <c r="AQ34" i="5"/>
  <c r="H48" i="11"/>
  <c r="I59" i="11"/>
  <c r="I58" i="11"/>
  <c r="I60" i="11"/>
  <c r="AQ54" i="5"/>
  <c r="AQ17" i="5"/>
  <c r="AQ66" i="5"/>
  <c r="AQ16" i="5"/>
  <c r="AQ64" i="5"/>
  <c r="AQ65" i="5"/>
  <c r="AQ56" i="5"/>
  <c r="AQ50" i="5"/>
  <c r="AQ58" i="5"/>
  <c r="AQ49" i="5"/>
  <c r="AQ18" i="5"/>
  <c r="AQ55" i="5"/>
  <c r="AI17" i="4"/>
  <c r="AI21" i="4" s="1"/>
  <c r="AJ22" i="4" s="1"/>
  <c r="AI40" i="4"/>
  <c r="AI37" i="4"/>
  <c r="AP28" i="5"/>
  <c r="AQ23" i="5"/>
  <c r="AE25" i="4"/>
  <c r="AE14" i="4"/>
  <c r="AI8" i="5"/>
  <c r="M42" i="10"/>
  <c r="M47" i="10" s="1"/>
  <c r="M53" i="10" s="1"/>
  <c r="M20" i="12"/>
  <c r="N20" i="12" s="1"/>
  <c r="I30" i="10"/>
  <c r="I34" i="10"/>
  <c r="H40" i="11"/>
  <c r="H61" i="8"/>
  <c r="H46" i="11" s="1"/>
  <c r="AP33" i="5"/>
  <c r="AA41" i="5"/>
  <c r="AA43" i="5" s="1"/>
  <c r="AG10" i="5"/>
  <c r="AG15" i="5"/>
  <c r="AG42" i="4"/>
  <c r="AG43" i="4" s="1"/>
  <c r="AG10" i="4"/>
  <c r="M11" i="10"/>
  <c r="I43" i="1"/>
  <c r="I45" i="1" s="1"/>
  <c r="I47" i="1" s="1"/>
  <c r="F55" i="1" s="1"/>
  <c r="AB28" i="5"/>
  <c r="N11" i="10" s="1"/>
  <c r="AE36" i="5"/>
  <c r="AE20" i="5"/>
  <c r="AE23" i="5"/>
  <c r="Y71" i="5"/>
  <c r="Z60" i="5"/>
  <c r="AD15" i="4"/>
  <c r="AC27" i="4"/>
  <c r="AG11" i="5" s="1"/>
  <c r="H57" i="8"/>
  <c r="W85" i="5"/>
  <c r="AC129" i="26"/>
  <c r="AE129" i="26" s="1"/>
  <c r="Z130" i="26" s="1"/>
  <c r="CA128" i="26"/>
  <c r="CC128" i="26" s="1"/>
  <c r="BX129" i="26" s="1"/>
  <c r="AM128" i="26"/>
  <c r="BG126" i="26"/>
  <c r="BI126" i="26" s="1"/>
  <c r="BD127" i="26" s="1"/>
  <c r="BA133" i="26"/>
  <c r="BE132" i="26"/>
  <c r="AI204" i="26"/>
  <c r="AH205" i="26"/>
  <c r="AO127" i="26"/>
  <c r="AJ128" i="26" s="1"/>
  <c r="BE203" i="26"/>
  <c r="BA204" i="26"/>
  <c r="AC243" i="26"/>
  <c r="BO204" i="26"/>
  <c r="BK205" i="26"/>
  <c r="AQ131" i="26"/>
  <c r="AU130" i="26"/>
  <c r="AI130" i="26"/>
  <c r="AH131" i="26"/>
  <c r="BY204" i="26"/>
  <c r="BU205" i="26"/>
  <c r="AU203" i="26"/>
  <c r="AQ204" i="26"/>
  <c r="CB129" i="26"/>
  <c r="BZ129" i="26"/>
  <c r="BQ126" i="26"/>
  <c r="W132" i="26"/>
  <c r="AA131" i="26"/>
  <c r="BB205" i="26"/>
  <c r="BC204" i="26"/>
  <c r="AG146" i="26"/>
  <c r="AK145" i="26"/>
  <c r="BS195" i="26"/>
  <c r="BN196" i="26" s="1"/>
  <c r="BR196" i="26" s="1"/>
  <c r="BC128" i="26"/>
  <c r="BB129" i="26"/>
  <c r="AL129" i="26"/>
  <c r="AN129" i="26"/>
  <c r="AB130" i="26"/>
  <c r="AB170" i="26" s="1"/>
  <c r="AD130" i="26"/>
  <c r="AD170" i="26" s="1"/>
  <c r="AW126" i="26"/>
  <c r="AY126" i="26" s="1"/>
  <c r="AT127" i="26" s="1"/>
  <c r="AS128" i="26"/>
  <c r="AR129" i="26"/>
  <c r="AY195" i="26"/>
  <c r="AT196" i="26" s="1"/>
  <c r="AX196" i="26" s="1"/>
  <c r="BM128" i="26"/>
  <c r="BL129" i="26"/>
  <c r="AR203" i="26"/>
  <c r="AS202" i="26"/>
  <c r="BM202" i="26"/>
  <c r="BL203" i="26"/>
  <c r="BZ199" i="26"/>
  <c r="CA199" i="26" s="1"/>
  <c r="CC199" i="26" s="1"/>
  <c r="BX200" i="26" s="1"/>
  <c r="CB200" i="26" s="1"/>
  <c r="BY130" i="26"/>
  <c r="BU131" i="26"/>
  <c r="AA204" i="26"/>
  <c r="W205" i="26"/>
  <c r="BH127" i="26"/>
  <c r="BF127" i="26"/>
  <c r="AX127" i="26"/>
  <c r="AV127" i="26"/>
  <c r="BK131" i="26"/>
  <c r="BO130" i="26"/>
  <c r="BR127" i="26"/>
  <c r="BP127" i="26"/>
  <c r="AM196" i="26"/>
  <c r="BF196" i="26"/>
  <c r="AE28" i="5" l="1"/>
  <c r="AG207" i="26"/>
  <c r="AK206" i="26"/>
  <c r="AC30" i="5"/>
  <c r="AD67" i="5"/>
  <c r="AC69" i="5"/>
  <c r="AD69" i="5" s="1"/>
  <c r="AC41" i="5"/>
  <c r="AD20" i="5"/>
  <c r="AD30" i="5" s="1"/>
  <c r="AI17" i="5"/>
  <c r="AG25" i="5"/>
  <c r="AI18" i="5"/>
  <c r="AG26" i="5"/>
  <c r="BS126" i="26"/>
  <c r="BN127" i="26" s="1"/>
  <c r="AC191" i="26"/>
  <c r="AE191" i="26" s="1"/>
  <c r="Z192" i="26" s="1"/>
  <c r="AB192" i="26" s="1"/>
  <c r="AQ20" i="5"/>
  <c r="AA45" i="5"/>
  <c r="AB45" i="5" s="1"/>
  <c r="AD192" i="26"/>
  <c r="AD243" i="26" s="1"/>
  <c r="E80" i="26" s="1"/>
  <c r="F84" i="26" s="1"/>
  <c r="CA129" i="26"/>
  <c r="CC129" i="26" s="1"/>
  <c r="BX130" i="26" s="1"/>
  <c r="AO128" i="26"/>
  <c r="AJ129" i="26" s="1"/>
  <c r="AA60" i="5"/>
  <c r="M17" i="10"/>
  <c r="AB43" i="5"/>
  <c r="N17" i="10" s="1"/>
  <c r="AE35" i="5"/>
  <c r="AE30" i="5"/>
  <c r="AE34" i="5"/>
  <c r="AE38" i="5"/>
  <c r="AF65" i="5"/>
  <c r="AF58" i="5"/>
  <c r="AE67" i="5"/>
  <c r="AE37" i="5"/>
  <c r="AE39" i="5"/>
  <c r="AF16" i="5"/>
  <c r="AF17" i="5"/>
  <c r="AF64" i="5"/>
  <c r="AF18" i="5"/>
  <c r="AE33" i="5"/>
  <c r="AF66" i="5"/>
  <c r="F61" i="1"/>
  <c r="F63" i="1" s="1"/>
  <c r="F59" i="1"/>
  <c r="AG23" i="5"/>
  <c r="AG20" i="5"/>
  <c r="AH15" i="5" s="1"/>
  <c r="AG36" i="5"/>
  <c r="AI15" i="5"/>
  <c r="AI10" i="5"/>
  <c r="AQ28" i="5"/>
  <c r="H50" i="11"/>
  <c r="H54" i="11" s="1"/>
  <c r="H56" i="11" s="1"/>
  <c r="AP69" i="5"/>
  <c r="AQ69" i="5" s="1"/>
  <c r="AQ67" i="5"/>
  <c r="AP41" i="5"/>
  <c r="AQ41" i="5" s="1"/>
  <c r="AQ33" i="5"/>
  <c r="H59" i="8"/>
  <c r="H44" i="11" s="1"/>
  <c r="H42" i="11"/>
  <c r="G10" i="18"/>
  <c r="C26" i="18" s="1"/>
  <c r="G26" i="18" s="1"/>
  <c r="B19" i="12"/>
  <c r="F19" i="12" s="1"/>
  <c r="H19" i="12" s="1"/>
  <c r="O19" i="12" s="1"/>
  <c r="J53" i="8"/>
  <c r="Z71" i="5"/>
  <c r="L21" i="10" s="1"/>
  <c r="Y91" i="5"/>
  <c r="Y89" i="5"/>
  <c r="K21" i="10"/>
  <c r="Y78" i="5"/>
  <c r="Y87" i="5"/>
  <c r="AB30" i="5"/>
  <c r="N13" i="10" s="1"/>
  <c r="AF15" i="4"/>
  <c r="AE27" i="4"/>
  <c r="AI11" i="5" s="1"/>
  <c r="AB69" i="5"/>
  <c r="N19" i="10" s="1"/>
  <c r="M19" i="10"/>
  <c r="I44" i="1"/>
  <c r="AF28" i="5"/>
  <c r="AF15" i="5"/>
  <c r="AK8" i="5"/>
  <c r="AG25" i="4"/>
  <c r="AG14" i="4"/>
  <c r="M15" i="10"/>
  <c r="AB41" i="5"/>
  <c r="N15" i="10" s="1"/>
  <c r="I38" i="10"/>
  <c r="J36" i="10"/>
  <c r="AI42" i="4"/>
  <c r="AI43" i="4" s="1"/>
  <c r="AI10" i="4"/>
  <c r="AP30" i="5"/>
  <c r="BG127" i="26"/>
  <c r="BI127" i="26" s="1"/>
  <c r="BD128" i="26" s="1"/>
  <c r="AW127" i="26"/>
  <c r="AY127" i="26" s="1"/>
  <c r="AT128" i="26" s="1"/>
  <c r="BZ200" i="26"/>
  <c r="CA200" i="26" s="1"/>
  <c r="CC200" i="26" s="1"/>
  <c r="BX201" i="26" s="1"/>
  <c r="CB201" i="26" s="1"/>
  <c r="AS129" i="26"/>
  <c r="AR130" i="26"/>
  <c r="BH128" i="26"/>
  <c r="BF128" i="26"/>
  <c r="BP196" i="26"/>
  <c r="AI205" i="26"/>
  <c r="AH206" i="26"/>
  <c r="BY131" i="26"/>
  <c r="BU132" i="26"/>
  <c r="BL204" i="26"/>
  <c r="BM203" i="26"/>
  <c r="BM129" i="26"/>
  <c r="BL130" i="26"/>
  <c r="AX128" i="26"/>
  <c r="AV128" i="26"/>
  <c r="AG147" i="26"/>
  <c r="AK146" i="26"/>
  <c r="BB206" i="26"/>
  <c r="BC205" i="26"/>
  <c r="AU131" i="26"/>
  <c r="AQ132" i="26"/>
  <c r="AO196" i="26"/>
  <c r="AJ197" i="26" s="1"/>
  <c r="AN197" i="26" s="1"/>
  <c r="BO131" i="26"/>
  <c r="BK132" i="26"/>
  <c r="AA205" i="26"/>
  <c r="W206" i="26"/>
  <c r="CB130" i="26"/>
  <c r="CB170" i="26" s="1"/>
  <c r="BZ130" i="26"/>
  <c r="BZ170" i="26" s="1"/>
  <c r="AS203" i="26"/>
  <c r="AR204" i="26"/>
  <c r="BR128" i="26"/>
  <c r="BP128" i="26"/>
  <c r="AV196" i="26"/>
  <c r="AM129" i="26"/>
  <c r="AD131" i="26"/>
  <c r="AB131" i="26"/>
  <c r="BY205" i="26"/>
  <c r="BU206" i="26"/>
  <c r="AH132" i="26"/>
  <c r="AI131" i="26"/>
  <c r="BK206" i="26"/>
  <c r="BO205" i="26"/>
  <c r="BG196" i="26"/>
  <c r="BQ127" i="26"/>
  <c r="AC130" i="26"/>
  <c r="BC129" i="26"/>
  <c r="BB130" i="26"/>
  <c r="AA132" i="26"/>
  <c r="W133" i="26"/>
  <c r="AQ205" i="26"/>
  <c r="AU204" i="26"/>
  <c r="AN130" i="26"/>
  <c r="AN170" i="26" s="1"/>
  <c r="AL130" i="26"/>
  <c r="BE204" i="26"/>
  <c r="BA205" i="26"/>
  <c r="BE133" i="26"/>
  <c r="BA134" i="26"/>
  <c r="AG208" i="26" l="1"/>
  <c r="AK207" i="26"/>
  <c r="AG28" i="5"/>
  <c r="AH28" i="5" s="1"/>
  <c r="AK18" i="5"/>
  <c r="AI26" i="5"/>
  <c r="AK17" i="5"/>
  <c r="AI25" i="5"/>
  <c r="AD41" i="5"/>
  <c r="AC45" i="5"/>
  <c r="AD45" i="5" s="1"/>
  <c r="AC43" i="5"/>
  <c r="BS127" i="26"/>
  <c r="BN128" i="26" s="1"/>
  <c r="AO129" i="26"/>
  <c r="AJ130" i="26" s="1"/>
  <c r="AF20" i="5"/>
  <c r="AF30" i="5" s="1"/>
  <c r="AE41" i="5"/>
  <c r="AF41" i="5" s="1"/>
  <c r="AQ30" i="5"/>
  <c r="AC192" i="26"/>
  <c r="AE192" i="26" s="1"/>
  <c r="Z193" i="26" s="1"/>
  <c r="F92" i="26"/>
  <c r="F88" i="26"/>
  <c r="AP45" i="5"/>
  <c r="AQ45" i="5" s="1"/>
  <c r="AP43" i="5"/>
  <c r="AQ43" i="5" s="1"/>
  <c r="Y83" i="5"/>
  <c r="J55" i="8"/>
  <c r="AI25" i="4"/>
  <c r="AI14" i="4"/>
  <c r="AM8" i="5"/>
  <c r="AK15" i="5"/>
  <c r="AK10" i="5"/>
  <c r="K28" i="10"/>
  <c r="K44" i="10"/>
  <c r="J38" i="11"/>
  <c r="J63" i="8"/>
  <c r="AH65" i="5"/>
  <c r="AG67" i="5"/>
  <c r="AG38" i="5"/>
  <c r="AG30" i="5"/>
  <c r="AH58" i="5"/>
  <c r="AG35" i="5"/>
  <c r="AG39" i="5"/>
  <c r="AG37" i="5"/>
  <c r="AH17" i="5"/>
  <c r="AG34" i="5"/>
  <c r="AH16" i="5"/>
  <c r="AG33" i="5"/>
  <c r="AH66" i="5"/>
  <c r="AH64" i="5"/>
  <c r="AH18" i="5"/>
  <c r="AF67" i="5"/>
  <c r="AE69" i="5"/>
  <c r="AF69" i="5" s="1"/>
  <c r="AG27" i="4"/>
  <c r="AK11" i="5" s="1"/>
  <c r="AH15" i="4"/>
  <c r="AI36" i="5"/>
  <c r="AI20" i="5"/>
  <c r="AI23" i="5"/>
  <c r="AB60" i="5"/>
  <c r="AA71" i="5"/>
  <c r="AW128" i="26"/>
  <c r="AY128" i="26" s="1"/>
  <c r="AT129" i="26" s="1"/>
  <c r="CA130" i="26"/>
  <c r="CA170" i="26" s="1"/>
  <c r="W134" i="26"/>
  <c r="AA133" i="26"/>
  <c r="BO206" i="26"/>
  <c r="BK207" i="26"/>
  <c r="BU207" i="26"/>
  <c r="BY206" i="26"/>
  <c r="BQ128" i="26"/>
  <c r="BS128" i="26" s="1"/>
  <c r="BN129" i="26" s="1"/>
  <c r="BR129" i="26"/>
  <c r="BP129" i="26"/>
  <c r="CB131" i="26"/>
  <c r="BZ131" i="26"/>
  <c r="BG128" i="26"/>
  <c r="BI128" i="26" s="1"/>
  <c r="BD129" i="26" s="1"/>
  <c r="AS130" i="26"/>
  <c r="AR131" i="26"/>
  <c r="BZ201" i="26"/>
  <c r="CA201" i="26" s="1"/>
  <c r="CC201" i="26" s="1"/>
  <c r="BX202" i="26" s="1"/>
  <c r="CB202" i="26" s="1"/>
  <c r="AD132" i="26"/>
  <c r="AB132" i="26"/>
  <c r="AC170" i="26"/>
  <c r="AE130" i="26"/>
  <c r="Z131" i="26" s="1"/>
  <c r="AL131" i="26"/>
  <c r="AN131" i="26"/>
  <c r="BK133" i="26"/>
  <c r="BO132" i="26"/>
  <c r="AG148" i="26"/>
  <c r="AK147" i="26"/>
  <c r="AH207" i="26"/>
  <c r="AI206" i="26"/>
  <c r="AX129" i="26"/>
  <c r="AV129" i="26"/>
  <c r="BE205" i="26"/>
  <c r="BA206" i="26"/>
  <c r="AM130" i="26"/>
  <c r="AM170" i="26" s="1"/>
  <c r="AL170" i="26"/>
  <c r="BC130" i="26"/>
  <c r="BB131" i="26"/>
  <c r="BI196" i="26"/>
  <c r="BD197" i="26" s="1"/>
  <c r="BH197" i="26" s="1"/>
  <c r="AH133" i="26"/>
  <c r="AI132" i="26"/>
  <c r="AC131" i="26"/>
  <c r="AW196" i="26"/>
  <c r="AS204" i="26"/>
  <c r="AR205" i="26"/>
  <c r="AA206" i="26"/>
  <c r="W207" i="26"/>
  <c r="AQ133" i="26"/>
  <c r="AU132" i="26"/>
  <c r="BL205" i="26"/>
  <c r="BM204" i="26"/>
  <c r="BQ196" i="26"/>
  <c r="BA135" i="26"/>
  <c r="BE134" i="26"/>
  <c r="AU205" i="26"/>
  <c r="AQ206" i="26"/>
  <c r="BH129" i="26"/>
  <c r="BF129" i="26"/>
  <c r="AL197" i="26"/>
  <c r="BC206" i="26"/>
  <c r="BB207" i="26"/>
  <c r="BM130" i="26"/>
  <c r="BL131" i="26"/>
  <c r="BY132" i="26"/>
  <c r="BU133" i="26"/>
  <c r="AK208" i="26" l="1"/>
  <c r="AG209" i="26"/>
  <c r="AI28" i="5"/>
  <c r="AI30" i="5" s="1"/>
  <c r="AC60" i="5"/>
  <c r="AD43" i="5"/>
  <c r="AM17" i="5"/>
  <c r="AM25" i="5" s="1"/>
  <c r="AK25" i="5"/>
  <c r="AM18" i="5"/>
  <c r="AM26" i="5" s="1"/>
  <c r="AK26" i="5"/>
  <c r="AE43" i="5"/>
  <c r="AE60" i="5" s="1"/>
  <c r="AE45" i="5"/>
  <c r="AF45" i="5" s="1"/>
  <c r="AH20" i="5"/>
  <c r="AH30" i="5" s="1"/>
  <c r="J65" i="8"/>
  <c r="AG41" i="5"/>
  <c r="AH41" i="5" s="1"/>
  <c r="AP60" i="5"/>
  <c r="AQ60" i="5" s="1"/>
  <c r="CC130" i="26"/>
  <c r="BX131" i="26" s="1"/>
  <c r="AD193" i="26"/>
  <c r="AB193" i="26"/>
  <c r="AJ15" i="5"/>
  <c r="AJ17" i="5"/>
  <c r="AJ65" i="5"/>
  <c r="AJ16" i="5"/>
  <c r="AJ66" i="5"/>
  <c r="AI37" i="5"/>
  <c r="AI33" i="5"/>
  <c r="AI34" i="5"/>
  <c r="AI35" i="5"/>
  <c r="AI38" i="5"/>
  <c r="AJ58" i="5"/>
  <c r="AI39" i="5"/>
  <c r="AI67" i="5"/>
  <c r="AJ64" i="5"/>
  <c r="AJ18" i="5"/>
  <c r="AG69" i="5"/>
  <c r="AH69" i="5" s="1"/>
  <c r="AH67" i="5"/>
  <c r="AJ15" i="4"/>
  <c r="AI27" i="4"/>
  <c r="AM11" i="5" s="1"/>
  <c r="AB71" i="5"/>
  <c r="N21" i="10" s="1"/>
  <c r="AA78" i="5"/>
  <c r="H10" i="18"/>
  <c r="M21" i="10"/>
  <c r="AA91" i="5"/>
  <c r="AA89" i="5"/>
  <c r="AA87" i="5"/>
  <c r="B20" i="12"/>
  <c r="F20" i="12" s="1"/>
  <c r="H20" i="12" s="1"/>
  <c r="O20" i="12" s="1"/>
  <c r="L53" i="8"/>
  <c r="N53" i="8" s="1"/>
  <c r="K58" i="11"/>
  <c r="J48" i="11"/>
  <c r="J50" i="11" s="1"/>
  <c r="J54" i="11" s="1"/>
  <c r="J56" i="11" s="1"/>
  <c r="K60" i="11"/>
  <c r="K59" i="11"/>
  <c r="AK36" i="5"/>
  <c r="AK20" i="5"/>
  <c r="AK23" i="5"/>
  <c r="J40" i="11"/>
  <c r="J61" i="8"/>
  <c r="K34" i="10"/>
  <c r="K30" i="10"/>
  <c r="AM15" i="5"/>
  <c r="AM10" i="5"/>
  <c r="Y85" i="5"/>
  <c r="J57" i="8"/>
  <c r="CA131" i="26"/>
  <c r="BG129" i="26"/>
  <c r="BI129" i="26" s="1"/>
  <c r="BD130" i="26" s="1"/>
  <c r="AW129" i="26"/>
  <c r="AY129" i="26" s="1"/>
  <c r="AT130" i="26" s="1"/>
  <c r="AE131" i="26"/>
  <c r="Z132" i="26" s="1"/>
  <c r="BQ129" i="26"/>
  <c r="BS129" i="26" s="1"/>
  <c r="BN130" i="26" s="1"/>
  <c r="BZ202" i="26"/>
  <c r="CA202" i="26" s="1"/>
  <c r="CC202" i="26" s="1"/>
  <c r="BX203" i="26" s="1"/>
  <c r="CB203" i="26" s="1"/>
  <c r="CB132" i="26"/>
  <c r="BZ132" i="26"/>
  <c r="BA136" i="26"/>
  <c r="BE135" i="26"/>
  <c r="BH130" i="26"/>
  <c r="BH170" i="26" s="1"/>
  <c r="BF130" i="26"/>
  <c r="BM131" i="26"/>
  <c r="BL132" i="26"/>
  <c r="BS196" i="26"/>
  <c r="BN197" i="26" s="1"/>
  <c r="BR197" i="26" s="1"/>
  <c r="BL206" i="26"/>
  <c r="BM205" i="26"/>
  <c r="AS205" i="26"/>
  <c r="AR206" i="26"/>
  <c r="BE206" i="26"/>
  <c r="BA207" i="26"/>
  <c r="AH208" i="26"/>
  <c r="AI207" i="26"/>
  <c r="BK134" i="26"/>
  <c r="BO133" i="26"/>
  <c r="AV130" i="26"/>
  <c r="AX130" i="26"/>
  <c r="AX170" i="26" s="1"/>
  <c r="AA134" i="26"/>
  <c r="W135" i="26"/>
  <c r="AM197" i="26"/>
  <c r="AY196" i="26"/>
  <c r="AT197" i="26" s="1"/>
  <c r="AX197" i="26" s="1"/>
  <c r="BF197" i="26"/>
  <c r="BG197" i="26" s="1"/>
  <c r="BI197" i="26" s="1"/>
  <c r="BD198" i="26" s="1"/>
  <c r="BH198" i="26" s="1"/>
  <c r="BR130" i="26"/>
  <c r="BR170" i="26" s="1"/>
  <c r="BP130" i="26"/>
  <c r="AQ207" i="26"/>
  <c r="AU206" i="26"/>
  <c r="AO130" i="26"/>
  <c r="AJ131" i="26" s="1"/>
  <c r="AN132" i="26"/>
  <c r="AL132" i="26"/>
  <c r="AC132" i="26"/>
  <c r="BU208" i="26"/>
  <c r="BY207" i="26"/>
  <c r="AQ134" i="26"/>
  <c r="AU133" i="26"/>
  <c r="AS131" i="26"/>
  <c r="AR132" i="26"/>
  <c r="AD133" i="26"/>
  <c r="AB133" i="26"/>
  <c r="BY133" i="26"/>
  <c r="BU134" i="26"/>
  <c r="BC207" i="26"/>
  <c r="BB208" i="26"/>
  <c r="AA207" i="26"/>
  <c r="W208" i="26"/>
  <c r="AI133" i="26"/>
  <c r="AH134" i="26"/>
  <c r="BC131" i="26"/>
  <c r="BB132" i="26"/>
  <c r="AG149" i="26"/>
  <c r="AK148" i="26"/>
  <c r="AM131" i="26"/>
  <c r="BK208" i="26"/>
  <c r="BO207" i="26"/>
  <c r="AJ28" i="5" l="1"/>
  <c r="AK209" i="26"/>
  <c r="AG210" i="26"/>
  <c r="AK28" i="5"/>
  <c r="AL28" i="5" s="1"/>
  <c r="AF43" i="5"/>
  <c r="AD60" i="5"/>
  <c r="AC71" i="5"/>
  <c r="AC193" i="26"/>
  <c r="AE193" i="26" s="1"/>
  <c r="Z194" i="26" s="1"/>
  <c r="AD194" i="26" s="1"/>
  <c r="AP71" i="5"/>
  <c r="AP89" i="5" s="1"/>
  <c r="J46" i="11"/>
  <c r="AG43" i="5"/>
  <c r="AG60" i="5" s="1"/>
  <c r="AI41" i="5"/>
  <c r="AI43" i="5" s="1"/>
  <c r="AG45" i="5"/>
  <c r="AH45" i="5" s="1"/>
  <c r="J69" i="8"/>
  <c r="AJ20" i="5"/>
  <c r="AJ30" i="5" s="1"/>
  <c r="CC131" i="26"/>
  <c r="BX132" i="26" s="1"/>
  <c r="L55" i="8"/>
  <c r="AA83" i="5"/>
  <c r="AK67" i="5"/>
  <c r="AL64" i="5"/>
  <c r="AL65" i="5"/>
  <c r="AL16" i="5"/>
  <c r="AK34" i="5"/>
  <c r="AK33" i="5"/>
  <c r="AL17" i="5"/>
  <c r="AL66" i="5"/>
  <c r="AK37" i="5"/>
  <c r="AK38" i="5"/>
  <c r="AK39" i="5"/>
  <c r="AL18" i="5"/>
  <c r="AL58" i="5"/>
  <c r="AK35" i="5"/>
  <c r="L38" i="11"/>
  <c r="L63" i="8"/>
  <c r="N63" i="8" s="1"/>
  <c r="AF60" i="5"/>
  <c r="AE71" i="5"/>
  <c r="M28" i="10"/>
  <c r="M44" i="10"/>
  <c r="AJ67" i="5"/>
  <c r="AI69" i="5"/>
  <c r="AJ69" i="5" s="1"/>
  <c r="J42" i="11"/>
  <c r="J59" i="8"/>
  <c r="AM23" i="5"/>
  <c r="AM28" i="5" s="1"/>
  <c r="AM36" i="5"/>
  <c r="AM20" i="5"/>
  <c r="K38" i="10"/>
  <c r="L36" i="10"/>
  <c r="AL15" i="5"/>
  <c r="C27" i="18"/>
  <c r="G27" i="18" s="1"/>
  <c r="G29" i="18" s="1"/>
  <c r="G31" i="18"/>
  <c r="G35" i="18" s="1"/>
  <c r="G37" i="18" s="1"/>
  <c r="G39" i="18" s="1"/>
  <c r="G43" i="18" s="1"/>
  <c r="AC133" i="26"/>
  <c r="AM132" i="26"/>
  <c r="AE132" i="26"/>
  <c r="Z133" i="26" s="1"/>
  <c r="CA132" i="26"/>
  <c r="BF198" i="26"/>
  <c r="BG198" i="26" s="1"/>
  <c r="BI198" i="26" s="1"/>
  <c r="BD199" i="26" s="1"/>
  <c r="BH199" i="26" s="1"/>
  <c r="BZ203" i="26"/>
  <c r="CA203" i="26" s="1"/>
  <c r="CC203" i="26" s="1"/>
  <c r="BX204" i="26" s="1"/>
  <c r="CB204" i="26" s="1"/>
  <c r="CB244" i="26" s="1"/>
  <c r="W136" i="26"/>
  <c r="AA135" i="26"/>
  <c r="AV170" i="26"/>
  <c r="AW130" i="26"/>
  <c r="CB133" i="26"/>
  <c r="BZ133" i="26"/>
  <c r="AX131" i="26"/>
  <c r="AV131" i="26"/>
  <c r="AQ135" i="26"/>
  <c r="AU134" i="26"/>
  <c r="AO131" i="26"/>
  <c r="AJ132" i="26" s="1"/>
  <c r="AB134" i="26"/>
  <c r="AD134" i="26"/>
  <c r="BM206" i="26"/>
  <c r="BL207" i="26"/>
  <c r="BM132" i="26"/>
  <c r="BL133" i="26"/>
  <c r="BF170" i="26"/>
  <c r="BG130" i="26"/>
  <c r="BG170" i="26" s="1"/>
  <c r="AL133" i="26"/>
  <c r="AN133" i="26"/>
  <c r="BY134" i="26"/>
  <c r="BU135" i="26"/>
  <c r="BP170" i="26"/>
  <c r="BQ130" i="26"/>
  <c r="BC132" i="26"/>
  <c r="BB133" i="26"/>
  <c r="BO208" i="26"/>
  <c r="BK209" i="26"/>
  <c r="BH131" i="26"/>
  <c r="BF131" i="26"/>
  <c r="AA208" i="26"/>
  <c r="W209" i="26"/>
  <c r="BB209" i="26"/>
  <c r="BC208" i="26"/>
  <c r="BY208" i="26"/>
  <c r="BU209" i="26"/>
  <c r="AV197" i="26"/>
  <c r="BK135" i="26"/>
  <c r="BO134" i="26"/>
  <c r="AI208" i="26"/>
  <c r="AH209" i="26"/>
  <c r="AR207" i="26"/>
  <c r="AS206" i="26"/>
  <c r="BR131" i="26"/>
  <c r="BP131" i="26"/>
  <c r="BA137" i="26"/>
  <c r="BE136" i="26"/>
  <c r="AG150" i="26"/>
  <c r="AK149" i="26"/>
  <c r="AS132" i="26"/>
  <c r="AR133" i="26"/>
  <c r="AH135" i="26"/>
  <c r="AI134" i="26"/>
  <c r="AU207" i="26"/>
  <c r="AQ208" i="26"/>
  <c r="AO197" i="26"/>
  <c r="AJ198" i="26" s="1"/>
  <c r="AN198" i="26" s="1"/>
  <c r="BE207" i="26"/>
  <c r="BA208" i="26"/>
  <c r="BP197" i="26"/>
  <c r="AK210" i="26" l="1"/>
  <c r="AG211" i="26"/>
  <c r="AK30" i="5"/>
  <c r="AC89" i="5"/>
  <c r="AC78" i="5"/>
  <c r="AC83" i="5" s="1"/>
  <c r="AC85" i="5" s="1"/>
  <c r="AC91" i="5"/>
  <c r="AC87" i="5"/>
  <c r="AD71" i="5"/>
  <c r="CC132" i="26"/>
  <c r="BX133" i="26" s="1"/>
  <c r="AB194" i="26"/>
  <c r="E10" i="8"/>
  <c r="F10" i="8" s="1"/>
  <c r="AH43" i="5"/>
  <c r="AL20" i="5"/>
  <c r="AL30" i="5" s="1"/>
  <c r="AP87" i="5"/>
  <c r="AP78" i="5"/>
  <c r="AP83" i="5" s="1"/>
  <c r="AP85" i="5" s="1"/>
  <c r="AP91" i="5"/>
  <c r="AQ71" i="5"/>
  <c r="AJ41" i="5"/>
  <c r="AI45" i="5"/>
  <c r="AJ45" i="5" s="1"/>
  <c r="J44" i="11"/>
  <c r="K71" i="8"/>
  <c r="AK41" i="5"/>
  <c r="AL41" i="5" s="1"/>
  <c r="AO132" i="26"/>
  <c r="AJ133" i="26" s="1"/>
  <c r="AE133" i="26"/>
  <c r="Z134" i="26" s="1"/>
  <c r="G45" i="18"/>
  <c r="O7" i="8" s="1"/>
  <c r="AJ43" i="5"/>
  <c r="AI60" i="5"/>
  <c r="AN15" i="5"/>
  <c r="AN64" i="5"/>
  <c r="AM67" i="5"/>
  <c r="AM35" i="5"/>
  <c r="AM33" i="5"/>
  <c r="AN18" i="5"/>
  <c r="AM30" i="5"/>
  <c r="AN16" i="5"/>
  <c r="AM37" i="5"/>
  <c r="AM34" i="5"/>
  <c r="AN66" i="5"/>
  <c r="AN17" i="5"/>
  <c r="AM39" i="5"/>
  <c r="AN65" i="5"/>
  <c r="AN58" i="5"/>
  <c r="AM38" i="5"/>
  <c r="AH60" i="5"/>
  <c r="AG71" i="5"/>
  <c r="AE87" i="5"/>
  <c r="AE89" i="5"/>
  <c r="AF71" i="5"/>
  <c r="AE78" i="5"/>
  <c r="AE83" i="5" s="1"/>
  <c r="AE85" i="5" s="1"/>
  <c r="AE91" i="5"/>
  <c r="N55" i="8"/>
  <c r="L61" i="8"/>
  <c r="L40" i="11"/>
  <c r="N40" i="11" s="1"/>
  <c r="N38" i="11"/>
  <c r="L48" i="11"/>
  <c r="M58" i="11"/>
  <c r="M59" i="11"/>
  <c r="M60" i="11"/>
  <c r="AA85" i="5"/>
  <c r="L57" i="8"/>
  <c r="N57" i="8" s="1"/>
  <c r="AN28" i="5"/>
  <c r="M30" i="10"/>
  <c r="E57" i="10" s="1"/>
  <c r="P33" i="8" s="1"/>
  <c r="M34" i="10"/>
  <c r="L65" i="8"/>
  <c r="N65" i="8" s="1"/>
  <c r="N76" i="8"/>
  <c r="B79" i="1"/>
  <c r="AK69" i="5"/>
  <c r="AL69" i="5" s="1"/>
  <c r="AL67" i="5"/>
  <c r="AC134" i="26"/>
  <c r="CA133" i="26"/>
  <c r="BZ204" i="26"/>
  <c r="BF199" i="26"/>
  <c r="BG199" i="26" s="1"/>
  <c r="BI199" i="26" s="1"/>
  <c r="BD200" i="26" s="1"/>
  <c r="BH200" i="26" s="1"/>
  <c r="BQ197" i="26"/>
  <c r="AH136" i="26"/>
  <c r="AI135" i="26"/>
  <c r="BQ131" i="26"/>
  <c r="AI209" i="26"/>
  <c r="AH210" i="26"/>
  <c r="AW197" i="26"/>
  <c r="BK210" i="26"/>
  <c r="BO209" i="26"/>
  <c r="BQ170" i="26"/>
  <c r="BS130" i="26"/>
  <c r="BN131" i="26" s="1"/>
  <c r="AL198" i="26"/>
  <c r="AM198" i="26" s="1"/>
  <c r="AO198" i="26" s="1"/>
  <c r="AJ199" i="26" s="1"/>
  <c r="AN199" i="26" s="1"/>
  <c r="AG151" i="26"/>
  <c r="AK150" i="26"/>
  <c r="BY209" i="26"/>
  <c r="BU210" i="26"/>
  <c r="BB210" i="26"/>
  <c r="BC209" i="26"/>
  <c r="BG131" i="26"/>
  <c r="BM133" i="26"/>
  <c r="BL134" i="26"/>
  <c r="AW170" i="26"/>
  <c r="AY130" i="26"/>
  <c r="AT131" i="26" s="1"/>
  <c r="AD135" i="26"/>
  <c r="AB135" i="26"/>
  <c r="AS133" i="26"/>
  <c r="AR134" i="26"/>
  <c r="BC133" i="26"/>
  <c r="BB134" i="26"/>
  <c r="BY135" i="26"/>
  <c r="BU136" i="26"/>
  <c r="BP132" i="26"/>
  <c r="BR132" i="26"/>
  <c r="AU135" i="26"/>
  <c r="AQ136" i="26"/>
  <c r="AA136" i="26"/>
  <c r="W137" i="26"/>
  <c r="BE208" i="26"/>
  <c r="BA209" i="26"/>
  <c r="AQ209" i="26"/>
  <c r="AU208" i="26"/>
  <c r="AL134" i="26"/>
  <c r="AN134" i="26"/>
  <c r="AV132" i="26"/>
  <c r="AX132" i="26"/>
  <c r="BE137" i="26"/>
  <c r="BA138" i="26"/>
  <c r="AR208" i="26"/>
  <c r="AS207" i="26"/>
  <c r="BO135" i="26"/>
  <c r="BK136" i="26"/>
  <c r="AA209" i="26"/>
  <c r="W210" i="26"/>
  <c r="BH132" i="26"/>
  <c r="BF132" i="26"/>
  <c r="BZ134" i="26"/>
  <c r="CB134" i="26"/>
  <c r="AM133" i="26"/>
  <c r="BM207" i="26"/>
  <c r="BL208" i="26"/>
  <c r="AW131" i="26"/>
  <c r="AC194" i="26"/>
  <c r="BI130" i="26"/>
  <c r="BD131" i="26" s="1"/>
  <c r="AG212" i="26" l="1"/>
  <c r="AK211" i="26"/>
  <c r="E10" i="11"/>
  <c r="CC133" i="26"/>
  <c r="BX134" i="26" s="1"/>
  <c r="AE134" i="26"/>
  <c r="Z135" i="26" s="1"/>
  <c r="AN20" i="5"/>
  <c r="AN30" i="5" s="1"/>
  <c r="G49" i="18"/>
  <c r="L46" i="11"/>
  <c r="N61" i="8"/>
  <c r="N46" i="11" s="1"/>
  <c r="AM41" i="5"/>
  <c r="AN41" i="5" s="1"/>
  <c r="AK45" i="5"/>
  <c r="AL45" i="5" s="1"/>
  <c r="AK43" i="5"/>
  <c r="BS131" i="26"/>
  <c r="BN132" i="26" s="1"/>
  <c r="BI131" i="26"/>
  <c r="BD132" i="26" s="1"/>
  <c r="B75" i="1"/>
  <c r="C75" i="1" s="1"/>
  <c r="O29" i="8"/>
  <c r="AG91" i="5"/>
  <c r="AG89" i="5"/>
  <c r="AG87" i="5"/>
  <c r="AH71" i="5"/>
  <c r="AG78" i="5"/>
  <c r="AG83" i="5" s="1"/>
  <c r="AG85" i="5" s="1"/>
  <c r="L69" i="8"/>
  <c r="N69" i="8" s="1"/>
  <c r="O71" i="8" s="1"/>
  <c r="N77" i="8"/>
  <c r="N78" i="8" s="1"/>
  <c r="N82" i="8" s="1"/>
  <c r="L42" i="11"/>
  <c r="N42" i="11" s="1"/>
  <c r="L59" i="8"/>
  <c r="N36" i="10"/>
  <c r="E55" i="10" s="1"/>
  <c r="P31" i="8" s="1"/>
  <c r="M38" i="10"/>
  <c r="E59" i="10" s="1"/>
  <c r="P35" i="8" s="1"/>
  <c r="N48" i="11"/>
  <c r="L50" i="11"/>
  <c r="D65" i="11"/>
  <c r="AJ60" i="5"/>
  <c r="AI71" i="5"/>
  <c r="C84" i="1"/>
  <c r="C79" i="1"/>
  <c r="AM69" i="5"/>
  <c r="AN69" i="5" s="1"/>
  <c r="AN67" i="5"/>
  <c r="CA134" i="26"/>
  <c r="AW132" i="26"/>
  <c r="BQ132" i="26"/>
  <c r="AC135" i="26"/>
  <c r="BF200" i="26"/>
  <c r="BG200" i="26" s="1"/>
  <c r="BI200" i="26" s="1"/>
  <c r="BD201" i="26" s="1"/>
  <c r="BH201" i="26" s="1"/>
  <c r="AL199" i="26"/>
  <c r="AM199" i="26" s="1"/>
  <c r="AO199" i="26" s="1"/>
  <c r="AJ200" i="26" s="1"/>
  <c r="AN200" i="26" s="1"/>
  <c r="BG132" i="26"/>
  <c r="BY136" i="26"/>
  <c r="BU137" i="26"/>
  <c r="BP133" i="26"/>
  <c r="BR133" i="26"/>
  <c r="BC210" i="26"/>
  <c r="BB211" i="26"/>
  <c r="AG152" i="26"/>
  <c r="AK151" i="26"/>
  <c r="AH211" i="26"/>
  <c r="AI210" i="26"/>
  <c r="AI136" i="26"/>
  <c r="AH137" i="26"/>
  <c r="AU209" i="26"/>
  <c r="AQ210" i="26"/>
  <c r="W138" i="26"/>
  <c r="AA137" i="26"/>
  <c r="AO133" i="26"/>
  <c r="AJ134" i="26" s="1"/>
  <c r="CB135" i="26"/>
  <c r="BZ135" i="26"/>
  <c r="AS134" i="26"/>
  <c r="AR135" i="26"/>
  <c r="BZ244" i="26"/>
  <c r="CA204" i="26"/>
  <c r="AS208" i="26"/>
  <c r="AR209" i="26"/>
  <c r="AE194" i="26"/>
  <c r="Z195" i="26" s="1"/>
  <c r="AD195" i="26" s="1"/>
  <c r="BL209" i="26"/>
  <c r="BM208" i="26"/>
  <c r="BK137" i="26"/>
  <c r="BO136" i="26"/>
  <c r="BA139" i="26"/>
  <c r="BE138" i="26"/>
  <c r="BE209" i="26"/>
  <c r="BA210" i="26"/>
  <c r="AD136" i="26"/>
  <c r="AB136" i="26"/>
  <c r="BC134" i="26"/>
  <c r="BB135" i="26"/>
  <c r="AV133" i="26"/>
  <c r="AX133" i="26"/>
  <c r="AY131" i="26"/>
  <c r="AT132" i="26" s="1"/>
  <c r="BU211" i="26"/>
  <c r="BY210" i="26"/>
  <c r="BO210" i="26"/>
  <c r="BK211" i="26"/>
  <c r="BS197" i="26"/>
  <c r="BN198" i="26" s="1"/>
  <c r="BR198" i="26" s="1"/>
  <c r="AA210" i="26"/>
  <c r="W211" i="26"/>
  <c r="AM134" i="26"/>
  <c r="AQ137" i="26"/>
  <c r="AU136" i="26"/>
  <c r="BH133" i="26"/>
  <c r="BF133" i="26"/>
  <c r="BM134" i="26"/>
  <c r="BL135" i="26"/>
  <c r="AY197" i="26"/>
  <c r="AT198" i="26" s="1"/>
  <c r="AX198" i="26" s="1"/>
  <c r="AN135" i="26"/>
  <c r="AL135" i="26"/>
  <c r="AK212" i="26" l="1"/>
  <c r="AG213" i="26"/>
  <c r="CC134" i="26"/>
  <c r="BX135" i="26" s="1"/>
  <c r="AE135" i="26"/>
  <c r="Z136" i="26" s="1"/>
  <c r="BI132" i="26"/>
  <c r="BD133" i="26" s="1"/>
  <c r="BS132" i="26"/>
  <c r="BN133" i="26" s="1"/>
  <c r="AM45" i="5"/>
  <c r="AN45" i="5" s="1"/>
  <c r="AM43" i="5"/>
  <c r="AN43" i="5" s="1"/>
  <c r="D66" i="11"/>
  <c r="D67" i="11" s="1"/>
  <c r="D70" i="11" s="1"/>
  <c r="E74" i="11" s="1"/>
  <c r="E76" i="11" s="1"/>
  <c r="N50" i="11"/>
  <c r="AK60" i="5"/>
  <c r="AL43" i="5"/>
  <c r="L44" i="11"/>
  <c r="N59" i="8"/>
  <c r="AY132" i="26"/>
  <c r="AT133" i="26" s="1"/>
  <c r="CA135" i="26"/>
  <c r="L54" i="11"/>
  <c r="AJ71" i="5"/>
  <c r="AI87" i="5"/>
  <c r="AI89" i="5"/>
  <c r="AI78" i="5"/>
  <c r="AI83" i="5" s="1"/>
  <c r="AI85" i="5" s="1"/>
  <c r="AI91" i="5"/>
  <c r="F65" i="1"/>
  <c r="F66" i="1" s="1"/>
  <c r="F68" i="1" s="1"/>
  <c r="M71" i="8"/>
  <c r="C86" i="1"/>
  <c r="C89" i="1"/>
  <c r="C88" i="1"/>
  <c r="C87" i="1"/>
  <c r="O96" i="8"/>
  <c r="O98" i="8" s="1"/>
  <c r="O86" i="8"/>
  <c r="O88" i="8" s="1"/>
  <c r="AC136" i="26"/>
  <c r="AM135" i="26"/>
  <c r="BG133" i="26"/>
  <c r="BI133" i="26" s="1"/>
  <c r="BD134" i="26" s="1"/>
  <c r="AL200" i="26"/>
  <c r="AM200" i="26" s="1"/>
  <c r="AO200" i="26" s="1"/>
  <c r="AJ201" i="26" s="1"/>
  <c r="AN201" i="26" s="1"/>
  <c r="BF201" i="26"/>
  <c r="BG201" i="26" s="1"/>
  <c r="BI201" i="26" s="1"/>
  <c r="BD202" i="26" s="1"/>
  <c r="BH202" i="26" s="1"/>
  <c r="BU212" i="26"/>
  <c r="BY211" i="26"/>
  <c r="BH134" i="26"/>
  <c r="BF134" i="26"/>
  <c r="BE210" i="26"/>
  <c r="BA211" i="26"/>
  <c r="AB195" i="26"/>
  <c r="CA244" i="26"/>
  <c r="CC204" i="26"/>
  <c r="BX205" i="26" s="1"/>
  <c r="CB205" i="26" s="1"/>
  <c r="AD137" i="26"/>
  <c r="AB137" i="26"/>
  <c r="AI137" i="26"/>
  <c r="AH138" i="26"/>
  <c r="CB136" i="26"/>
  <c r="BZ136" i="26"/>
  <c r="AV198" i="26"/>
  <c r="AW198" i="26" s="1"/>
  <c r="AY198" i="26" s="1"/>
  <c r="AT199" i="26" s="1"/>
  <c r="AX199" i="26" s="1"/>
  <c r="BK138" i="26"/>
  <c r="BO137" i="26"/>
  <c r="AA138" i="26"/>
  <c r="W139" i="26"/>
  <c r="AL136" i="26"/>
  <c r="AN136" i="26"/>
  <c r="AG153" i="26"/>
  <c r="AK152" i="26"/>
  <c r="BQ133" i="26"/>
  <c r="BM135" i="26"/>
  <c r="BL136" i="26"/>
  <c r="AW133" i="26"/>
  <c r="AS209" i="26"/>
  <c r="AR210" i="26"/>
  <c r="AS135" i="26"/>
  <c r="AR136" i="26"/>
  <c r="AQ211" i="26"/>
  <c r="AU210" i="26"/>
  <c r="BC211" i="26"/>
  <c r="BB212" i="26"/>
  <c r="BR134" i="26"/>
  <c r="BP134" i="26"/>
  <c r="AQ138" i="26"/>
  <c r="AU137" i="26"/>
  <c r="AA211" i="26"/>
  <c r="W212" i="26"/>
  <c r="BP198" i="26"/>
  <c r="BQ198" i="26" s="1"/>
  <c r="BS198" i="26" s="1"/>
  <c r="BN199" i="26" s="1"/>
  <c r="BR199" i="26" s="1"/>
  <c r="BK212" i="26"/>
  <c r="BO211" i="26"/>
  <c r="BC135" i="26"/>
  <c r="BB136" i="26"/>
  <c r="BA140" i="26"/>
  <c r="BE139" i="26"/>
  <c r="BL210" i="26"/>
  <c r="BM209" i="26"/>
  <c r="AX134" i="26"/>
  <c r="AV134" i="26"/>
  <c r="AO134" i="26"/>
  <c r="AJ135" i="26" s="1"/>
  <c r="AH212" i="26"/>
  <c r="AI211" i="26"/>
  <c r="BY137" i="26"/>
  <c r="BU138" i="26"/>
  <c r="AG214" i="26" l="1"/>
  <c r="AK213" i="26"/>
  <c r="CC135" i="26"/>
  <c r="BX136" i="26" s="1"/>
  <c r="AE136" i="26"/>
  <c r="Z137" i="26" s="1"/>
  <c r="AO135" i="26"/>
  <c r="AJ136" i="26" s="1"/>
  <c r="BS133" i="26"/>
  <c r="BN134" i="26" s="1"/>
  <c r="AM60" i="5"/>
  <c r="AN60" i="5" s="1"/>
  <c r="C94" i="1"/>
  <c r="C98" i="1" s="1"/>
  <c r="C99" i="1" s="1"/>
  <c r="L56" i="11"/>
  <c r="N54" i="11"/>
  <c r="N56" i="11" s="1"/>
  <c r="AX16" i="5"/>
  <c r="N44" i="11"/>
  <c r="AK71" i="5"/>
  <c r="AL60" i="5"/>
  <c r="AC137" i="26"/>
  <c r="CA136" i="26"/>
  <c r="BG134" i="26"/>
  <c r="BI134" i="26" s="1"/>
  <c r="BD135" i="26" s="1"/>
  <c r="AW134" i="26"/>
  <c r="AV199" i="26"/>
  <c r="AW199" i="26" s="1"/>
  <c r="AY199" i="26" s="1"/>
  <c r="AT200" i="26" s="1"/>
  <c r="AX200" i="26" s="1"/>
  <c r="BF202" i="26"/>
  <c r="BG202" i="26" s="1"/>
  <c r="BI202" i="26" s="1"/>
  <c r="BD203" i="26" s="1"/>
  <c r="BH203" i="26" s="1"/>
  <c r="AL201" i="26"/>
  <c r="AM201" i="26" s="1"/>
  <c r="AO201" i="26" s="1"/>
  <c r="AJ202" i="26" s="1"/>
  <c r="AN202" i="26" s="1"/>
  <c r="BY138" i="26"/>
  <c r="BU139" i="26"/>
  <c r="AI212" i="26"/>
  <c r="AH213" i="26"/>
  <c r="AQ139" i="26"/>
  <c r="AU138" i="26"/>
  <c r="AS136" i="26"/>
  <c r="AR137" i="26"/>
  <c r="BM210" i="26"/>
  <c r="BL211" i="26"/>
  <c r="AB138" i="26"/>
  <c r="AD138" i="26"/>
  <c r="BZ205" i="26"/>
  <c r="CB137" i="26"/>
  <c r="BZ137" i="26"/>
  <c r="BA141" i="26"/>
  <c r="BE140" i="26"/>
  <c r="BO212" i="26"/>
  <c r="BK213" i="26"/>
  <c r="AA212" i="26"/>
  <c r="W213" i="26"/>
  <c r="BQ134" i="26"/>
  <c r="BB213" i="26"/>
  <c r="BC212" i="26"/>
  <c r="AX135" i="26"/>
  <c r="AV135" i="26"/>
  <c r="AM136" i="26"/>
  <c r="BK139" i="26"/>
  <c r="BO138" i="26"/>
  <c r="AC195" i="26"/>
  <c r="BY212" i="26"/>
  <c r="BU213" i="26"/>
  <c r="BH135" i="26"/>
  <c r="BF135" i="26"/>
  <c r="BP199" i="26"/>
  <c r="BQ199" i="26" s="1"/>
  <c r="BS199" i="26" s="1"/>
  <c r="BN200" i="26" s="1"/>
  <c r="BR200" i="26" s="1"/>
  <c r="BR135" i="26"/>
  <c r="BP135" i="26"/>
  <c r="AG154" i="26"/>
  <c r="AK153" i="26"/>
  <c r="AN137" i="26"/>
  <c r="AL137" i="26"/>
  <c r="BC136" i="26"/>
  <c r="BB137" i="26"/>
  <c r="AU211" i="26"/>
  <c r="AQ212" i="26"/>
  <c r="AR211" i="26"/>
  <c r="AS210" i="26"/>
  <c r="BM136" i="26"/>
  <c r="BL137" i="26"/>
  <c r="W140" i="26"/>
  <c r="AA139" i="26"/>
  <c r="AH139" i="26"/>
  <c r="AI138" i="26"/>
  <c r="BE211" i="26"/>
  <c r="BA212" i="26"/>
  <c r="AY133" i="26"/>
  <c r="AT134" i="26" s="1"/>
  <c r="AE137" i="26" l="1"/>
  <c r="Z138" i="26" s="1"/>
  <c r="AK214" i="26"/>
  <c r="AG215" i="26"/>
  <c r="AM71" i="5"/>
  <c r="AM87" i="5" s="1"/>
  <c r="CC136" i="26"/>
  <c r="BX137" i="26" s="1"/>
  <c r="AO136" i="26"/>
  <c r="AJ137" i="26" s="1"/>
  <c r="AK87" i="5"/>
  <c r="AK78" i="5"/>
  <c r="AK83" i="5" s="1"/>
  <c r="AK85" i="5" s="1"/>
  <c r="AK91" i="5"/>
  <c r="AK89" i="5"/>
  <c r="AL71" i="5"/>
  <c r="AY134" i="26"/>
  <c r="AT135" i="26" s="1"/>
  <c r="AC138" i="26"/>
  <c r="AE138" i="26" s="1"/>
  <c r="Z139" i="26" s="1"/>
  <c r="AW135" i="26"/>
  <c r="CA137" i="26"/>
  <c r="BQ135" i="26"/>
  <c r="AL202" i="26"/>
  <c r="AM202" i="26" s="1"/>
  <c r="AO202" i="26" s="1"/>
  <c r="AJ203" i="26" s="1"/>
  <c r="AN203" i="26" s="1"/>
  <c r="AV200" i="26"/>
  <c r="AW200" i="26" s="1"/>
  <c r="AY200" i="26" s="1"/>
  <c r="AT201" i="26" s="1"/>
  <c r="AX201" i="26" s="1"/>
  <c r="AH140" i="26"/>
  <c r="AI139" i="26"/>
  <c r="BY213" i="26"/>
  <c r="BU214" i="26"/>
  <c r="AU139" i="26"/>
  <c r="AQ140" i="26"/>
  <c r="BF203" i="26"/>
  <c r="BG203" i="26" s="1"/>
  <c r="BI203" i="26" s="1"/>
  <c r="BD204" i="26" s="1"/>
  <c r="BH204" i="26" s="1"/>
  <c r="BH244" i="26" s="1"/>
  <c r="AD139" i="26"/>
  <c r="AB139" i="26"/>
  <c r="BK214" i="26"/>
  <c r="BO213" i="26"/>
  <c r="BE141" i="26"/>
  <c r="BA142" i="26"/>
  <c r="CA205" i="26"/>
  <c r="BM211" i="26"/>
  <c r="BL212" i="26"/>
  <c r="AX136" i="26"/>
  <c r="AV136" i="26"/>
  <c r="BY139" i="26"/>
  <c r="BU140" i="26"/>
  <c r="BF136" i="26"/>
  <c r="BH136" i="26"/>
  <c r="AM137" i="26"/>
  <c r="AO137" i="26" s="1"/>
  <c r="AJ138" i="26" s="1"/>
  <c r="BP200" i="26"/>
  <c r="BQ200" i="26" s="1"/>
  <c r="BS200" i="26" s="1"/>
  <c r="BN201" i="26" s="1"/>
  <c r="BR201" i="26" s="1"/>
  <c r="AI213" i="26"/>
  <c r="AH214" i="26"/>
  <c r="BE212" i="26"/>
  <c r="BA213" i="26"/>
  <c r="BG135" i="26"/>
  <c r="BI135" i="26" s="1"/>
  <c r="BD136" i="26" s="1"/>
  <c r="BO139" i="26"/>
  <c r="BK140" i="26"/>
  <c r="AS137" i="26"/>
  <c r="AR138" i="26"/>
  <c r="AA140" i="26"/>
  <c r="W141" i="26"/>
  <c r="BM137" i="26"/>
  <c r="BL138" i="26"/>
  <c r="AR212" i="26"/>
  <c r="AS211" i="26"/>
  <c r="BS134" i="26"/>
  <c r="BN135" i="26" s="1"/>
  <c r="AL138" i="26"/>
  <c r="AN138" i="26"/>
  <c r="BR136" i="26"/>
  <c r="BP136" i="26"/>
  <c r="AQ213" i="26"/>
  <c r="AU212" i="26"/>
  <c r="BC137" i="26"/>
  <c r="BB138" i="26"/>
  <c r="AG155" i="26"/>
  <c r="AK154" i="26"/>
  <c r="AE195" i="26"/>
  <c r="Z196" i="26" s="1"/>
  <c r="AD196" i="26" s="1"/>
  <c r="BB214" i="26"/>
  <c r="BC213" i="26"/>
  <c r="AA213" i="26"/>
  <c r="W214" i="26"/>
  <c r="BZ138" i="26"/>
  <c r="CB138" i="26"/>
  <c r="AM78" i="5" l="1"/>
  <c r="AM83" i="5" s="1"/>
  <c r="AM85" i="5" s="1"/>
  <c r="AG216" i="26"/>
  <c r="AK215" i="26"/>
  <c r="AM91" i="5"/>
  <c r="AN71" i="5"/>
  <c r="AM89" i="5"/>
  <c r="CC137" i="26"/>
  <c r="BX138" i="26" s="1"/>
  <c r="AY135" i="26"/>
  <c r="AT136" i="26" s="1"/>
  <c r="AC139" i="26"/>
  <c r="AE139" i="26" s="1"/>
  <c r="Z140" i="26" s="1"/>
  <c r="AM138" i="26"/>
  <c r="AO138" i="26" s="1"/>
  <c r="AJ139" i="26" s="1"/>
  <c r="CA138" i="26"/>
  <c r="CC138" i="26" s="1"/>
  <c r="BX139" i="26" s="1"/>
  <c r="BQ136" i="26"/>
  <c r="BS135" i="26"/>
  <c r="BN136" i="26" s="1"/>
  <c r="BP201" i="26"/>
  <c r="BQ201" i="26" s="1"/>
  <c r="BS201" i="26" s="1"/>
  <c r="BN202" i="26" s="1"/>
  <c r="BR202" i="26" s="1"/>
  <c r="BF204" i="26"/>
  <c r="AV201" i="26"/>
  <c r="AW201" i="26" s="1"/>
  <c r="AY201" i="26" s="1"/>
  <c r="AT202" i="26" s="1"/>
  <c r="AX202" i="26" s="1"/>
  <c r="AL203" i="26"/>
  <c r="AM203" i="26" s="1"/>
  <c r="AO203" i="26" s="1"/>
  <c r="AJ204" i="26" s="1"/>
  <c r="AN204" i="26" s="1"/>
  <c r="AN244" i="26" s="1"/>
  <c r="BR137" i="26"/>
  <c r="BP137" i="26"/>
  <c r="BY140" i="26"/>
  <c r="BU141" i="26"/>
  <c r="BA143" i="26"/>
  <c r="BE142" i="26"/>
  <c r="BU215" i="26"/>
  <c r="BY214" i="26"/>
  <c r="BC138" i="26"/>
  <c r="BB139" i="26"/>
  <c r="BC214" i="26"/>
  <c r="BB215" i="26"/>
  <c r="AG156" i="26"/>
  <c r="AK155" i="26"/>
  <c r="AU213" i="26"/>
  <c r="AQ214" i="26"/>
  <c r="AX137" i="26"/>
  <c r="AV137" i="26"/>
  <c r="AL139" i="26"/>
  <c r="AN139" i="26"/>
  <c r="AB196" i="26"/>
  <c r="W142" i="26"/>
  <c r="AA141" i="26"/>
  <c r="AI140" i="26"/>
  <c r="AH141" i="26"/>
  <c r="BH137" i="26"/>
  <c r="BF137" i="26"/>
  <c r="AS212" i="26"/>
  <c r="AR213" i="26"/>
  <c r="AD140" i="26"/>
  <c r="AB140" i="26"/>
  <c r="BG136" i="26"/>
  <c r="BI136" i="26" s="1"/>
  <c r="BD137" i="26" s="1"/>
  <c r="AW136" i="26"/>
  <c r="CC205" i="26"/>
  <c r="BX206" i="26" s="1"/>
  <c r="CB206" i="26" s="1"/>
  <c r="BL213" i="26"/>
  <c r="BM212" i="26"/>
  <c r="AA214" i="26"/>
  <c r="W215" i="26"/>
  <c r="BK141" i="26"/>
  <c r="BO140" i="26"/>
  <c r="BE213" i="26"/>
  <c r="BA214" i="26"/>
  <c r="CB139" i="26"/>
  <c r="BZ139" i="26"/>
  <c r="BM138" i="26"/>
  <c r="BL139" i="26"/>
  <c r="AS138" i="26"/>
  <c r="AR139" i="26"/>
  <c r="AH215" i="26"/>
  <c r="AI214" i="26"/>
  <c r="BO214" i="26"/>
  <c r="BK215" i="26"/>
  <c r="AQ141" i="26"/>
  <c r="AU140" i="26"/>
  <c r="AK216" i="26" l="1"/>
  <c r="AG217" i="26"/>
  <c r="BS136" i="26"/>
  <c r="BN137" i="26" s="1"/>
  <c r="AM139" i="26"/>
  <c r="AO139" i="26" s="1"/>
  <c r="AJ140" i="26" s="1"/>
  <c r="AC140" i="26"/>
  <c r="AE140" i="26" s="1"/>
  <c r="Z141" i="26" s="1"/>
  <c r="CA139" i="26"/>
  <c r="CC139" i="26" s="1"/>
  <c r="BX140" i="26" s="1"/>
  <c r="AV202" i="26"/>
  <c r="AW202" i="26" s="1"/>
  <c r="AY202" i="26" s="1"/>
  <c r="AT203" i="26" s="1"/>
  <c r="AX203" i="26" s="1"/>
  <c r="BP202" i="26"/>
  <c r="BQ202" i="26" s="1"/>
  <c r="BS202" i="26" s="1"/>
  <c r="BN203" i="26" s="1"/>
  <c r="BR203" i="26" s="1"/>
  <c r="AV138" i="26"/>
  <c r="AX138" i="26"/>
  <c r="BE214" i="26"/>
  <c r="BA215" i="26"/>
  <c r="BL214" i="26"/>
  <c r="BM213" i="26"/>
  <c r="AY136" i="26"/>
  <c r="AT137" i="26" s="1"/>
  <c r="BG137" i="26"/>
  <c r="BI137" i="26" s="1"/>
  <c r="BD138" i="26" s="1"/>
  <c r="AD141" i="26"/>
  <c r="AB141" i="26"/>
  <c r="AW137" i="26"/>
  <c r="BC139" i="26"/>
  <c r="BB140" i="26"/>
  <c r="BU216" i="26"/>
  <c r="BY215" i="26"/>
  <c r="BZ140" i="26"/>
  <c r="CB140" i="26"/>
  <c r="BK142" i="26"/>
  <c r="BO141" i="26"/>
  <c r="AH216" i="26"/>
  <c r="AI215" i="26"/>
  <c r="BZ206" i="26"/>
  <c r="AA142" i="26"/>
  <c r="W143" i="26"/>
  <c r="AG157" i="26"/>
  <c r="AK156" i="26"/>
  <c r="BF138" i="26"/>
  <c r="BH138" i="26"/>
  <c r="AL204" i="26"/>
  <c r="BF244" i="26"/>
  <c r="BG204" i="26"/>
  <c r="AS139" i="26"/>
  <c r="AR140" i="26"/>
  <c r="AN140" i="26"/>
  <c r="AL140" i="26"/>
  <c r="BY141" i="26"/>
  <c r="BU142" i="26"/>
  <c r="AQ142" i="26"/>
  <c r="AU141" i="26"/>
  <c r="BM139" i="26"/>
  <c r="BL140" i="26"/>
  <c r="BK216" i="26"/>
  <c r="BO215" i="26"/>
  <c r="BP138" i="26"/>
  <c r="BR138" i="26"/>
  <c r="AA215" i="26"/>
  <c r="W216" i="26"/>
  <c r="AS213" i="26"/>
  <c r="AR214" i="26"/>
  <c r="AI141" i="26"/>
  <c r="AH142" i="26"/>
  <c r="AC196" i="26"/>
  <c r="AQ215" i="26"/>
  <c r="AU214" i="26"/>
  <c r="BC215" i="26"/>
  <c r="BB216" i="26"/>
  <c r="BA144" i="26"/>
  <c r="BE143" i="26"/>
  <c r="BQ137" i="26"/>
  <c r="AK217" i="26" l="1"/>
  <c r="AG218" i="26"/>
  <c r="BS137" i="26"/>
  <c r="BN138" i="26" s="1"/>
  <c r="BG138" i="26"/>
  <c r="BI138" i="26" s="1"/>
  <c r="BD139" i="26" s="1"/>
  <c r="CA140" i="26"/>
  <c r="CC140" i="26" s="1"/>
  <c r="BX141" i="26" s="1"/>
  <c r="AM140" i="26"/>
  <c r="AO140" i="26" s="1"/>
  <c r="AJ141" i="26" s="1"/>
  <c r="AC141" i="26"/>
  <c r="AE141" i="26" s="1"/>
  <c r="Z142" i="26" s="1"/>
  <c r="AV203" i="26"/>
  <c r="AW203" i="26" s="1"/>
  <c r="AY203" i="26" s="1"/>
  <c r="AT204" i="26" s="1"/>
  <c r="AX204" i="26" s="1"/>
  <c r="AX244" i="26" s="1"/>
  <c r="BM140" i="26"/>
  <c r="BL141" i="26"/>
  <c r="BG244" i="26"/>
  <c r="BI204" i="26"/>
  <c r="BD205" i="26" s="1"/>
  <c r="BH205" i="26" s="1"/>
  <c r="BM214" i="26"/>
  <c r="BL215" i="26"/>
  <c r="AE196" i="26"/>
  <c r="Z197" i="26" s="1"/>
  <c r="AD197" i="26" s="1"/>
  <c r="BQ138" i="26"/>
  <c r="BR139" i="26"/>
  <c r="BP139" i="26"/>
  <c r="CB141" i="26"/>
  <c r="BZ141" i="26"/>
  <c r="AA143" i="26"/>
  <c r="W144" i="26"/>
  <c r="BC140" i="26"/>
  <c r="BB141" i="26"/>
  <c r="AY137" i="26"/>
  <c r="AT138" i="26" s="1"/>
  <c r="AR215" i="26"/>
  <c r="AS214" i="26"/>
  <c r="AH143" i="26"/>
  <c r="AI142" i="26"/>
  <c r="AS140" i="26"/>
  <c r="AR141" i="26"/>
  <c r="AM204" i="26"/>
  <c r="AL244" i="26"/>
  <c r="AG158" i="26"/>
  <c r="AK157" i="26"/>
  <c r="AB142" i="26"/>
  <c r="AB171" i="26" s="1"/>
  <c r="AD142" i="26"/>
  <c r="AD171" i="26" s="1"/>
  <c r="BH139" i="26"/>
  <c r="BF139" i="26"/>
  <c r="BE215" i="26"/>
  <c r="BA216" i="26"/>
  <c r="AW138" i="26"/>
  <c r="BP203" i="26"/>
  <c r="BQ203" i="26" s="1"/>
  <c r="BS203" i="26" s="1"/>
  <c r="BN204" i="26" s="1"/>
  <c r="BR204" i="26" s="1"/>
  <c r="BR244" i="26" s="1"/>
  <c r="BB217" i="26"/>
  <c r="BC216" i="26"/>
  <c r="BY142" i="26"/>
  <c r="BU143" i="26"/>
  <c r="AH217" i="26"/>
  <c r="AI216" i="26"/>
  <c r="BK143" i="26"/>
  <c r="BO142" i="26"/>
  <c r="BY216" i="26"/>
  <c r="BU217" i="26"/>
  <c r="BA145" i="26"/>
  <c r="BE144" i="26"/>
  <c r="AU215" i="26"/>
  <c r="AQ216" i="26"/>
  <c r="AL141" i="26"/>
  <c r="AN141" i="26"/>
  <c r="AA216" i="26"/>
  <c r="W217" i="26"/>
  <c r="BO216" i="26"/>
  <c r="BK217" i="26"/>
  <c r="AQ143" i="26"/>
  <c r="AU142" i="26"/>
  <c r="AX139" i="26"/>
  <c r="AV139" i="26"/>
  <c r="CA206" i="26"/>
  <c r="AK218" i="26" l="1"/>
  <c r="AG219" i="26"/>
  <c r="BS138" i="26"/>
  <c r="BN139" i="26" s="1"/>
  <c r="CA141" i="26"/>
  <c r="CC141" i="26" s="1"/>
  <c r="BX142" i="26" s="1"/>
  <c r="BG139" i="26"/>
  <c r="BI139" i="26" s="1"/>
  <c r="BD140" i="26" s="1"/>
  <c r="BQ139" i="26"/>
  <c r="BP204" i="26"/>
  <c r="AV204" i="26"/>
  <c r="AM141" i="26"/>
  <c r="AO141" i="26" s="1"/>
  <c r="AJ142" i="26" s="1"/>
  <c r="BE145" i="26"/>
  <c r="BA146" i="26"/>
  <c r="AI217" i="26"/>
  <c r="AH218" i="26"/>
  <c r="BB218" i="26"/>
  <c r="BC217" i="26"/>
  <c r="AS141" i="26"/>
  <c r="AR142" i="26"/>
  <c r="AR216" i="26"/>
  <c r="AS215" i="26"/>
  <c r="AA144" i="26"/>
  <c r="W145" i="26"/>
  <c r="AM244" i="26"/>
  <c r="AO204" i="26"/>
  <c r="AJ205" i="26" s="1"/>
  <c r="AN205" i="26" s="1"/>
  <c r="CC206" i="26"/>
  <c r="BX207" i="26" s="1"/>
  <c r="CB207" i="26" s="1"/>
  <c r="AU143" i="26"/>
  <c r="AQ144" i="26"/>
  <c r="W218" i="26"/>
  <c r="AA217" i="26"/>
  <c r="AQ217" i="26"/>
  <c r="AU216" i="26"/>
  <c r="BY143" i="26"/>
  <c r="BU144" i="26"/>
  <c r="BE216" i="26"/>
  <c r="BA217" i="26"/>
  <c r="AC142" i="26"/>
  <c r="AG159" i="26"/>
  <c r="AK158" i="26"/>
  <c r="AV140" i="26"/>
  <c r="AX140" i="26"/>
  <c r="AN142" i="26"/>
  <c r="AN171" i="26" s="1"/>
  <c r="AL142" i="26"/>
  <c r="AY138" i="26"/>
  <c r="AT139" i="26" s="1"/>
  <c r="AD143" i="26"/>
  <c r="AB143" i="26"/>
  <c r="BM215" i="26"/>
  <c r="BL216" i="26"/>
  <c r="BM141" i="26"/>
  <c r="BL142" i="26"/>
  <c r="BY217" i="26"/>
  <c r="BU218" i="26"/>
  <c r="BH140" i="26"/>
  <c r="BF140" i="26"/>
  <c r="BF205" i="26"/>
  <c r="AW139" i="26"/>
  <c r="BK218" i="26"/>
  <c r="BO217" i="26"/>
  <c r="BO143" i="26"/>
  <c r="BK144" i="26"/>
  <c r="BZ142" i="26"/>
  <c r="BZ171" i="26" s="1"/>
  <c r="CB142" i="26"/>
  <c r="CB171" i="26" s="1"/>
  <c r="AH144" i="26"/>
  <c r="AI143" i="26"/>
  <c r="BC141" i="26"/>
  <c r="BB142" i="26"/>
  <c r="AB197" i="26"/>
  <c r="BR140" i="26"/>
  <c r="BP140" i="26"/>
  <c r="AK219" i="26" l="1"/>
  <c r="AG220" i="26"/>
  <c r="BS139" i="26"/>
  <c r="BN140" i="26" s="1"/>
  <c r="AC143" i="26"/>
  <c r="BQ140" i="26"/>
  <c r="BG140" i="26"/>
  <c r="BI140" i="26" s="1"/>
  <c r="BD141" i="26" s="1"/>
  <c r="CA142" i="26"/>
  <c r="CA171" i="26" s="1"/>
  <c r="AN143" i="26"/>
  <c r="AL143" i="26"/>
  <c r="AM142" i="26"/>
  <c r="AM171" i="26" s="1"/>
  <c r="AL171" i="26"/>
  <c r="AR217" i="26"/>
  <c r="AS216" i="26"/>
  <c r="BB219" i="26"/>
  <c r="BC218" i="26"/>
  <c r="AH145" i="26"/>
  <c r="AI144" i="26"/>
  <c r="BU219" i="26"/>
  <c r="BY218" i="26"/>
  <c r="BP141" i="26"/>
  <c r="BR141" i="26"/>
  <c r="AG160" i="26"/>
  <c r="AK159" i="26"/>
  <c r="BY144" i="26"/>
  <c r="BU145" i="26"/>
  <c r="BZ207" i="26"/>
  <c r="AA145" i="26"/>
  <c r="W146" i="26"/>
  <c r="AI218" i="26"/>
  <c r="AH219" i="26"/>
  <c r="BA147" i="26"/>
  <c r="BE146" i="26"/>
  <c r="AW204" i="26"/>
  <c r="AV244" i="26"/>
  <c r="BQ204" i="26"/>
  <c r="BP244" i="26"/>
  <c r="AC197" i="26"/>
  <c r="BG205" i="26"/>
  <c r="BC142" i="26"/>
  <c r="BB143" i="26"/>
  <c r="BO218" i="26"/>
  <c r="BK219" i="26"/>
  <c r="BL217" i="26"/>
  <c r="BM216" i="26"/>
  <c r="AC171" i="26"/>
  <c r="AE142" i="26"/>
  <c r="Z143" i="26" s="1"/>
  <c r="CB143" i="26"/>
  <c r="BZ143" i="26"/>
  <c r="W219" i="26"/>
  <c r="AA218" i="26"/>
  <c r="AB144" i="26"/>
  <c r="AD144" i="26"/>
  <c r="AS142" i="26"/>
  <c r="AR143" i="26"/>
  <c r="BM142" i="26"/>
  <c r="BL143" i="26"/>
  <c r="BF141" i="26"/>
  <c r="BH141" i="26"/>
  <c r="BK145" i="26"/>
  <c r="BO144" i="26"/>
  <c r="AY139" i="26"/>
  <c r="AT140" i="26" s="1"/>
  <c r="AW140" i="26"/>
  <c r="BE217" i="26"/>
  <c r="BA218" i="26"/>
  <c r="AU217" i="26"/>
  <c r="AQ218" i="26"/>
  <c r="AQ145" i="26"/>
  <c r="AU144" i="26"/>
  <c r="AL205" i="26"/>
  <c r="AX141" i="26"/>
  <c r="AV141" i="26"/>
  <c r="AG221" i="26" l="1"/>
  <c r="AK220" i="26"/>
  <c r="BS140" i="26"/>
  <c r="BN141" i="26" s="1"/>
  <c r="AE143" i="26"/>
  <c r="Z144" i="26" s="1"/>
  <c r="CC142" i="26"/>
  <c r="BX143" i="26" s="1"/>
  <c r="AW141" i="26"/>
  <c r="CA143" i="26"/>
  <c r="BQ141" i="26"/>
  <c r="BE218" i="26"/>
  <c r="BA219" i="26"/>
  <c r="AS143" i="26"/>
  <c r="AR144" i="26"/>
  <c r="BC143" i="26"/>
  <c r="BB144" i="26"/>
  <c r="AQ146" i="26"/>
  <c r="AU145" i="26"/>
  <c r="BG141" i="26"/>
  <c r="BI141" i="26" s="1"/>
  <c r="BD142" i="26" s="1"/>
  <c r="AX142" i="26"/>
  <c r="AX171" i="26" s="1"/>
  <c r="AV142" i="26"/>
  <c r="BL218" i="26"/>
  <c r="BM217" i="26"/>
  <c r="BH142" i="26"/>
  <c r="BH171" i="26" s="1"/>
  <c r="BF142" i="26"/>
  <c r="AE197" i="26"/>
  <c r="Z198" i="26" s="1"/>
  <c r="AD198" i="26" s="1"/>
  <c r="AW244" i="26"/>
  <c r="AY204" i="26"/>
  <c r="AT205" i="26" s="1"/>
  <c r="AX205" i="26" s="1"/>
  <c r="AG161" i="26"/>
  <c r="AK160" i="26"/>
  <c r="AH220" i="26"/>
  <c r="AI219" i="26"/>
  <c r="BC219" i="26"/>
  <c r="BB220" i="26"/>
  <c r="AO142" i="26"/>
  <c r="AJ143" i="26" s="1"/>
  <c r="AM205" i="26"/>
  <c r="AQ219" i="26"/>
  <c r="AU218" i="26"/>
  <c r="BM143" i="26"/>
  <c r="BL144" i="26"/>
  <c r="AC144" i="26"/>
  <c r="BK220" i="26"/>
  <c r="BO219" i="26"/>
  <c r="BI205" i="26"/>
  <c r="BD206" i="26" s="1"/>
  <c r="BH206" i="26" s="1"/>
  <c r="AA146" i="26"/>
  <c r="W147" i="26"/>
  <c r="CA207" i="26"/>
  <c r="BY145" i="26"/>
  <c r="BU146" i="26"/>
  <c r="AL144" i="26"/>
  <c r="AN144" i="26"/>
  <c r="AS217" i="26"/>
  <c r="AR218" i="26"/>
  <c r="AM143" i="26"/>
  <c r="AY140" i="26"/>
  <c r="AT141" i="26" s="1"/>
  <c r="BK146" i="26"/>
  <c r="BO145" i="26"/>
  <c r="BR142" i="26"/>
  <c r="BR171" i="26" s="1"/>
  <c r="BP142" i="26"/>
  <c r="W220" i="26"/>
  <c r="AA219" i="26"/>
  <c r="BQ244" i="26"/>
  <c r="BS204" i="26"/>
  <c r="BN205" i="26" s="1"/>
  <c r="BR205" i="26" s="1"/>
  <c r="BA148" i="26"/>
  <c r="BE147" i="26"/>
  <c r="AD145" i="26"/>
  <c r="AB145" i="26"/>
  <c r="BZ144" i="26"/>
  <c r="CB144" i="26"/>
  <c r="BU220" i="26"/>
  <c r="BY219" i="26"/>
  <c r="AI145" i="26"/>
  <c r="AH146" i="26"/>
  <c r="AK221" i="26" l="1"/>
  <c r="AG222" i="26"/>
  <c r="BS141" i="26"/>
  <c r="BN142" i="26" s="1"/>
  <c r="AE144" i="26"/>
  <c r="Z145" i="26" s="1"/>
  <c r="AY141" i="26"/>
  <c r="AT142" i="26" s="1"/>
  <c r="CC143" i="26"/>
  <c r="BX144" i="26" s="1"/>
  <c r="AC145" i="26"/>
  <c r="BM144" i="26"/>
  <c r="BL145" i="26"/>
  <c r="BF171" i="26"/>
  <c r="BG142" i="26"/>
  <c r="BG171" i="26" s="1"/>
  <c r="BF206" i="26"/>
  <c r="AO143" i="26"/>
  <c r="AJ144" i="26" s="1"/>
  <c r="AG162" i="26"/>
  <c r="AK161" i="26"/>
  <c r="AV171" i="26"/>
  <c r="AW142" i="26"/>
  <c r="AW171" i="26" s="1"/>
  <c r="BC144" i="26"/>
  <c r="BB145" i="26"/>
  <c r="AS144" i="26"/>
  <c r="AR145" i="26"/>
  <c r="BO220" i="26"/>
  <c r="BK221" i="26"/>
  <c r="AH221" i="26"/>
  <c r="AI220" i="26"/>
  <c r="AM144" i="26"/>
  <c r="BR143" i="26"/>
  <c r="BP143" i="26"/>
  <c r="CA144" i="26"/>
  <c r="BP205" i="26"/>
  <c r="BK147" i="26"/>
  <c r="BO146" i="26"/>
  <c r="AS218" i="26"/>
  <c r="AR219" i="26"/>
  <c r="BY146" i="26"/>
  <c r="BU147" i="26"/>
  <c r="AA147" i="26"/>
  <c r="W148" i="26"/>
  <c r="AU219" i="26"/>
  <c r="AQ220" i="26"/>
  <c r="BC220" i="26"/>
  <c r="BB221" i="26"/>
  <c r="AB198" i="26"/>
  <c r="AC198" i="26" s="1"/>
  <c r="AE198" i="26" s="1"/>
  <c r="Z199" i="26" s="1"/>
  <c r="AD199" i="26" s="1"/>
  <c r="BH143" i="26"/>
  <c r="BF143" i="26"/>
  <c r="AX143" i="26"/>
  <c r="AV143" i="26"/>
  <c r="AI146" i="26"/>
  <c r="AH147" i="26"/>
  <c r="AV205" i="26"/>
  <c r="AL145" i="26"/>
  <c r="AN145" i="26"/>
  <c r="BY220" i="26"/>
  <c r="BU221" i="26"/>
  <c r="BA149" i="26"/>
  <c r="BE148" i="26"/>
  <c r="W221" i="26"/>
  <c r="AA220" i="26"/>
  <c r="CC207" i="26"/>
  <c r="BX208" i="26" s="1"/>
  <c r="CB208" i="26" s="1"/>
  <c r="BP171" i="26"/>
  <c r="BQ142" i="26"/>
  <c r="BZ145" i="26"/>
  <c r="CB145" i="26"/>
  <c r="AB146" i="26"/>
  <c r="AD146" i="26"/>
  <c r="AO205" i="26"/>
  <c r="AJ206" i="26" s="1"/>
  <c r="AN206" i="26" s="1"/>
  <c r="BL219" i="26"/>
  <c r="BM218" i="26"/>
  <c r="AQ147" i="26"/>
  <c r="AU146" i="26"/>
  <c r="BE219" i="26"/>
  <c r="BA220" i="26"/>
  <c r="AK222" i="26" l="1"/>
  <c r="AG223" i="26"/>
  <c r="AE145" i="26"/>
  <c r="Z146" i="26" s="1"/>
  <c r="CC144" i="26"/>
  <c r="BX145" i="26" s="1"/>
  <c r="AY142" i="26"/>
  <c r="AT143" i="26" s="1"/>
  <c r="BI142" i="26"/>
  <c r="BD143" i="26" s="1"/>
  <c r="AB199" i="26"/>
  <c r="AC199" i="26" s="1"/>
  <c r="AE199" i="26" s="1"/>
  <c r="Z200" i="26" s="1"/>
  <c r="AD200" i="26" s="1"/>
  <c r="AU147" i="26"/>
  <c r="AQ148" i="26"/>
  <c r="AA148" i="26"/>
  <c r="W149" i="26"/>
  <c r="BC145" i="26"/>
  <c r="BB146" i="26"/>
  <c r="BE220" i="26"/>
  <c r="BA221" i="26"/>
  <c r="BH144" i="26"/>
  <c r="BF144" i="26"/>
  <c r="AG163" i="26"/>
  <c r="AK162" i="26"/>
  <c r="BG206" i="26"/>
  <c r="BQ171" i="26"/>
  <c r="BS142" i="26"/>
  <c r="BN143" i="26" s="1"/>
  <c r="W222" i="26"/>
  <c r="AA221" i="26"/>
  <c r="BY221" i="26"/>
  <c r="BU222" i="26"/>
  <c r="BB222" i="26"/>
  <c r="BC221" i="26"/>
  <c r="AR220" i="26"/>
  <c r="AS219" i="26"/>
  <c r="BQ205" i="26"/>
  <c r="BP144" i="26"/>
  <c r="BR144" i="26"/>
  <c r="AL206" i="26"/>
  <c r="CA145" i="26"/>
  <c r="BE149" i="26"/>
  <c r="BA150" i="26"/>
  <c r="AW205" i="26"/>
  <c r="AH148" i="26"/>
  <c r="AI147" i="26"/>
  <c r="BG143" i="26"/>
  <c r="AQ221" i="26"/>
  <c r="AU220" i="26"/>
  <c r="BY147" i="26"/>
  <c r="BU148" i="26"/>
  <c r="AI221" i="26"/>
  <c r="AH222" i="26"/>
  <c r="AS145" i="26"/>
  <c r="AR146" i="26"/>
  <c r="AO144" i="26"/>
  <c r="AJ145" i="26" s="1"/>
  <c r="BZ208" i="26"/>
  <c r="AW143" i="26"/>
  <c r="AD147" i="26"/>
  <c r="AB147" i="26"/>
  <c r="BM219" i="26"/>
  <c r="BL220" i="26"/>
  <c r="AC146" i="26"/>
  <c r="AM145" i="26"/>
  <c r="AL146" i="26"/>
  <c r="AN146" i="26"/>
  <c r="CB146" i="26"/>
  <c r="BZ146" i="26"/>
  <c r="BO147" i="26"/>
  <c r="BK148" i="26"/>
  <c r="BQ143" i="26"/>
  <c r="BK222" i="26"/>
  <c r="BO221" i="26"/>
  <c r="AX144" i="26"/>
  <c r="AV144" i="26"/>
  <c r="BM145" i="26"/>
  <c r="BL146" i="26"/>
  <c r="AG224" i="26" l="1"/>
  <c r="AK223" i="26"/>
  <c r="BI143" i="26"/>
  <c r="BD144" i="26" s="1"/>
  <c r="BQ144" i="26"/>
  <c r="CC145" i="26"/>
  <c r="BX146" i="26" s="1"/>
  <c r="AC147" i="26"/>
  <c r="CA146" i="26"/>
  <c r="AB200" i="26"/>
  <c r="AC200" i="26" s="1"/>
  <c r="AE200" i="26" s="1"/>
  <c r="Z201" i="26" s="1"/>
  <c r="AD201" i="26" s="1"/>
  <c r="BM146" i="26"/>
  <c r="BL147" i="26"/>
  <c r="BK149" i="26"/>
  <c r="BO148" i="26"/>
  <c r="AN147" i="26"/>
  <c r="AL147" i="26"/>
  <c r="BA151" i="26"/>
  <c r="BE150" i="26"/>
  <c r="BB223" i="26"/>
  <c r="BC222" i="26"/>
  <c r="BH145" i="26"/>
  <c r="BF145" i="26"/>
  <c r="BO222" i="26"/>
  <c r="BK223" i="26"/>
  <c r="AM146" i="26"/>
  <c r="AO145" i="26"/>
  <c r="AJ146" i="26" s="1"/>
  <c r="AU221" i="26"/>
  <c r="AQ222" i="26"/>
  <c r="AH149" i="26"/>
  <c r="AI148" i="26"/>
  <c r="BG144" i="26"/>
  <c r="BE221" i="26"/>
  <c r="BA222" i="26"/>
  <c r="AI222" i="26"/>
  <c r="AH223" i="26"/>
  <c r="AG164" i="26"/>
  <c r="AK163" i="26"/>
  <c r="AB148" i="26"/>
  <c r="AD148" i="26"/>
  <c r="AQ149" i="26"/>
  <c r="AU148" i="26"/>
  <c r="BP145" i="26"/>
  <c r="BR145" i="26"/>
  <c r="AW144" i="26"/>
  <c r="AY143" i="26"/>
  <c r="AT144" i="26" s="1"/>
  <c r="BM220" i="26"/>
  <c r="BL221" i="26"/>
  <c r="AS146" i="26"/>
  <c r="AR147" i="26"/>
  <c r="BY148" i="26"/>
  <c r="BU149" i="26"/>
  <c r="AY205" i="26"/>
  <c r="AT206" i="26" s="1"/>
  <c r="AX206" i="26" s="1"/>
  <c r="AR221" i="26"/>
  <c r="AS220" i="26"/>
  <c r="BU223" i="26"/>
  <c r="BY222" i="26"/>
  <c r="W223" i="26"/>
  <c r="AA222" i="26"/>
  <c r="BI206" i="26"/>
  <c r="BD207" i="26" s="1"/>
  <c r="BH207" i="26" s="1"/>
  <c r="AE146" i="26"/>
  <c r="Z147" i="26" s="1"/>
  <c r="CA208" i="26"/>
  <c r="AV145" i="26"/>
  <c r="AX145" i="26"/>
  <c r="BZ147" i="26"/>
  <c r="CB147" i="26"/>
  <c r="AM206" i="26"/>
  <c r="BS205" i="26"/>
  <c r="BN206" i="26" s="1"/>
  <c r="BR206" i="26" s="1"/>
  <c r="BS143" i="26"/>
  <c r="BN144" i="26" s="1"/>
  <c r="BC146" i="26"/>
  <c r="BB147" i="26"/>
  <c r="AA149" i="26"/>
  <c r="W150" i="26"/>
  <c r="AK224" i="26" l="1"/>
  <c r="AG225" i="26"/>
  <c r="BI144" i="26"/>
  <c r="BD145" i="26" s="1"/>
  <c r="BS144" i="26"/>
  <c r="BN145" i="26" s="1"/>
  <c r="CC146" i="26"/>
  <c r="BX147" i="26" s="1"/>
  <c r="AO146" i="26"/>
  <c r="AJ147" i="26" s="1"/>
  <c r="AE147" i="26"/>
  <c r="Z148" i="26" s="1"/>
  <c r="CA147" i="26"/>
  <c r="AC148" i="26"/>
  <c r="AM147" i="26"/>
  <c r="AO147" i="26" s="1"/>
  <c r="AJ148" i="26" s="1"/>
  <c r="AB201" i="26"/>
  <c r="AC201" i="26" s="1"/>
  <c r="AE201" i="26" s="1"/>
  <c r="Z202" i="26" s="1"/>
  <c r="AD202" i="26" s="1"/>
  <c r="AO206" i="26"/>
  <c r="AJ207" i="26" s="1"/>
  <c r="AN207" i="26" s="1"/>
  <c r="AX146" i="26"/>
  <c r="AV146" i="26"/>
  <c r="AY144" i="26"/>
  <c r="AT145" i="26" s="1"/>
  <c r="BQ145" i="26"/>
  <c r="BS145" i="26" s="1"/>
  <c r="BN146" i="26" s="1"/>
  <c r="AG165" i="26"/>
  <c r="AK164" i="26"/>
  <c r="AH224" i="26"/>
  <c r="AI223" i="26"/>
  <c r="AQ223" i="26"/>
  <c r="AU222" i="26"/>
  <c r="BC223" i="26"/>
  <c r="BB224" i="26"/>
  <c r="AA150" i="26"/>
  <c r="W151" i="26"/>
  <c r="CC208" i="26"/>
  <c r="BX209" i="26" s="1"/>
  <c r="CB209" i="26" s="1"/>
  <c r="AS221" i="26"/>
  <c r="AR222" i="26"/>
  <c r="AS147" i="26"/>
  <c r="AR148" i="26"/>
  <c r="AD149" i="26"/>
  <c r="AB149" i="26"/>
  <c r="BC147" i="26"/>
  <c r="BB148" i="26"/>
  <c r="BP206" i="26"/>
  <c r="AW145" i="26"/>
  <c r="BU224" i="26"/>
  <c r="BY223" i="26"/>
  <c r="BY149" i="26"/>
  <c r="BU150" i="26"/>
  <c r="BE222" i="26"/>
  <c r="BA223" i="26"/>
  <c r="BG145" i="26"/>
  <c r="BI145" i="26" s="1"/>
  <c r="BD146" i="26" s="1"/>
  <c r="BM147" i="26"/>
  <c r="BL148" i="26"/>
  <c r="AI149" i="26"/>
  <c r="AH150" i="26"/>
  <c r="BK224" i="26"/>
  <c r="BO223" i="26"/>
  <c r="BF146" i="26"/>
  <c r="BH146" i="26"/>
  <c r="BF207" i="26"/>
  <c r="W224" i="26"/>
  <c r="AA223" i="26"/>
  <c r="AV206" i="26"/>
  <c r="CB148" i="26"/>
  <c r="BZ148" i="26"/>
  <c r="BL222" i="26"/>
  <c r="BM221" i="26"/>
  <c r="AQ150" i="26"/>
  <c r="AU149" i="26"/>
  <c r="AN148" i="26"/>
  <c r="AL148" i="26"/>
  <c r="BA152" i="26"/>
  <c r="BE151" i="26"/>
  <c r="BK150" i="26"/>
  <c r="BO149" i="26"/>
  <c r="BR146" i="26"/>
  <c r="BP146" i="26"/>
  <c r="AK225" i="26" l="1"/>
  <c r="AG226" i="26"/>
  <c r="CC147" i="26"/>
  <c r="BX148" i="26" s="1"/>
  <c r="AE148" i="26"/>
  <c r="Z149" i="26" s="1"/>
  <c r="CA148" i="26"/>
  <c r="BQ146" i="26"/>
  <c r="BS146" i="26" s="1"/>
  <c r="BN147" i="26" s="1"/>
  <c r="AC149" i="26"/>
  <c r="AH151" i="26"/>
  <c r="AI150" i="26"/>
  <c r="BR147" i="26"/>
  <c r="BP147" i="26"/>
  <c r="BC148" i="26"/>
  <c r="BB149" i="26"/>
  <c r="AS148" i="26"/>
  <c r="AR149" i="26"/>
  <c r="BZ209" i="26"/>
  <c r="BC224" i="26"/>
  <c r="BB225" i="26"/>
  <c r="AH225" i="26"/>
  <c r="AI224" i="26"/>
  <c r="AB202" i="26"/>
  <c r="AC202" i="26" s="1"/>
  <c r="AE202" i="26" s="1"/>
  <c r="Z203" i="26" s="1"/>
  <c r="AD203" i="26" s="1"/>
  <c r="BA153" i="26"/>
  <c r="BE152" i="26"/>
  <c r="AQ151" i="26"/>
  <c r="AU150" i="26"/>
  <c r="BG146" i="26"/>
  <c r="BI146" i="26" s="1"/>
  <c r="BD147" i="26" s="1"/>
  <c r="AL149" i="26"/>
  <c r="AN149" i="26"/>
  <c r="BE223" i="26"/>
  <c r="BA224" i="26"/>
  <c r="BH147" i="26"/>
  <c r="BF147" i="26"/>
  <c r="AX147" i="26"/>
  <c r="AV147" i="26"/>
  <c r="AY145" i="26"/>
  <c r="AT146" i="26" s="1"/>
  <c r="BG207" i="26"/>
  <c r="BK151" i="26"/>
  <c r="BO150" i="26"/>
  <c r="AM148" i="26"/>
  <c r="AO148" i="26" s="1"/>
  <c r="AJ149" i="26" s="1"/>
  <c r="BY150" i="26"/>
  <c r="BU151" i="26"/>
  <c r="BY224" i="26"/>
  <c r="BU225" i="26"/>
  <c r="BQ206" i="26"/>
  <c r="AS222" i="26"/>
  <c r="AR223" i="26"/>
  <c r="AA151" i="26"/>
  <c r="W152" i="26"/>
  <c r="AU223" i="26"/>
  <c r="AQ224" i="26"/>
  <c r="AG166" i="26"/>
  <c r="AK166" i="26" s="1"/>
  <c r="AK165" i="26"/>
  <c r="AW146" i="26"/>
  <c r="BL223" i="26"/>
  <c r="BM222" i="26"/>
  <c r="AW206" i="26"/>
  <c r="W225" i="26"/>
  <c r="AA224" i="26"/>
  <c r="BO224" i="26"/>
  <c r="BK225" i="26"/>
  <c r="BM148" i="26"/>
  <c r="BL149" i="26"/>
  <c r="BZ149" i="26"/>
  <c r="CB149" i="26"/>
  <c r="AB150" i="26"/>
  <c r="AD150" i="26"/>
  <c r="AL207" i="26"/>
  <c r="AK226" i="26" l="1"/>
  <c r="AG227" i="26"/>
  <c r="CC148" i="26"/>
  <c r="BX149" i="26" s="1"/>
  <c r="AE149" i="26"/>
  <c r="Z150" i="26" s="1"/>
  <c r="CA149" i="26"/>
  <c r="AC150" i="26"/>
  <c r="BQ147" i="26"/>
  <c r="BS147" i="26" s="1"/>
  <c r="BN148" i="26" s="1"/>
  <c r="BR148" i="26"/>
  <c r="BP148" i="26"/>
  <c r="AY206" i="26"/>
  <c r="AT207" i="26" s="1"/>
  <c r="AX207" i="26" s="1"/>
  <c r="AA152" i="26"/>
  <c r="W153" i="26"/>
  <c r="AD151" i="26"/>
  <c r="AB151" i="26"/>
  <c r="BS206" i="26"/>
  <c r="BN207" i="26" s="1"/>
  <c r="BR207" i="26" s="1"/>
  <c r="BY151" i="26"/>
  <c r="BU152" i="26"/>
  <c r="BF148" i="26"/>
  <c r="BH148" i="26"/>
  <c r="AM207" i="26"/>
  <c r="BE224" i="26"/>
  <c r="BA225" i="26"/>
  <c r="CA209" i="26"/>
  <c r="W226" i="26"/>
  <c r="AA225" i="26"/>
  <c r="BM223" i="26"/>
  <c r="BL224" i="26"/>
  <c r="AQ225" i="26"/>
  <c r="AU224" i="26"/>
  <c r="AR224" i="26"/>
  <c r="AS223" i="26"/>
  <c r="BZ150" i="26"/>
  <c r="CB150" i="26"/>
  <c r="BI207" i="26"/>
  <c r="BD208" i="26" s="1"/>
  <c r="BH208" i="26" s="1"/>
  <c r="AW147" i="26"/>
  <c r="AU151" i="26"/>
  <c r="AQ152" i="26"/>
  <c r="BB226" i="26"/>
  <c r="BC225" i="26"/>
  <c r="AS149" i="26"/>
  <c r="AR150" i="26"/>
  <c r="AN150" i="26"/>
  <c r="AL150" i="26"/>
  <c r="BG147" i="26"/>
  <c r="BI147" i="26" s="1"/>
  <c r="BD148" i="26" s="1"/>
  <c r="AB203" i="26"/>
  <c r="AC203" i="26" s="1"/>
  <c r="AE203" i="26" s="1"/>
  <c r="Z204" i="26" s="1"/>
  <c r="AD204" i="26" s="1"/>
  <c r="AD244" i="26" s="1"/>
  <c r="AI225" i="26"/>
  <c r="AH226" i="26"/>
  <c r="BC149" i="26"/>
  <c r="BB150" i="26"/>
  <c r="BK226" i="26"/>
  <c r="BO225" i="26"/>
  <c r="BM149" i="26"/>
  <c r="BL150" i="26"/>
  <c r="BY225" i="26"/>
  <c r="BU226" i="26"/>
  <c r="BO151" i="26"/>
  <c r="BK152" i="26"/>
  <c r="AY146" i="26"/>
  <c r="AT147" i="26" s="1"/>
  <c r="AM149" i="26"/>
  <c r="AO149" i="26" s="1"/>
  <c r="AJ150" i="26" s="1"/>
  <c r="BE153" i="26"/>
  <c r="BA154" i="26"/>
  <c r="AX148" i="26"/>
  <c r="AV148" i="26"/>
  <c r="AH152" i="26"/>
  <c r="AI151" i="26"/>
  <c r="AK227" i="26" l="1"/>
  <c r="AG228" i="26"/>
  <c r="CC149" i="26"/>
  <c r="BX150" i="26" s="1"/>
  <c r="AE150" i="26"/>
  <c r="Z151" i="26" s="1"/>
  <c r="AM150" i="26"/>
  <c r="AO150" i="26" s="1"/>
  <c r="AJ151" i="26" s="1"/>
  <c r="CA150" i="26"/>
  <c r="AC151" i="26"/>
  <c r="BG148" i="26"/>
  <c r="BI148" i="26" s="1"/>
  <c r="BD149" i="26" s="1"/>
  <c r="AN151" i="26"/>
  <c r="AL151" i="26"/>
  <c r="BB227" i="26"/>
  <c r="BC226" i="26"/>
  <c r="AQ153" i="26"/>
  <c r="AU152" i="26"/>
  <c r="BF208" i="26"/>
  <c r="BM224" i="26"/>
  <c r="BL225" i="26"/>
  <c r="W227" i="26"/>
  <c r="AA226" i="26"/>
  <c r="CC209" i="26"/>
  <c r="BX210" i="26" s="1"/>
  <c r="CB210" i="26" s="1"/>
  <c r="AO207" i="26"/>
  <c r="AJ208" i="26" s="1"/>
  <c r="AN208" i="26" s="1"/>
  <c r="AV207" i="26"/>
  <c r="BP149" i="26"/>
  <c r="BR149" i="26"/>
  <c r="AI226" i="26"/>
  <c r="AH227" i="26"/>
  <c r="AU225" i="26"/>
  <c r="AQ226" i="26"/>
  <c r="BP207" i="26"/>
  <c r="AW148" i="26"/>
  <c r="AY147" i="26"/>
  <c r="AT148" i="26" s="1"/>
  <c r="BU227" i="26"/>
  <c r="BY226" i="26"/>
  <c r="BC150" i="26"/>
  <c r="BB151" i="26"/>
  <c r="AS150" i="26"/>
  <c r="AR151" i="26"/>
  <c r="AR225" i="26"/>
  <c r="AS224" i="26"/>
  <c r="BE225" i="26"/>
  <c r="BA226" i="26"/>
  <c r="BY152" i="26"/>
  <c r="BU153" i="26"/>
  <c r="AB152" i="26"/>
  <c r="AD152" i="26"/>
  <c r="AI152" i="26"/>
  <c r="AH153" i="26"/>
  <c r="BA155" i="26"/>
  <c r="BE154" i="26"/>
  <c r="BK153" i="26"/>
  <c r="BO152" i="26"/>
  <c r="BM150" i="26"/>
  <c r="BL151" i="26"/>
  <c r="BO226" i="26"/>
  <c r="BK227" i="26"/>
  <c r="BH149" i="26"/>
  <c r="BF149" i="26"/>
  <c r="AB204" i="26"/>
  <c r="AV149" i="26"/>
  <c r="AX149" i="26"/>
  <c r="CB151" i="26"/>
  <c r="BZ151" i="26"/>
  <c r="AA153" i="26"/>
  <c r="W154" i="26"/>
  <c r="BQ148" i="26"/>
  <c r="BS148" i="26" s="1"/>
  <c r="BN149" i="26" s="1"/>
  <c r="AG229" i="26" l="1"/>
  <c r="AK228" i="26"/>
  <c r="CC150" i="26"/>
  <c r="BX151" i="26" s="1"/>
  <c r="AE151" i="26"/>
  <c r="Z152" i="26" s="1"/>
  <c r="AC152" i="26"/>
  <c r="AM151" i="26"/>
  <c r="AO151" i="26" s="1"/>
  <c r="AJ152" i="26" s="1"/>
  <c r="AW149" i="26"/>
  <c r="CA151" i="26"/>
  <c r="CC151" i="26" s="1"/>
  <c r="BX152" i="26" s="1"/>
  <c r="AY148" i="26"/>
  <c r="AT149" i="26" s="1"/>
  <c r="BR150" i="26"/>
  <c r="BP150" i="26"/>
  <c r="BC151" i="26"/>
  <c r="BB152" i="26"/>
  <c r="BL226" i="26"/>
  <c r="BM225" i="26"/>
  <c r="AA154" i="26"/>
  <c r="W155" i="26"/>
  <c r="AC204" i="26"/>
  <c r="AB244" i="26"/>
  <c r="BK228" i="26"/>
  <c r="BO227" i="26"/>
  <c r="BE226" i="26"/>
  <c r="BA227" i="26"/>
  <c r="BH150" i="26"/>
  <c r="BF150" i="26"/>
  <c r="AL208" i="26"/>
  <c r="AQ154" i="26"/>
  <c r="AU153" i="26"/>
  <c r="AL152" i="26"/>
  <c r="AN152" i="26"/>
  <c r="CB152" i="26"/>
  <c r="BZ152" i="26"/>
  <c r="AQ227" i="26"/>
  <c r="AU226" i="26"/>
  <c r="AD153" i="26"/>
  <c r="AB153" i="26"/>
  <c r="BA156" i="26"/>
  <c r="BE155" i="26"/>
  <c r="AS225" i="26"/>
  <c r="AR226" i="26"/>
  <c r="AS151" i="26"/>
  <c r="AR152" i="26"/>
  <c r="BQ207" i="26"/>
  <c r="AH228" i="26"/>
  <c r="AI227" i="26"/>
  <c r="BG208" i="26"/>
  <c r="BK154" i="26"/>
  <c r="BO153" i="26"/>
  <c r="BG149" i="26"/>
  <c r="BI149" i="26" s="1"/>
  <c r="BD150" i="26" s="1"/>
  <c r="BM151" i="26"/>
  <c r="BL152" i="26"/>
  <c r="AI153" i="26"/>
  <c r="AH154" i="26"/>
  <c r="BY153" i="26"/>
  <c r="BU154" i="26"/>
  <c r="AX150" i="26"/>
  <c r="AV150" i="26"/>
  <c r="BU228" i="26"/>
  <c r="BY227" i="26"/>
  <c r="BQ149" i="26"/>
  <c r="BS149" i="26" s="1"/>
  <c r="BN150" i="26" s="1"/>
  <c r="AW207" i="26"/>
  <c r="BZ210" i="26"/>
  <c r="CA210" i="26" s="1"/>
  <c r="CC210" i="26" s="1"/>
  <c r="BX211" i="26" s="1"/>
  <c r="CB211" i="26" s="1"/>
  <c r="W228" i="26"/>
  <c r="AA227" i="26"/>
  <c r="BC227" i="26"/>
  <c r="BB228" i="26"/>
  <c r="AG230" i="26" l="1"/>
  <c r="AK229" i="26"/>
  <c r="AY149" i="26"/>
  <c r="AT150" i="26" s="1"/>
  <c r="AE152" i="26"/>
  <c r="Z153" i="26" s="1"/>
  <c r="AC153" i="26"/>
  <c r="CA152" i="26"/>
  <c r="CC152" i="26" s="1"/>
  <c r="BX153" i="26" s="1"/>
  <c r="BG150" i="26"/>
  <c r="BI150" i="26" s="1"/>
  <c r="BD151" i="26" s="1"/>
  <c r="BQ150" i="26"/>
  <c r="BS150" i="26" s="1"/>
  <c r="BN151" i="26" s="1"/>
  <c r="BZ211" i="26"/>
  <c r="CA211" i="26" s="1"/>
  <c r="CC211" i="26" s="1"/>
  <c r="BX212" i="26" s="1"/>
  <c r="CB212" i="26" s="1"/>
  <c r="BO228" i="26"/>
  <c r="BK229" i="26"/>
  <c r="AB154" i="26"/>
  <c r="AB172" i="26" s="1"/>
  <c r="AD154" i="26"/>
  <c r="AD172" i="26" s="1"/>
  <c r="BY154" i="26"/>
  <c r="BU155" i="26"/>
  <c r="BP151" i="26"/>
  <c r="BR151" i="26"/>
  <c r="BK155" i="26"/>
  <c r="BO154" i="26"/>
  <c r="AS152" i="26"/>
  <c r="AR153" i="26"/>
  <c r="BA157" i="26"/>
  <c r="BE156" i="26"/>
  <c r="AM152" i="26"/>
  <c r="AO152" i="26" s="1"/>
  <c r="AJ153" i="26" s="1"/>
  <c r="BC152" i="26"/>
  <c r="BB153" i="26"/>
  <c r="AH229" i="26"/>
  <c r="AI228" i="26"/>
  <c r="BY228" i="26"/>
  <c r="BU229" i="26"/>
  <c r="BS207" i="26"/>
  <c r="BN208" i="26" s="1"/>
  <c r="BR208" i="26" s="1"/>
  <c r="AM208" i="26"/>
  <c r="BE227" i="26"/>
  <c r="BA228" i="26"/>
  <c r="AC244" i="26"/>
  <c r="AE204" i="26"/>
  <c r="Z205" i="26" s="1"/>
  <c r="AD205" i="26" s="1"/>
  <c r="BL227" i="26"/>
  <c r="BM226" i="26"/>
  <c r="BH151" i="26"/>
  <c r="BF151" i="26"/>
  <c r="AN153" i="26"/>
  <c r="AL153" i="26"/>
  <c r="BM152" i="26"/>
  <c r="BL153" i="26"/>
  <c r="BI208" i="26"/>
  <c r="BD209" i="26" s="1"/>
  <c r="BH209" i="26" s="1"/>
  <c r="BZ153" i="26"/>
  <c r="CB153" i="26"/>
  <c r="AX151" i="26"/>
  <c r="AV151" i="26"/>
  <c r="BC228" i="26"/>
  <c r="BB229" i="26"/>
  <c r="AA228" i="26"/>
  <c r="W229" i="26"/>
  <c r="AY207" i="26"/>
  <c r="AT208" i="26" s="1"/>
  <c r="AX208" i="26" s="1"/>
  <c r="AW150" i="26"/>
  <c r="AH155" i="26"/>
  <c r="AI154" i="26"/>
  <c r="AS226" i="26"/>
  <c r="AR227" i="26"/>
  <c r="AU227" i="26"/>
  <c r="AQ228" i="26"/>
  <c r="AQ155" i="26"/>
  <c r="AU154" i="26"/>
  <c r="AA155" i="26"/>
  <c r="W156" i="26"/>
  <c r="AE153" i="26" l="1"/>
  <c r="Z154" i="26" s="1"/>
  <c r="AK230" i="26"/>
  <c r="AG231" i="26"/>
  <c r="AY150" i="26"/>
  <c r="AT151" i="26" s="1"/>
  <c r="CA153" i="26"/>
  <c r="CC153" i="26" s="1"/>
  <c r="BX154" i="26" s="1"/>
  <c r="BG151" i="26"/>
  <c r="BI151" i="26" s="1"/>
  <c r="BD152" i="26" s="1"/>
  <c r="AM153" i="26"/>
  <c r="AO153" i="26" s="1"/>
  <c r="AJ154" i="26" s="1"/>
  <c r="BZ212" i="26"/>
  <c r="CA212" i="26" s="1"/>
  <c r="CC212" i="26" s="1"/>
  <c r="BX213" i="26" s="1"/>
  <c r="CB213" i="26" s="1"/>
  <c r="AQ229" i="26"/>
  <c r="AU228" i="26"/>
  <c r="BF209" i="26"/>
  <c r="AB155" i="26"/>
  <c r="AD155" i="26"/>
  <c r="BM227" i="26"/>
  <c r="BL228" i="26"/>
  <c r="BP208" i="26"/>
  <c r="BY229" i="26"/>
  <c r="BU230" i="26"/>
  <c r="AS153" i="26"/>
  <c r="AR154" i="26"/>
  <c r="AL154" i="26"/>
  <c r="AN154" i="26"/>
  <c r="AN172" i="26" s="1"/>
  <c r="BC229" i="26"/>
  <c r="BB230" i="26"/>
  <c r="BE228" i="26"/>
  <c r="BA229" i="26"/>
  <c r="BE157" i="26"/>
  <c r="BA158" i="26"/>
  <c r="BO155" i="26"/>
  <c r="BK156" i="26"/>
  <c r="W230" i="26"/>
  <c r="AA229" i="26"/>
  <c r="AW151" i="26"/>
  <c r="BM153" i="26"/>
  <c r="BL154" i="26"/>
  <c r="AB205" i="26"/>
  <c r="AH230" i="26"/>
  <c r="AI229" i="26"/>
  <c r="BC153" i="26"/>
  <c r="BB154" i="26"/>
  <c r="AV152" i="26"/>
  <c r="AX152" i="26"/>
  <c r="BQ151" i="26"/>
  <c r="BS151" i="26" s="1"/>
  <c r="BN152" i="26" s="1"/>
  <c r="BK230" i="26"/>
  <c r="BO229" i="26"/>
  <c r="CB154" i="26"/>
  <c r="CB172" i="26" s="1"/>
  <c r="BZ154" i="26"/>
  <c r="BZ172" i="26" s="1"/>
  <c r="AH156" i="26"/>
  <c r="AI155" i="26"/>
  <c r="AA156" i="26"/>
  <c r="W157" i="26"/>
  <c r="AU155" i="26"/>
  <c r="AQ156" i="26"/>
  <c r="AR228" i="26"/>
  <c r="AS227" i="26"/>
  <c r="AV208" i="26"/>
  <c r="BR152" i="26"/>
  <c r="BP152" i="26"/>
  <c r="AO208" i="26"/>
  <c r="AJ209" i="26" s="1"/>
  <c r="AN209" i="26" s="1"/>
  <c r="BF152" i="26"/>
  <c r="BH152" i="26"/>
  <c r="BY155" i="26"/>
  <c r="BU156" i="26"/>
  <c r="AC154" i="26"/>
  <c r="AC172" i="26" s="1"/>
  <c r="AY151" i="26" l="1"/>
  <c r="AT152" i="26" s="1"/>
  <c r="AK231" i="26"/>
  <c r="AG232" i="26"/>
  <c r="BQ152" i="26"/>
  <c r="BS152" i="26" s="1"/>
  <c r="BN153" i="26" s="1"/>
  <c r="AC155" i="26"/>
  <c r="BZ213" i="26"/>
  <c r="CA213" i="26" s="1"/>
  <c r="CC213" i="26" s="1"/>
  <c r="BX214" i="26" s="1"/>
  <c r="CB214" i="26" s="1"/>
  <c r="BY156" i="26"/>
  <c r="BU157" i="26"/>
  <c r="AW208" i="26"/>
  <c r="AR229" i="26"/>
  <c r="AS228" i="26"/>
  <c r="AD156" i="26"/>
  <c r="AB156" i="26"/>
  <c r="AW152" i="26"/>
  <c r="AY152" i="26" s="1"/>
  <c r="AT153" i="26" s="1"/>
  <c r="AC205" i="26"/>
  <c r="AE154" i="26"/>
  <c r="Z155" i="26" s="1"/>
  <c r="BE229" i="26"/>
  <c r="BA230" i="26"/>
  <c r="AV153" i="26"/>
  <c r="AX153" i="26"/>
  <c r="BU231" i="26"/>
  <c r="BY230" i="26"/>
  <c r="AU229" i="26"/>
  <c r="AQ230" i="26"/>
  <c r="CB155" i="26"/>
  <c r="BZ155" i="26"/>
  <c r="BG152" i="26"/>
  <c r="BI152" i="26" s="1"/>
  <c r="BD153" i="26" s="1"/>
  <c r="AQ157" i="26"/>
  <c r="AU156" i="26"/>
  <c r="AN155" i="26"/>
  <c r="AL155" i="26"/>
  <c r="CA154" i="26"/>
  <c r="BO230" i="26"/>
  <c r="BK231" i="26"/>
  <c r="AI230" i="26"/>
  <c r="AH231" i="26"/>
  <c r="BA159" i="26"/>
  <c r="BE158" i="26"/>
  <c r="AM154" i="26"/>
  <c r="AM172" i="26" s="1"/>
  <c r="AL172" i="26"/>
  <c r="BG209" i="26"/>
  <c r="AL209" i="26"/>
  <c r="AI156" i="26"/>
  <c r="AH157" i="26"/>
  <c r="BC154" i="26"/>
  <c r="BB155" i="26"/>
  <c r="BM154" i="26"/>
  <c r="BL155" i="26"/>
  <c r="BB231" i="26"/>
  <c r="BC230" i="26"/>
  <c r="BQ208" i="26"/>
  <c r="BM228" i="26"/>
  <c r="BL229" i="26"/>
  <c r="AA157" i="26"/>
  <c r="W158" i="26"/>
  <c r="BH153" i="26"/>
  <c r="BF153" i="26"/>
  <c r="BP153" i="26"/>
  <c r="BR153" i="26"/>
  <c r="W231" i="26"/>
  <c r="AA230" i="26"/>
  <c r="BK157" i="26"/>
  <c r="BO156" i="26"/>
  <c r="AS154" i="26"/>
  <c r="AR155" i="26"/>
  <c r="AK232" i="26" l="1"/>
  <c r="AG233" i="26"/>
  <c r="AE155" i="26"/>
  <c r="Z156" i="26" s="1"/>
  <c r="BQ153" i="26"/>
  <c r="CA155" i="26"/>
  <c r="AC156" i="26"/>
  <c r="BG153" i="26"/>
  <c r="BI153" i="26" s="1"/>
  <c r="BD154" i="26" s="1"/>
  <c r="AO154" i="26"/>
  <c r="AJ155" i="26" s="1"/>
  <c r="AW153" i="26"/>
  <c r="AY153" i="26" s="1"/>
  <c r="AT154" i="26" s="1"/>
  <c r="BZ214" i="26"/>
  <c r="CA214" i="26" s="1"/>
  <c r="CC214" i="26" s="1"/>
  <c r="BX215" i="26" s="1"/>
  <c r="CB215" i="26" s="1"/>
  <c r="AD157" i="26"/>
  <c r="AB157" i="26"/>
  <c r="BA160" i="26"/>
  <c r="BE159" i="26"/>
  <c r="AQ231" i="26"/>
  <c r="AU230" i="26"/>
  <c r="W232" i="26"/>
  <c r="AA231" i="26"/>
  <c r="BS208" i="26"/>
  <c r="BN209" i="26" s="1"/>
  <c r="BR209" i="26" s="1"/>
  <c r="BC155" i="26"/>
  <c r="BB156" i="26"/>
  <c r="AI157" i="26"/>
  <c r="AH158" i="26"/>
  <c r="BI209" i="26"/>
  <c r="BD210" i="26" s="1"/>
  <c r="BH210" i="26" s="1"/>
  <c r="BK232" i="26"/>
  <c r="BO231" i="26"/>
  <c r="BE230" i="26"/>
  <c r="BA231" i="26"/>
  <c r="AY208" i="26"/>
  <c r="AT209" i="26" s="1"/>
  <c r="AX209" i="26" s="1"/>
  <c r="BB232" i="26"/>
  <c r="BC231" i="26"/>
  <c r="BP154" i="26"/>
  <c r="BR154" i="26"/>
  <c r="BR172" i="26" s="1"/>
  <c r="AM155" i="26"/>
  <c r="AS155" i="26"/>
  <c r="AR156" i="26"/>
  <c r="BK158" i="26"/>
  <c r="BO157" i="26"/>
  <c r="BM229" i="26"/>
  <c r="BL230" i="26"/>
  <c r="BF154" i="26"/>
  <c r="BH154" i="26"/>
  <c r="BH172" i="26" s="1"/>
  <c r="AL156" i="26"/>
  <c r="AN156" i="26"/>
  <c r="AM209" i="26"/>
  <c r="AI231" i="26"/>
  <c r="AH232" i="26"/>
  <c r="BU232" i="26"/>
  <c r="BY231" i="26"/>
  <c r="BY157" i="26"/>
  <c r="BU158" i="26"/>
  <c r="AX154" i="26"/>
  <c r="AX172" i="26" s="1"/>
  <c r="AV154" i="26"/>
  <c r="AA158" i="26"/>
  <c r="W159" i="26"/>
  <c r="BM155" i="26"/>
  <c r="BL156" i="26"/>
  <c r="BS153" i="26"/>
  <c r="BN154" i="26" s="1"/>
  <c r="CA172" i="26"/>
  <c r="CC154" i="26"/>
  <c r="BX155" i="26" s="1"/>
  <c r="AQ158" i="26"/>
  <c r="AU157" i="26"/>
  <c r="AE205" i="26"/>
  <c r="Z206" i="26" s="1"/>
  <c r="AD206" i="26" s="1"/>
  <c r="AR230" i="26"/>
  <c r="AS229" i="26"/>
  <c r="BZ156" i="26"/>
  <c r="CB156" i="26"/>
  <c r="AE156" i="26" l="1"/>
  <c r="Z157" i="26" s="1"/>
  <c r="AK233" i="26"/>
  <c r="AG234" i="26"/>
  <c r="CC155" i="26"/>
  <c r="BX156" i="26" s="1"/>
  <c r="AC157" i="26"/>
  <c r="AE157" i="26" s="1"/>
  <c r="Z158" i="26" s="1"/>
  <c r="CA156" i="26"/>
  <c r="AM156" i="26"/>
  <c r="BZ215" i="26"/>
  <c r="CA215" i="26" s="1"/>
  <c r="CC215" i="26" s="1"/>
  <c r="BX216" i="26" s="1"/>
  <c r="CB216" i="26" s="1"/>
  <c r="CB245" i="26" s="1"/>
  <c r="T81" i="26" s="1"/>
  <c r="U85" i="26" s="1"/>
  <c r="AQ159" i="26"/>
  <c r="AU158" i="26"/>
  <c r="AV172" i="26"/>
  <c r="AW154" i="26"/>
  <c r="AH233" i="26"/>
  <c r="AI232" i="26"/>
  <c r="BL231" i="26"/>
  <c r="BM230" i="26"/>
  <c r="AS156" i="26"/>
  <c r="AR157" i="26"/>
  <c r="BE231" i="26"/>
  <c r="BA232" i="26"/>
  <c r="AH159" i="26"/>
  <c r="AI158" i="26"/>
  <c r="BP209" i="26"/>
  <c r="AV155" i="26"/>
  <c r="AX155" i="26"/>
  <c r="BP172" i="26"/>
  <c r="BQ154" i="26"/>
  <c r="BQ172" i="26" s="1"/>
  <c r="BO232" i="26"/>
  <c r="BK233" i="26"/>
  <c r="AL157" i="26"/>
  <c r="AN157" i="26"/>
  <c r="W233" i="26"/>
  <c r="AA232" i="26"/>
  <c r="BA161" i="26"/>
  <c r="BE160" i="26"/>
  <c r="AS230" i="26"/>
  <c r="AR231" i="26"/>
  <c r="BM156" i="26"/>
  <c r="BL157" i="26"/>
  <c r="AA159" i="26"/>
  <c r="W160" i="26"/>
  <c r="BY158" i="26"/>
  <c r="BU159" i="26"/>
  <c r="AV209" i="26"/>
  <c r="BF210" i="26"/>
  <c r="BG210" i="26" s="1"/>
  <c r="BI210" i="26" s="1"/>
  <c r="BD211" i="26" s="1"/>
  <c r="BH211" i="26" s="1"/>
  <c r="BC156" i="26"/>
  <c r="BB157" i="26"/>
  <c r="AU231" i="26"/>
  <c r="AQ232" i="26"/>
  <c r="AO155" i="26"/>
  <c r="AJ156" i="26" s="1"/>
  <c r="AB206" i="26"/>
  <c r="BR155" i="26"/>
  <c r="BP155" i="26"/>
  <c r="AD158" i="26"/>
  <c r="AB158" i="26"/>
  <c r="CB157" i="26"/>
  <c r="BZ157" i="26"/>
  <c r="BY232" i="26"/>
  <c r="BU233" i="26"/>
  <c r="AO209" i="26"/>
  <c r="AJ210" i="26" s="1"/>
  <c r="AN210" i="26" s="1"/>
  <c r="BG154" i="26"/>
  <c r="BG172" i="26" s="1"/>
  <c r="BF172" i="26"/>
  <c r="BK159" i="26"/>
  <c r="BO158" i="26"/>
  <c r="BC232" i="26"/>
  <c r="BB233" i="26"/>
  <c r="BH155" i="26"/>
  <c r="BF155" i="26"/>
  <c r="AK234" i="26" l="1"/>
  <c r="AG235" i="26"/>
  <c r="CC156" i="26"/>
  <c r="BX157" i="26" s="1"/>
  <c r="U89" i="26"/>
  <c r="U93" i="26"/>
  <c r="AO156" i="26"/>
  <c r="AJ157" i="26" s="1"/>
  <c r="AC158" i="26"/>
  <c r="AE158" i="26" s="1"/>
  <c r="Z159" i="26" s="1"/>
  <c r="AM157" i="26"/>
  <c r="BF211" i="26"/>
  <c r="BG211" i="26" s="1"/>
  <c r="BI211" i="26" s="1"/>
  <c r="BD212" i="26" s="1"/>
  <c r="BH212" i="26" s="1"/>
  <c r="BZ216" i="26"/>
  <c r="BG155" i="26"/>
  <c r="BY233" i="26"/>
  <c r="BU234" i="26"/>
  <c r="BQ155" i="26"/>
  <c r="BF156" i="26"/>
  <c r="BH156" i="26"/>
  <c r="AB159" i="26"/>
  <c r="AD159" i="26"/>
  <c r="AS231" i="26"/>
  <c r="AR232" i="26"/>
  <c r="AW155" i="26"/>
  <c r="BQ209" i="26"/>
  <c r="BL232" i="26"/>
  <c r="BM231" i="26"/>
  <c r="AU159" i="26"/>
  <c r="AQ160" i="26"/>
  <c r="AL210" i="26"/>
  <c r="AM210" i="26" s="1"/>
  <c r="AO210" i="26" s="1"/>
  <c r="AJ211" i="26" s="1"/>
  <c r="AN211" i="26" s="1"/>
  <c r="AQ233" i="26"/>
  <c r="AU232" i="26"/>
  <c r="BY159" i="26"/>
  <c r="BU160" i="26"/>
  <c r="BM157" i="26"/>
  <c r="BL158" i="26"/>
  <c r="BE161" i="26"/>
  <c r="BA162" i="26"/>
  <c r="BK234" i="26"/>
  <c r="BO233" i="26"/>
  <c r="AS157" i="26"/>
  <c r="AR158" i="26"/>
  <c r="AW172" i="26"/>
  <c r="AY154" i="26"/>
  <c r="AT155" i="26" s="1"/>
  <c r="BC233" i="26"/>
  <c r="BB234" i="26"/>
  <c r="BO159" i="26"/>
  <c r="BK160" i="26"/>
  <c r="CA157" i="26"/>
  <c r="AC206" i="26"/>
  <c r="CB158" i="26"/>
  <c r="BZ158" i="26"/>
  <c r="BR156" i="26"/>
  <c r="BP156" i="26"/>
  <c r="W234" i="26"/>
  <c r="AA233" i="26"/>
  <c r="AN158" i="26"/>
  <c r="AL158" i="26"/>
  <c r="AX156" i="26"/>
  <c r="AV156" i="26"/>
  <c r="AH234" i="26"/>
  <c r="AI233" i="26"/>
  <c r="BS154" i="26"/>
  <c r="BN155" i="26" s="1"/>
  <c r="BI154" i="26"/>
  <c r="BD155" i="26" s="1"/>
  <c r="BC157" i="26"/>
  <c r="BB158" i="26"/>
  <c r="AW209" i="26"/>
  <c r="AA160" i="26"/>
  <c r="W161" i="26"/>
  <c r="AH160" i="26"/>
  <c r="AI159" i="26"/>
  <c r="BE232" i="26"/>
  <c r="BA233" i="26"/>
  <c r="AK235" i="26" l="1"/>
  <c r="AG236" i="26"/>
  <c r="CC157" i="26"/>
  <c r="BX158" i="26" s="1"/>
  <c r="AO157" i="26"/>
  <c r="AJ158" i="26" s="1"/>
  <c r="CA158" i="26"/>
  <c r="AC159" i="26"/>
  <c r="AE159" i="26" s="1"/>
  <c r="Z160" i="26" s="1"/>
  <c r="BQ156" i="26"/>
  <c r="BI155" i="26"/>
  <c r="BD156" i="26" s="1"/>
  <c r="BS155" i="26"/>
  <c r="BN156" i="26" s="1"/>
  <c r="AY155" i="26"/>
  <c r="AT156" i="26" s="1"/>
  <c r="BG156" i="26"/>
  <c r="AL211" i="26"/>
  <c r="AM211" i="26" s="1"/>
  <c r="AO211" i="26" s="1"/>
  <c r="AJ212" i="26" s="1"/>
  <c r="AN212" i="26" s="1"/>
  <c r="BF212" i="26"/>
  <c r="BG212" i="26" s="1"/>
  <c r="BI212" i="26" s="1"/>
  <c r="BD213" i="26" s="1"/>
  <c r="BH213" i="26" s="1"/>
  <c r="AH161" i="26"/>
  <c r="AI160" i="26"/>
  <c r="AD160" i="26"/>
  <c r="AB160" i="26"/>
  <c r="AE206" i="26"/>
  <c r="Z207" i="26" s="1"/>
  <c r="AD207" i="26" s="1"/>
  <c r="AX157" i="26"/>
  <c r="AV157" i="26"/>
  <c r="BR157" i="26"/>
  <c r="BP157" i="26"/>
  <c r="AU233" i="26"/>
  <c r="AQ234" i="26"/>
  <c r="BH157" i="26"/>
  <c r="BF157" i="26"/>
  <c r="AI234" i="26"/>
  <c r="AH235" i="26"/>
  <c r="BE233" i="26"/>
  <c r="BA234" i="26"/>
  <c r="AW156" i="26"/>
  <c r="BB235" i="26"/>
  <c r="BC234" i="26"/>
  <c r="BA163" i="26"/>
  <c r="BE162" i="26"/>
  <c r="BY160" i="26"/>
  <c r="BU161" i="26"/>
  <c r="AR233" i="26"/>
  <c r="AS232" i="26"/>
  <c r="BU235" i="26"/>
  <c r="BY234" i="26"/>
  <c r="CA216" i="26"/>
  <c r="BZ245" i="26"/>
  <c r="U81" i="26" s="1"/>
  <c r="T85" i="26" s="1"/>
  <c r="W235" i="26"/>
  <c r="AA234" i="26"/>
  <c r="BO234" i="26"/>
  <c r="BK235" i="26"/>
  <c r="CB159" i="26"/>
  <c r="BZ159" i="26"/>
  <c r="AQ161" i="26"/>
  <c r="AU160" i="26"/>
  <c r="AY209" i="26"/>
  <c r="AT210" i="26" s="1"/>
  <c r="AX210" i="26" s="1"/>
  <c r="AN159" i="26"/>
  <c r="AL159" i="26"/>
  <c r="AA161" i="26"/>
  <c r="W162" i="26"/>
  <c r="BC158" i="26"/>
  <c r="BB159" i="26"/>
  <c r="AM158" i="26"/>
  <c r="BK161" i="26"/>
  <c r="BO160" i="26"/>
  <c r="AS158" i="26"/>
  <c r="AR159" i="26"/>
  <c r="BM158" i="26"/>
  <c r="BL159" i="26"/>
  <c r="BM232" i="26"/>
  <c r="BL233" i="26"/>
  <c r="BS209" i="26"/>
  <c r="BN210" i="26" s="1"/>
  <c r="BR210" i="26" s="1"/>
  <c r="AG237" i="26" l="1"/>
  <c r="AK236" i="26"/>
  <c r="CC158" i="26"/>
  <c r="BX159" i="26" s="1"/>
  <c r="T93" i="26"/>
  <c r="T89" i="26"/>
  <c r="AY156" i="26"/>
  <c r="AT157" i="26" s="1"/>
  <c r="AC160" i="26"/>
  <c r="AE160" i="26" s="1"/>
  <c r="Z161" i="26" s="1"/>
  <c r="BS156" i="26"/>
  <c r="BN157" i="26" s="1"/>
  <c r="AM159" i="26"/>
  <c r="CA159" i="26"/>
  <c r="BI156" i="26"/>
  <c r="BD157" i="26" s="1"/>
  <c r="AW157" i="26"/>
  <c r="BG157" i="26"/>
  <c r="BQ157" i="26"/>
  <c r="BF213" i="26"/>
  <c r="BG213" i="26" s="1"/>
  <c r="BI213" i="26" s="1"/>
  <c r="BD214" i="26" s="1"/>
  <c r="BH214" i="26" s="1"/>
  <c r="BE234" i="26"/>
  <c r="BA235" i="26"/>
  <c r="AL212" i="26"/>
  <c r="AM212" i="26" s="1"/>
  <c r="AO212" i="26" s="1"/>
  <c r="AJ213" i="26" s="1"/>
  <c r="AN213" i="26" s="1"/>
  <c r="BM159" i="26"/>
  <c r="BL160" i="26"/>
  <c r="AO158" i="26"/>
  <c r="AJ159" i="26" s="1"/>
  <c r="BF158" i="26"/>
  <c r="BH158" i="26"/>
  <c r="AQ162" i="26"/>
  <c r="AU161" i="26"/>
  <c r="W236" i="26"/>
  <c r="AA235" i="26"/>
  <c r="CA245" i="26"/>
  <c r="CC216" i="26"/>
  <c r="BX217" i="26" s="1"/>
  <c r="CB217" i="26" s="1"/>
  <c r="BZ160" i="26"/>
  <c r="CB160" i="26"/>
  <c r="AB207" i="26"/>
  <c r="BP210" i="26"/>
  <c r="BQ210" i="26" s="1"/>
  <c r="BS210" i="26" s="1"/>
  <c r="BN211" i="26" s="1"/>
  <c r="BR211" i="26" s="1"/>
  <c r="BK236" i="26"/>
  <c r="BO235" i="26"/>
  <c r="BY161" i="26"/>
  <c r="BU162" i="26"/>
  <c r="AQ235" i="26"/>
  <c r="AU234" i="26"/>
  <c r="BP158" i="26"/>
  <c r="BR158" i="26"/>
  <c r="AV210" i="26"/>
  <c r="AW210" i="26" s="1"/>
  <c r="AY210" i="26" s="1"/>
  <c r="AT211" i="26" s="1"/>
  <c r="AX211" i="26" s="1"/>
  <c r="AR234" i="26"/>
  <c r="AS233" i="26"/>
  <c r="AL160" i="26"/>
  <c r="AN160" i="26"/>
  <c r="AX158" i="26"/>
  <c r="AV158" i="26"/>
  <c r="BC159" i="26"/>
  <c r="BB160" i="26"/>
  <c r="BU236" i="26"/>
  <c r="BY235" i="26"/>
  <c r="AI235" i="26"/>
  <c r="AH236" i="26"/>
  <c r="BM233" i="26"/>
  <c r="BL234" i="26"/>
  <c r="AA162" i="26"/>
  <c r="W163" i="26"/>
  <c r="AS159" i="26"/>
  <c r="AR160" i="26"/>
  <c r="BK162" i="26"/>
  <c r="BO161" i="26"/>
  <c r="AD161" i="26"/>
  <c r="AB161" i="26"/>
  <c r="BA164" i="26"/>
  <c r="BE163" i="26"/>
  <c r="BB236" i="26"/>
  <c r="BC235" i="26"/>
  <c r="AI161" i="26"/>
  <c r="AH162" i="26"/>
  <c r="AK237" i="26" l="1"/>
  <c r="AG238" i="26"/>
  <c r="CC159" i="26"/>
  <c r="BX160" i="26" s="1"/>
  <c r="BI157" i="26"/>
  <c r="BD158" i="26" s="1"/>
  <c r="AY157" i="26"/>
  <c r="AT158" i="26" s="1"/>
  <c r="AM160" i="26"/>
  <c r="CA160" i="26"/>
  <c r="AO159" i="26"/>
  <c r="AJ160" i="26" s="1"/>
  <c r="BS157" i="26"/>
  <c r="BN158" i="26" s="1"/>
  <c r="AC161" i="26"/>
  <c r="AE161" i="26" s="1"/>
  <c r="Z162" i="26" s="1"/>
  <c r="AL213" i="26"/>
  <c r="AM213" i="26" s="1"/>
  <c r="AO213" i="26" s="1"/>
  <c r="AJ214" i="26" s="1"/>
  <c r="AN214" i="26" s="1"/>
  <c r="AV211" i="26"/>
  <c r="AW211" i="26" s="1"/>
  <c r="AY211" i="26" s="1"/>
  <c r="AT212" i="26" s="1"/>
  <c r="AX212" i="26" s="1"/>
  <c r="BF214" i="26"/>
  <c r="BG214" i="26" s="1"/>
  <c r="BI214" i="26" s="1"/>
  <c r="BD215" i="26" s="1"/>
  <c r="BH215" i="26" s="1"/>
  <c r="BQ158" i="26"/>
  <c r="AC207" i="26"/>
  <c r="AI162" i="26"/>
  <c r="AH163" i="26"/>
  <c r="BA165" i="26"/>
  <c r="BE164" i="26"/>
  <c r="BK163" i="26"/>
  <c r="BO162" i="26"/>
  <c r="AH237" i="26"/>
  <c r="AI236" i="26"/>
  <c r="BY236" i="26"/>
  <c r="BU237" i="26"/>
  <c r="BH159" i="26"/>
  <c r="BF159" i="26"/>
  <c r="BC160" i="26"/>
  <c r="BB161" i="26"/>
  <c r="CB161" i="26"/>
  <c r="BZ161" i="26"/>
  <c r="AL161" i="26"/>
  <c r="AN161" i="26"/>
  <c r="AS160" i="26"/>
  <c r="AR161" i="26"/>
  <c r="AA163" i="26"/>
  <c r="W164" i="26"/>
  <c r="AU235" i="26"/>
  <c r="AQ236" i="26"/>
  <c r="BO236" i="26"/>
  <c r="BK237" i="26"/>
  <c r="BG158" i="26"/>
  <c r="BM160" i="26"/>
  <c r="BL161" i="26"/>
  <c r="BE235" i="26"/>
  <c r="BA236" i="26"/>
  <c r="BC236" i="26"/>
  <c r="BB237" i="26"/>
  <c r="AX159" i="26"/>
  <c r="AV159" i="26"/>
  <c r="AD162" i="26"/>
  <c r="AB162" i="26"/>
  <c r="BL235" i="26"/>
  <c r="BM234" i="26"/>
  <c r="AW158" i="26"/>
  <c r="AS234" i="26"/>
  <c r="AR235" i="26"/>
  <c r="BY162" i="26"/>
  <c r="BU163" i="26"/>
  <c r="BP211" i="26"/>
  <c r="BQ211" i="26" s="1"/>
  <c r="BS211" i="26" s="1"/>
  <c r="BN212" i="26" s="1"/>
  <c r="BR212" i="26" s="1"/>
  <c r="BZ217" i="26"/>
  <c r="W237" i="26"/>
  <c r="AA236" i="26"/>
  <c r="AQ163" i="26"/>
  <c r="AU162" i="26"/>
  <c r="BP159" i="26"/>
  <c r="BR159" i="26"/>
  <c r="AG239" i="26" l="1"/>
  <c r="AK238" i="26"/>
  <c r="AO160" i="26"/>
  <c r="AJ161" i="26" s="1"/>
  <c r="CC160" i="26"/>
  <c r="BX161" i="26" s="1"/>
  <c r="AC162" i="26"/>
  <c r="AE162" i="26" s="1"/>
  <c r="Z163" i="26" s="1"/>
  <c r="CA161" i="26"/>
  <c r="BP212" i="26"/>
  <c r="BQ212" i="26" s="1"/>
  <c r="BS212" i="26" s="1"/>
  <c r="BN213" i="26" s="1"/>
  <c r="BR213" i="26" s="1"/>
  <c r="AV212" i="26"/>
  <c r="AW212" i="26" s="1"/>
  <c r="AY212" i="26" s="1"/>
  <c r="AT213" i="26" s="1"/>
  <c r="AX213" i="26" s="1"/>
  <c r="AL214" i="26"/>
  <c r="AM214" i="26" s="1"/>
  <c r="AO214" i="26" s="1"/>
  <c r="AJ215" i="26" s="1"/>
  <c r="AN215" i="26" s="1"/>
  <c r="AS235" i="26"/>
  <c r="AR236" i="26"/>
  <c r="BL236" i="26"/>
  <c r="BM235" i="26"/>
  <c r="BG159" i="26"/>
  <c r="W238" i="26"/>
  <c r="AA237" i="26"/>
  <c r="BR160" i="26"/>
  <c r="BP160" i="26"/>
  <c r="BK238" i="26"/>
  <c r="BO237" i="26"/>
  <c r="AS161" i="26"/>
  <c r="AR162" i="26"/>
  <c r="BC161" i="26"/>
  <c r="BB162" i="26"/>
  <c r="AW159" i="26"/>
  <c r="AM161" i="26"/>
  <c r="AN162" i="26"/>
  <c r="AL162" i="26"/>
  <c r="AU163" i="26"/>
  <c r="AQ164" i="26"/>
  <c r="BE236" i="26"/>
  <c r="BA237" i="26"/>
  <c r="AV160" i="26"/>
  <c r="AX160" i="26"/>
  <c r="BF160" i="26"/>
  <c r="BH160" i="26"/>
  <c r="AH238" i="26"/>
  <c r="AI237" i="26"/>
  <c r="BE165" i="26"/>
  <c r="BA166" i="26"/>
  <c r="BE166" i="26" s="1"/>
  <c r="AE207" i="26"/>
  <c r="Z208" i="26" s="1"/>
  <c r="AD208" i="26" s="1"/>
  <c r="BF215" i="26"/>
  <c r="BG215" i="26" s="1"/>
  <c r="BI215" i="26" s="1"/>
  <c r="BD216" i="26" s="1"/>
  <c r="BH216" i="26" s="1"/>
  <c r="BH245" i="26" s="1"/>
  <c r="N81" i="26" s="1"/>
  <c r="O85" i="26" s="1"/>
  <c r="BM161" i="26"/>
  <c r="BL162" i="26"/>
  <c r="AB163" i="26"/>
  <c r="AD163" i="26"/>
  <c r="BO163" i="26"/>
  <c r="BK164" i="26"/>
  <c r="BS158" i="26"/>
  <c r="BN159" i="26" s="1"/>
  <c r="CA217" i="26"/>
  <c r="BY163" i="26"/>
  <c r="BU164" i="26"/>
  <c r="BC237" i="26"/>
  <c r="BB238" i="26"/>
  <c r="BI158" i="26"/>
  <c r="BD159" i="26" s="1"/>
  <c r="BQ159" i="26"/>
  <c r="CB162" i="26"/>
  <c r="BZ162" i="26"/>
  <c r="AQ237" i="26"/>
  <c r="AU236" i="26"/>
  <c r="AA164" i="26"/>
  <c r="W165" i="26"/>
  <c r="AY158" i="26"/>
  <c r="AT159" i="26" s="1"/>
  <c r="BU238" i="26"/>
  <c r="BY237" i="26"/>
  <c r="AH164" i="26"/>
  <c r="AI163" i="26"/>
  <c r="CC161" i="26" l="1"/>
  <c r="BX162" i="26" s="1"/>
  <c r="AK239" i="26"/>
  <c r="AG240" i="26"/>
  <c r="AK240" i="26" s="1"/>
  <c r="AO161" i="26"/>
  <c r="AJ162" i="26" s="1"/>
  <c r="BI159" i="26"/>
  <c r="BD160" i="26" s="1"/>
  <c r="O89" i="26"/>
  <c r="O93" i="26"/>
  <c r="CA162" i="26"/>
  <c r="CC162" i="26" s="1"/>
  <c r="BX163" i="26" s="1"/>
  <c r="BG160" i="26"/>
  <c r="BI160" i="26" s="1"/>
  <c r="BD161" i="26" s="1"/>
  <c r="AC163" i="26"/>
  <c r="AE163" i="26" s="1"/>
  <c r="Z164" i="26" s="1"/>
  <c r="AW160" i="26"/>
  <c r="BF216" i="26"/>
  <c r="BP213" i="26"/>
  <c r="BQ213" i="26" s="1"/>
  <c r="BS213" i="26" s="1"/>
  <c r="BN214" i="26" s="1"/>
  <c r="BR214" i="26" s="1"/>
  <c r="AD164" i="26"/>
  <c r="AB164" i="26"/>
  <c r="BC162" i="26"/>
  <c r="BB163" i="26"/>
  <c r="AV161" i="26"/>
  <c r="AX161" i="26"/>
  <c r="BM236" i="26"/>
  <c r="BL237" i="26"/>
  <c r="AV213" i="26"/>
  <c r="AW213" i="26" s="1"/>
  <c r="AY213" i="26" s="1"/>
  <c r="AT214" i="26" s="1"/>
  <c r="AX214" i="26" s="1"/>
  <c r="BU239" i="26"/>
  <c r="BY238" i="26"/>
  <c r="BY164" i="26"/>
  <c r="BU165" i="26"/>
  <c r="BS159" i="26"/>
  <c r="BN160" i="26" s="1"/>
  <c r="AQ165" i="26"/>
  <c r="AU164" i="26"/>
  <c r="BH161" i="26"/>
  <c r="BF161" i="26"/>
  <c r="AR237" i="26"/>
  <c r="AS236" i="26"/>
  <c r="BB239" i="26"/>
  <c r="BC238" i="26"/>
  <c r="BO238" i="26"/>
  <c r="BK239" i="26"/>
  <c r="AL215" i="26"/>
  <c r="AM215" i="26" s="1"/>
  <c r="AO215" i="26" s="1"/>
  <c r="AJ216" i="26" s="1"/>
  <c r="AN216" i="26" s="1"/>
  <c r="AN245" i="26" s="1"/>
  <c r="H81" i="26" s="1"/>
  <c r="I85" i="26" s="1"/>
  <c r="AN163" i="26"/>
  <c r="AL163" i="26"/>
  <c r="AY159" i="26"/>
  <c r="AT160" i="26" s="1"/>
  <c r="AU237" i="26"/>
  <c r="AQ238" i="26"/>
  <c r="CB163" i="26"/>
  <c r="BZ163" i="26"/>
  <c r="BM162" i="26"/>
  <c r="BL163" i="26"/>
  <c r="AB208" i="26"/>
  <c r="AH165" i="26"/>
  <c r="AI164" i="26"/>
  <c r="AA165" i="26"/>
  <c r="W166" i="26"/>
  <c r="AA166" i="26" s="1"/>
  <c r="CC217" i="26"/>
  <c r="BX218" i="26" s="1"/>
  <c r="CB218" i="26" s="1"/>
  <c r="BK165" i="26"/>
  <c r="BO164" i="26"/>
  <c r="BR161" i="26"/>
  <c r="BP161" i="26"/>
  <c r="AI238" i="26"/>
  <c r="AH239" i="26"/>
  <c r="BE237" i="26"/>
  <c r="BA238" i="26"/>
  <c r="AM162" i="26"/>
  <c r="AS162" i="26"/>
  <c r="AR163" i="26"/>
  <c r="BQ160" i="26"/>
  <c r="W239" i="26"/>
  <c r="AA238" i="26"/>
  <c r="AO162" i="26" l="1"/>
  <c r="AJ163" i="26" s="1"/>
  <c r="AC164" i="26"/>
  <c r="AE164" i="26" s="1"/>
  <c r="Z165" i="26" s="1"/>
  <c r="I93" i="26"/>
  <c r="I89" i="26"/>
  <c r="AM163" i="26"/>
  <c r="CA163" i="26"/>
  <c r="CC163" i="26" s="1"/>
  <c r="BX164" i="26" s="1"/>
  <c r="AW161" i="26"/>
  <c r="AY160" i="26"/>
  <c r="AT161" i="26" s="1"/>
  <c r="BP214" i="26"/>
  <c r="BQ214" i="26" s="1"/>
  <c r="BS214" i="26" s="1"/>
  <c r="BN215" i="26" s="1"/>
  <c r="BR215" i="26" s="1"/>
  <c r="AV214" i="26"/>
  <c r="AW214" i="26" s="1"/>
  <c r="AY214" i="26" s="1"/>
  <c r="AT215" i="26" s="1"/>
  <c r="AX215" i="26" s="1"/>
  <c r="AL216" i="26"/>
  <c r="AI239" i="26"/>
  <c r="AH240" i="26"/>
  <c r="AI240" i="26" s="1"/>
  <c r="AC208" i="26"/>
  <c r="BZ164" i="26"/>
  <c r="CB164" i="26"/>
  <c r="BM237" i="26"/>
  <c r="BL238" i="26"/>
  <c r="BC163" i="26"/>
  <c r="BB164" i="26"/>
  <c r="BG216" i="26"/>
  <c r="BF245" i="26"/>
  <c r="BK166" i="26"/>
  <c r="BO166" i="26" s="1"/>
  <c r="BO165" i="26"/>
  <c r="AD165" i="26"/>
  <c r="AB165" i="26"/>
  <c r="BK240" i="26"/>
  <c r="BO240" i="26" s="1"/>
  <c r="BO239" i="26"/>
  <c r="BY239" i="26"/>
  <c r="BU240" i="26"/>
  <c r="BH162" i="26"/>
  <c r="BF162" i="26"/>
  <c r="W240" i="26"/>
  <c r="AA239" i="26"/>
  <c r="AS163" i="26"/>
  <c r="AR164" i="26"/>
  <c r="BE238" i="26"/>
  <c r="BA239" i="26"/>
  <c r="BQ161" i="26"/>
  <c r="BZ218" i="26"/>
  <c r="AN164" i="26"/>
  <c r="AL164" i="26"/>
  <c r="BM163" i="26"/>
  <c r="BL164" i="26"/>
  <c r="AQ166" i="26"/>
  <c r="AU166" i="26" s="1"/>
  <c r="AU165" i="26"/>
  <c r="BS160" i="26"/>
  <c r="BN161" i="26" s="1"/>
  <c r="AD166" i="26"/>
  <c r="AB166" i="26"/>
  <c r="AV162" i="26"/>
  <c r="AX162" i="26"/>
  <c r="AI165" i="26"/>
  <c r="AH166" i="26"/>
  <c r="AI166" i="26" s="1"/>
  <c r="BP162" i="26"/>
  <c r="BR162" i="26"/>
  <c r="AQ239" i="26"/>
  <c r="AU238" i="26"/>
  <c r="BB240" i="26"/>
  <c r="BC240" i="26" s="1"/>
  <c r="BC239" i="26"/>
  <c r="AR238" i="26"/>
  <c r="AS237" i="26"/>
  <c r="BG161" i="26"/>
  <c r="BI161" i="26" s="1"/>
  <c r="BD162" i="26" s="1"/>
  <c r="BY165" i="26"/>
  <c r="BU166" i="26"/>
  <c r="BY166" i="26" s="1"/>
  <c r="AO163" i="26" l="1"/>
  <c r="AJ164" i="26" s="1"/>
  <c r="CA164" i="26"/>
  <c r="CC164" i="26" s="1"/>
  <c r="BX165" i="26" s="1"/>
  <c r="AD173" i="26"/>
  <c r="BG162" i="26"/>
  <c r="BI162" i="26" s="1"/>
  <c r="BD163" i="26" s="1"/>
  <c r="AC165" i="26"/>
  <c r="AE165" i="26" s="1"/>
  <c r="Z166" i="26" s="1"/>
  <c r="AY161" i="26"/>
  <c r="AT162" i="26" s="1"/>
  <c r="BS161" i="26"/>
  <c r="BN162" i="26" s="1"/>
  <c r="AW162" i="26"/>
  <c r="AB173" i="26"/>
  <c r="BQ162" i="26"/>
  <c r="AM164" i="26"/>
  <c r="AV215" i="26"/>
  <c r="AW215" i="26" s="1"/>
  <c r="AY215" i="26" s="1"/>
  <c r="AT216" i="26" s="1"/>
  <c r="AX216" i="26" s="1"/>
  <c r="AX245" i="26" s="1"/>
  <c r="K81" i="26" s="1"/>
  <c r="L85" i="26" s="1"/>
  <c r="BP215" i="26"/>
  <c r="BQ215" i="26" s="1"/>
  <c r="BS215" i="26" s="1"/>
  <c r="BN216" i="26" s="1"/>
  <c r="BR216" i="26" s="1"/>
  <c r="BR245" i="26" s="1"/>
  <c r="Q81" i="26" s="1"/>
  <c r="R85" i="26" s="1"/>
  <c r="CB165" i="26"/>
  <c r="BZ165" i="26"/>
  <c r="AU239" i="26"/>
  <c r="AQ240" i="26"/>
  <c r="AU240" i="26" s="1"/>
  <c r="BM164" i="26"/>
  <c r="BL165" i="26"/>
  <c r="BG245" i="26"/>
  <c r="BI216" i="26"/>
  <c r="BD217" i="26" s="1"/>
  <c r="BH217" i="26" s="1"/>
  <c r="AM216" i="26"/>
  <c r="AL245" i="26"/>
  <c r="BR163" i="26"/>
  <c r="BP163" i="26"/>
  <c r="AA240" i="26"/>
  <c r="BC164" i="26"/>
  <c r="BB165" i="26"/>
  <c r="AE208" i="26"/>
  <c r="Z209" i="26" s="1"/>
  <c r="AD209" i="26" s="1"/>
  <c r="CA218" i="26"/>
  <c r="BE239" i="26"/>
  <c r="BA240" i="26"/>
  <c r="BE240" i="26" s="1"/>
  <c r="AS164" i="26"/>
  <c r="AR165" i="26"/>
  <c r="BH163" i="26"/>
  <c r="BF163" i="26"/>
  <c r="AL165" i="26"/>
  <c r="AN165" i="26"/>
  <c r="CB166" i="26"/>
  <c r="CB173" i="26" s="1"/>
  <c r="T82" i="26" s="1"/>
  <c r="U86" i="26" s="1"/>
  <c r="BZ166" i="26"/>
  <c r="AS238" i="26"/>
  <c r="AR239" i="26"/>
  <c r="AN166" i="26"/>
  <c r="AL166" i="26"/>
  <c r="AC166" i="26"/>
  <c r="AC173" i="26" s="1"/>
  <c r="AX163" i="26"/>
  <c r="AV163" i="26"/>
  <c r="BY240" i="26"/>
  <c r="O81" i="26"/>
  <c r="BL239" i="26"/>
  <c r="BM238" i="26"/>
  <c r="AO164" i="26" l="1"/>
  <c r="AJ165" i="26" s="1"/>
  <c r="BS162" i="26"/>
  <c r="BN163" i="26" s="1"/>
  <c r="AN173" i="26"/>
  <c r="L89" i="26"/>
  <c r="L93" i="26"/>
  <c r="R89" i="26"/>
  <c r="R93" i="26"/>
  <c r="AY162" i="26"/>
  <c r="AT163" i="26" s="1"/>
  <c r="CA165" i="26"/>
  <c r="CC165" i="26" s="1"/>
  <c r="BX166" i="26" s="1"/>
  <c r="BQ163" i="26"/>
  <c r="CA166" i="26"/>
  <c r="AE166" i="26"/>
  <c r="AM165" i="26"/>
  <c r="AW163" i="26"/>
  <c r="BP216" i="26"/>
  <c r="AV216" i="26"/>
  <c r="I81" i="26"/>
  <c r="BM165" i="26"/>
  <c r="BL166" i="26"/>
  <c r="BM166" i="26" s="1"/>
  <c r="BZ173" i="26"/>
  <c r="U82" i="26" s="1"/>
  <c r="T86" i="26" s="1"/>
  <c r="AS165" i="26"/>
  <c r="AR166" i="26"/>
  <c r="AS166" i="26" s="1"/>
  <c r="CC218" i="26"/>
  <c r="BX219" i="26" s="1"/>
  <c r="CB219" i="26" s="1"/>
  <c r="AM245" i="26"/>
  <c r="AO216" i="26"/>
  <c r="AJ217" i="26" s="1"/>
  <c r="AN217" i="26" s="1"/>
  <c r="BP164" i="26"/>
  <c r="BR164" i="26"/>
  <c r="AM166" i="26"/>
  <c r="AL173" i="26"/>
  <c r="AS239" i="26"/>
  <c r="AR240" i="26"/>
  <c r="AS240" i="26" s="1"/>
  <c r="U90" i="26"/>
  <c r="U94" i="26"/>
  <c r="AX164" i="26"/>
  <c r="AV164" i="26"/>
  <c r="BC165" i="26"/>
  <c r="BB166" i="26"/>
  <c r="BC166" i="26" s="1"/>
  <c r="BF217" i="26"/>
  <c r="BL240" i="26"/>
  <c r="BM240" i="26" s="1"/>
  <c r="BM239" i="26"/>
  <c r="AB209" i="26"/>
  <c r="N85" i="26"/>
  <c r="BG163" i="26"/>
  <c r="BI163" i="26" s="1"/>
  <c r="BD164" i="26" s="1"/>
  <c r="BF164" i="26"/>
  <c r="BH164" i="26"/>
  <c r="AO165" i="26" l="1"/>
  <c r="AJ166" i="26" s="1"/>
  <c r="BS163" i="26"/>
  <c r="BN164" i="26" s="1"/>
  <c r="AY163" i="26"/>
  <c r="AT164" i="26" s="1"/>
  <c r="CA173" i="26"/>
  <c r="CC166" i="26"/>
  <c r="AM173" i="26"/>
  <c r="BG164" i="26"/>
  <c r="BI164" i="26" s="1"/>
  <c r="BD165" i="26" s="1"/>
  <c r="AO166" i="26"/>
  <c r="AL217" i="26"/>
  <c r="N89" i="26"/>
  <c r="N93" i="26"/>
  <c r="BG217" i="26"/>
  <c r="BH166" i="26"/>
  <c r="BF166" i="26"/>
  <c r="AV165" i="26"/>
  <c r="AX165" i="26"/>
  <c r="H85" i="26"/>
  <c r="BQ216" i="26"/>
  <c r="BP245" i="26"/>
  <c r="BR165" i="26"/>
  <c r="BP165" i="26"/>
  <c r="BF165" i="26"/>
  <c r="BH165" i="26"/>
  <c r="BZ219" i="26"/>
  <c r="T90" i="26"/>
  <c r="T94" i="26"/>
  <c r="AW216" i="26"/>
  <c r="AV245" i="26"/>
  <c r="AX166" i="26"/>
  <c r="AX173" i="26" s="1"/>
  <c r="AV166" i="26"/>
  <c r="AC209" i="26"/>
  <c r="AW164" i="26"/>
  <c r="BQ164" i="26"/>
  <c r="BP166" i="26"/>
  <c r="BR166" i="26"/>
  <c r="BR173" i="26" s="1"/>
  <c r="BS164" i="26" l="1"/>
  <c r="BN165" i="26" s="1"/>
  <c r="AY164" i="26"/>
  <c r="AT165" i="26" s="1"/>
  <c r="AW165" i="26"/>
  <c r="BQ165" i="26"/>
  <c r="R81" i="26"/>
  <c r="BG165" i="26"/>
  <c r="BI165" i="26" s="1"/>
  <c r="BD166" i="26" s="1"/>
  <c r="BQ245" i="26"/>
  <c r="BS216" i="26"/>
  <c r="BN217" i="26" s="1"/>
  <c r="BR217" i="26" s="1"/>
  <c r="BP173" i="26"/>
  <c r="BQ166" i="26"/>
  <c r="AE209" i="26"/>
  <c r="Z210" i="26" s="1"/>
  <c r="AD210" i="26" s="1"/>
  <c r="L81" i="26"/>
  <c r="CA219" i="26"/>
  <c r="BF173" i="26"/>
  <c r="BG166" i="26"/>
  <c r="AM217" i="26"/>
  <c r="BI217" i="26"/>
  <c r="BD218" i="26" s="1"/>
  <c r="BH218" i="26" s="1"/>
  <c r="AV173" i="26"/>
  <c r="AW166" i="26"/>
  <c r="AW173" i="26" s="1"/>
  <c r="AW245" i="26"/>
  <c r="AY216" i="26"/>
  <c r="AT217" i="26" s="1"/>
  <c r="AX217" i="26" s="1"/>
  <c r="H89" i="26"/>
  <c r="H93" i="26"/>
  <c r="BH173" i="26"/>
  <c r="BS165" i="26" l="1"/>
  <c r="BN166" i="26" s="1"/>
  <c r="BS166" i="26" s="1"/>
  <c r="AY165" i="26"/>
  <c r="AT166" i="26" s="1"/>
  <c r="AY166" i="26" s="1"/>
  <c r="BQ173" i="26"/>
  <c r="BG173" i="26"/>
  <c r="O96" i="26"/>
  <c r="K85" i="26"/>
  <c r="L96" i="26"/>
  <c r="BP217" i="26"/>
  <c r="AV217" i="26"/>
  <c r="BF218" i="26"/>
  <c r="AO217" i="26"/>
  <c r="AJ218" i="26" s="1"/>
  <c r="AN218" i="26" s="1"/>
  <c r="AB210" i="26"/>
  <c r="AC210" i="26" s="1"/>
  <c r="AE210" i="26" s="1"/>
  <c r="Z211" i="26" s="1"/>
  <c r="AD211" i="26" s="1"/>
  <c r="BI166" i="26"/>
  <c r="CC219" i="26"/>
  <c r="BX220" i="26" s="1"/>
  <c r="CB220" i="26" s="1"/>
  <c r="U96" i="26"/>
  <c r="Q85" i="26"/>
  <c r="R96" i="26"/>
  <c r="AB211" i="26" l="1"/>
  <c r="AC211" i="26" s="1"/>
  <c r="AE211" i="26" s="1"/>
  <c r="Z212" i="26" s="1"/>
  <c r="AD212" i="26" s="1"/>
  <c r="AL218" i="26"/>
  <c r="AW217" i="26"/>
  <c r="BQ217" i="26"/>
  <c r="K89" i="26"/>
  <c r="K93" i="26"/>
  <c r="Q89" i="26"/>
  <c r="Q93" i="26"/>
  <c r="BZ220" i="26"/>
  <c r="BG218" i="26"/>
  <c r="AB212" i="26" l="1"/>
  <c r="AC212" i="26" s="1"/>
  <c r="AE212" i="26" s="1"/>
  <c r="Z213" i="26" s="1"/>
  <c r="AD213" i="26" s="1"/>
  <c r="AM218" i="26"/>
  <c r="BI218" i="26"/>
  <c r="BD219" i="26" s="1"/>
  <c r="BH219" i="26" s="1"/>
  <c r="CA220" i="26"/>
  <c r="AY217" i="26"/>
  <c r="AT218" i="26" s="1"/>
  <c r="AX218" i="26" s="1"/>
  <c r="BS217" i="26"/>
  <c r="BN218" i="26" s="1"/>
  <c r="BR218" i="26" s="1"/>
  <c r="AB213" i="26" l="1"/>
  <c r="AC213" i="26" s="1"/>
  <c r="AE213" i="26" s="1"/>
  <c r="Z214" i="26" s="1"/>
  <c r="AD214" i="26" s="1"/>
  <c r="BP218" i="26"/>
  <c r="CC220" i="26"/>
  <c r="BX221" i="26" s="1"/>
  <c r="CB221" i="26" s="1"/>
  <c r="AO218" i="26"/>
  <c r="AJ219" i="26" s="1"/>
  <c r="AN219" i="26" s="1"/>
  <c r="AV218" i="26"/>
  <c r="BF219" i="26"/>
  <c r="AB214" i="26" l="1"/>
  <c r="AC214" i="26" s="1"/>
  <c r="AE214" i="26" s="1"/>
  <c r="Z215" i="26" s="1"/>
  <c r="AD215" i="26" s="1"/>
  <c r="BQ218" i="26"/>
  <c r="AW218" i="26"/>
  <c r="BZ221" i="26"/>
  <c r="BG219" i="26"/>
  <c r="AL219" i="26"/>
  <c r="AB215" i="26" l="1"/>
  <c r="AC215" i="26" s="1"/>
  <c r="AE215" i="26" s="1"/>
  <c r="Z216" i="26" s="1"/>
  <c r="AD216" i="26" s="1"/>
  <c r="AD245" i="26" s="1"/>
  <c r="AM219" i="26"/>
  <c r="CA221" i="26"/>
  <c r="BS218" i="26"/>
  <c r="BN219" i="26" s="1"/>
  <c r="BR219" i="26" s="1"/>
  <c r="BI219" i="26"/>
  <c r="BD220" i="26" s="1"/>
  <c r="BH220" i="26" s="1"/>
  <c r="AY218" i="26"/>
  <c r="AT219" i="26" s="1"/>
  <c r="AX219" i="26" s="1"/>
  <c r="E81" i="26" l="1"/>
  <c r="AB216" i="26"/>
  <c r="AV219" i="26"/>
  <c r="BP219" i="26"/>
  <c r="AO219" i="26"/>
  <c r="AJ220" i="26" s="1"/>
  <c r="AN220" i="26" s="1"/>
  <c r="BF220" i="26"/>
  <c r="CC221" i="26"/>
  <c r="BX222" i="26" s="1"/>
  <c r="CB222" i="26" s="1"/>
  <c r="N96" i="26" l="1"/>
  <c r="F85" i="26"/>
  <c r="T96" i="26"/>
  <c r="H96" i="26"/>
  <c r="K96" i="26"/>
  <c r="Q96" i="26"/>
  <c r="BZ222" i="26"/>
  <c r="CA222" i="26" s="1"/>
  <c r="CC222" i="26" s="1"/>
  <c r="BX223" i="26" s="1"/>
  <c r="CB223" i="26" s="1"/>
  <c r="AW219" i="26"/>
  <c r="BQ219" i="26"/>
  <c r="AL220" i="26"/>
  <c r="BG220" i="26"/>
  <c r="AC216" i="26"/>
  <c r="AB245" i="26"/>
  <c r="F89" i="26" l="1"/>
  <c r="F93" i="26"/>
  <c r="F81" i="26"/>
  <c r="BZ223" i="26"/>
  <c r="CA223" i="26" s="1"/>
  <c r="CC223" i="26" s="1"/>
  <c r="BX224" i="26" s="1"/>
  <c r="CB224" i="26" s="1"/>
  <c r="AY219" i="26"/>
  <c r="AT220" i="26" s="1"/>
  <c r="AX220" i="26" s="1"/>
  <c r="AM220" i="26"/>
  <c r="AC245" i="26"/>
  <c r="AE216" i="26"/>
  <c r="Z217" i="26" s="1"/>
  <c r="AD217" i="26" s="1"/>
  <c r="BI220" i="26"/>
  <c r="BD221" i="26" s="1"/>
  <c r="BH221" i="26" s="1"/>
  <c r="BS219" i="26"/>
  <c r="BN220" i="26" s="1"/>
  <c r="BR220" i="26" s="1"/>
  <c r="E85" i="26" l="1"/>
  <c r="I96" i="26"/>
  <c r="BZ224" i="26"/>
  <c r="CA224" i="26" s="1"/>
  <c r="CC224" i="26" s="1"/>
  <c r="BX225" i="26" s="1"/>
  <c r="CB225" i="26" s="1"/>
  <c r="BP220" i="26"/>
  <c r="AB217" i="26"/>
  <c r="AV220" i="26"/>
  <c r="BF221" i="26"/>
  <c r="AO220" i="26"/>
  <c r="AJ221" i="26" s="1"/>
  <c r="AN221" i="26" s="1"/>
  <c r="E89" i="26" l="1"/>
  <c r="E93" i="26"/>
  <c r="BZ225" i="26"/>
  <c r="CA225" i="26" s="1"/>
  <c r="CC225" i="26" s="1"/>
  <c r="BX226" i="26" s="1"/>
  <c r="CB226" i="26" s="1"/>
  <c r="AW220" i="26"/>
  <c r="BQ220" i="26"/>
  <c r="AC217" i="26"/>
  <c r="AL221" i="26"/>
  <c r="BG221" i="26"/>
  <c r="BZ226" i="26" l="1"/>
  <c r="CA226" i="26" s="1"/>
  <c r="CC226" i="26" s="1"/>
  <c r="BX227" i="26" s="1"/>
  <c r="CB227" i="26" s="1"/>
  <c r="AE217" i="26"/>
  <c r="Z218" i="26" s="1"/>
  <c r="AD218" i="26" s="1"/>
  <c r="BI221" i="26"/>
  <c r="BD222" i="26" s="1"/>
  <c r="BH222" i="26" s="1"/>
  <c r="AY220" i="26"/>
  <c r="AT221" i="26" s="1"/>
  <c r="AX221" i="26" s="1"/>
  <c r="AM221" i="26"/>
  <c r="BS220" i="26"/>
  <c r="BN221" i="26" s="1"/>
  <c r="BR221" i="26" s="1"/>
  <c r="BZ227" i="26" l="1"/>
  <c r="CA227" i="26" s="1"/>
  <c r="CC227" i="26" s="1"/>
  <c r="BX228" i="26" s="1"/>
  <c r="CB228" i="26" s="1"/>
  <c r="CB246" i="26" s="1"/>
  <c r="BP221" i="26"/>
  <c r="AV221" i="26"/>
  <c r="AB218" i="26"/>
  <c r="BF222" i="26"/>
  <c r="BG222" i="26" s="1"/>
  <c r="BI222" i="26" s="1"/>
  <c r="BD223" i="26" s="1"/>
  <c r="BH223" i="26" s="1"/>
  <c r="AO221" i="26"/>
  <c r="AJ222" i="26" s="1"/>
  <c r="AN222" i="26" s="1"/>
  <c r="BF223" i="26" l="1"/>
  <c r="BG223" i="26" s="1"/>
  <c r="BI223" i="26" s="1"/>
  <c r="BD224" i="26" s="1"/>
  <c r="BH224" i="26" s="1"/>
  <c r="BZ228" i="26"/>
  <c r="AC218" i="26"/>
  <c r="BQ221" i="26"/>
  <c r="AW221" i="26"/>
  <c r="AL222" i="26"/>
  <c r="AM222" i="26" s="1"/>
  <c r="AO222" i="26" s="1"/>
  <c r="AJ223" i="26" s="1"/>
  <c r="AN223" i="26" s="1"/>
  <c r="AL223" i="26" l="1"/>
  <c r="AM223" i="26" s="1"/>
  <c r="AO223" i="26" s="1"/>
  <c r="AJ224" i="26" s="1"/>
  <c r="AN224" i="26" s="1"/>
  <c r="BF224" i="26"/>
  <c r="BG224" i="26" s="1"/>
  <c r="BI224" i="26" s="1"/>
  <c r="BD225" i="26" s="1"/>
  <c r="BH225" i="26" s="1"/>
  <c r="CA228" i="26"/>
  <c r="BZ246" i="26"/>
  <c r="BS221" i="26"/>
  <c r="BN222" i="26" s="1"/>
  <c r="BR222" i="26" s="1"/>
  <c r="AY221" i="26"/>
  <c r="AT222" i="26" s="1"/>
  <c r="AX222" i="26" s="1"/>
  <c r="AE218" i="26"/>
  <c r="Z219" i="26" s="1"/>
  <c r="AD219" i="26" s="1"/>
  <c r="BF225" i="26" l="1"/>
  <c r="BG225" i="26" s="1"/>
  <c r="BI225" i="26" s="1"/>
  <c r="BD226" i="26" s="1"/>
  <c r="BH226" i="26" s="1"/>
  <c r="AL224" i="26"/>
  <c r="AM224" i="26" s="1"/>
  <c r="AO224" i="26" s="1"/>
  <c r="AJ225" i="26" s="1"/>
  <c r="AN225" i="26" s="1"/>
  <c r="BP222" i="26"/>
  <c r="BQ222" i="26" s="1"/>
  <c r="BS222" i="26" s="1"/>
  <c r="BN223" i="26" s="1"/>
  <c r="BR223" i="26" s="1"/>
  <c r="AB219" i="26"/>
  <c r="AV222" i="26"/>
  <c r="AW222" i="26" s="1"/>
  <c r="AY222" i="26" s="1"/>
  <c r="AT223" i="26" s="1"/>
  <c r="AX223" i="26" s="1"/>
  <c r="CA246" i="26"/>
  <c r="CC228" i="26"/>
  <c r="BX229" i="26" s="1"/>
  <c r="CB229" i="26" s="1"/>
  <c r="BP223" i="26" l="1"/>
  <c r="BQ223" i="26" s="1"/>
  <c r="BS223" i="26" s="1"/>
  <c r="BN224" i="26" s="1"/>
  <c r="BR224" i="26" s="1"/>
  <c r="AL225" i="26"/>
  <c r="AM225" i="26" s="1"/>
  <c r="AO225" i="26" s="1"/>
  <c r="AJ226" i="26" s="1"/>
  <c r="AN226" i="26" s="1"/>
  <c r="AV223" i="26"/>
  <c r="AW223" i="26" s="1"/>
  <c r="AY223" i="26" s="1"/>
  <c r="AT224" i="26" s="1"/>
  <c r="AX224" i="26" s="1"/>
  <c r="BF226" i="26"/>
  <c r="BG226" i="26" s="1"/>
  <c r="BI226" i="26" s="1"/>
  <c r="BD227" i="26" s="1"/>
  <c r="BH227" i="26" s="1"/>
  <c r="BZ229" i="26"/>
  <c r="AC219" i="26"/>
  <c r="AV224" i="26" l="1"/>
  <c r="AW224" i="26" s="1"/>
  <c r="AY224" i="26" s="1"/>
  <c r="AT225" i="26" s="1"/>
  <c r="AX225" i="26" s="1"/>
  <c r="AL226" i="26"/>
  <c r="AM226" i="26" s="1"/>
  <c r="AO226" i="26" s="1"/>
  <c r="AJ227" i="26" s="1"/>
  <c r="AN227" i="26" s="1"/>
  <c r="BF227" i="26"/>
  <c r="BG227" i="26" s="1"/>
  <c r="BI227" i="26" s="1"/>
  <c r="BD228" i="26" s="1"/>
  <c r="BH228" i="26" s="1"/>
  <c r="BH246" i="26" s="1"/>
  <c r="BP224" i="26"/>
  <c r="BQ224" i="26" s="1"/>
  <c r="BS224" i="26" s="1"/>
  <c r="BN225" i="26" s="1"/>
  <c r="BR225" i="26" s="1"/>
  <c r="AE219" i="26"/>
  <c r="Z220" i="26" s="1"/>
  <c r="AD220" i="26" s="1"/>
  <c r="CA229" i="26"/>
  <c r="BP225" i="26" l="1"/>
  <c r="BQ225" i="26" s="1"/>
  <c r="BS225" i="26" s="1"/>
  <c r="BN226" i="26" s="1"/>
  <c r="BR226" i="26" s="1"/>
  <c r="AV225" i="26"/>
  <c r="AW225" i="26" s="1"/>
  <c r="AY225" i="26" s="1"/>
  <c r="AT226" i="26" s="1"/>
  <c r="AX226" i="26" s="1"/>
  <c r="BF228" i="26"/>
  <c r="AL227" i="26"/>
  <c r="AM227" i="26" s="1"/>
  <c r="AO227" i="26" s="1"/>
  <c r="AJ228" i="26" s="1"/>
  <c r="AN228" i="26" s="1"/>
  <c r="AN246" i="26" s="1"/>
  <c r="CC229" i="26"/>
  <c r="BX230" i="26" s="1"/>
  <c r="CB230" i="26" s="1"/>
  <c r="AB220" i="26"/>
  <c r="AL228" i="26" l="1"/>
  <c r="AV226" i="26"/>
  <c r="AW226" i="26" s="1"/>
  <c r="AY226" i="26" s="1"/>
  <c r="AT227" i="26" s="1"/>
  <c r="AX227" i="26" s="1"/>
  <c r="BP226" i="26"/>
  <c r="BQ226" i="26" s="1"/>
  <c r="BS226" i="26" s="1"/>
  <c r="BN227" i="26" s="1"/>
  <c r="BR227" i="26" s="1"/>
  <c r="AC220" i="26"/>
  <c r="BZ230" i="26"/>
  <c r="BG228" i="26"/>
  <c r="BF246" i="26"/>
  <c r="BP227" i="26" l="1"/>
  <c r="BQ227" i="26" s="1"/>
  <c r="BS227" i="26" s="1"/>
  <c r="BN228" i="26" s="1"/>
  <c r="BR228" i="26" s="1"/>
  <c r="BR246" i="26" s="1"/>
  <c r="AV227" i="26"/>
  <c r="AW227" i="26" s="1"/>
  <c r="AY227" i="26" s="1"/>
  <c r="AT228" i="26" s="1"/>
  <c r="AX228" i="26" s="1"/>
  <c r="AX246" i="26" s="1"/>
  <c r="BG246" i="26"/>
  <c r="BI228" i="26"/>
  <c r="BD229" i="26" s="1"/>
  <c r="BH229" i="26" s="1"/>
  <c r="AE220" i="26"/>
  <c r="Z221" i="26" s="1"/>
  <c r="AD221" i="26" s="1"/>
  <c r="CA230" i="26"/>
  <c r="AM228" i="26"/>
  <c r="AL246" i="26"/>
  <c r="AV228" i="26" l="1"/>
  <c r="BP228" i="26"/>
  <c r="BF229" i="26"/>
  <c r="AM246" i="26"/>
  <c r="AO228" i="26"/>
  <c r="AJ229" i="26" s="1"/>
  <c r="AN229" i="26" s="1"/>
  <c r="CC230" i="26"/>
  <c r="BX231" i="26" s="1"/>
  <c r="CB231" i="26" s="1"/>
  <c r="AB221" i="26"/>
  <c r="AL229" i="26" l="1"/>
  <c r="BQ228" i="26"/>
  <c r="BP246" i="26"/>
  <c r="AW228" i="26"/>
  <c r="AV246" i="26"/>
  <c r="BZ231" i="26"/>
  <c r="BG229" i="26"/>
  <c r="AC221" i="26"/>
  <c r="AE221" i="26" l="1"/>
  <c r="Z222" i="26" s="1"/>
  <c r="AD222" i="26" s="1"/>
  <c r="BQ246" i="26"/>
  <c r="BS228" i="26"/>
  <c r="BN229" i="26" s="1"/>
  <c r="BR229" i="26" s="1"/>
  <c r="CA231" i="26"/>
  <c r="BI229" i="26"/>
  <c r="BD230" i="26" s="1"/>
  <c r="BH230" i="26" s="1"/>
  <c r="AM229" i="26"/>
  <c r="AW246" i="26"/>
  <c r="AY228" i="26"/>
  <c r="AT229" i="26" s="1"/>
  <c r="AX229" i="26" s="1"/>
  <c r="AX247" i="26" s="1"/>
  <c r="K82" i="26" s="1"/>
  <c r="L86" i="26" l="1"/>
  <c r="AO229" i="26"/>
  <c r="AJ230" i="26" s="1"/>
  <c r="AN230" i="26" s="1"/>
  <c r="BP229" i="26"/>
  <c r="AV229" i="26"/>
  <c r="BF230" i="26"/>
  <c r="AB222" i="26"/>
  <c r="AC222" i="26" s="1"/>
  <c r="AE222" i="26" s="1"/>
  <c r="Z223" i="26" s="1"/>
  <c r="AD223" i="26" s="1"/>
  <c r="CC231" i="26"/>
  <c r="BX232" i="26" s="1"/>
  <c r="CB232" i="26" s="1"/>
  <c r="L90" i="26" l="1"/>
  <c r="L94" i="26"/>
  <c r="AB223" i="26"/>
  <c r="AC223" i="26" s="1"/>
  <c r="AE223" i="26" s="1"/>
  <c r="Z224" i="26" s="1"/>
  <c r="AD224" i="26" s="1"/>
  <c r="BZ232" i="26"/>
  <c r="BG230" i="26"/>
  <c r="AW229" i="26"/>
  <c r="BQ229" i="26"/>
  <c r="AL230" i="26"/>
  <c r="AB224" i="26" l="1"/>
  <c r="AC224" i="26" s="1"/>
  <c r="AE224" i="26" s="1"/>
  <c r="Z225" i="26" s="1"/>
  <c r="AD225" i="26" s="1"/>
  <c r="AM230" i="26"/>
  <c r="CA232" i="26"/>
  <c r="AY229" i="26"/>
  <c r="AT230" i="26" s="1"/>
  <c r="AX230" i="26" s="1"/>
  <c r="BS229" i="26"/>
  <c r="BN230" i="26" s="1"/>
  <c r="BR230" i="26" s="1"/>
  <c r="BI230" i="26"/>
  <c r="BD231" i="26" s="1"/>
  <c r="BH231" i="26" s="1"/>
  <c r="AB225" i="26" l="1"/>
  <c r="AC225" i="26" s="1"/>
  <c r="AE225" i="26" s="1"/>
  <c r="Z226" i="26" s="1"/>
  <c r="AD226" i="26" s="1"/>
  <c r="BF231" i="26"/>
  <c r="AO230" i="26"/>
  <c r="AJ231" i="26" s="1"/>
  <c r="AN231" i="26" s="1"/>
  <c r="AV230" i="26"/>
  <c r="BP230" i="26"/>
  <c r="CC232" i="26"/>
  <c r="BX233" i="26" s="1"/>
  <c r="CB233" i="26" s="1"/>
  <c r="AB226" i="26" l="1"/>
  <c r="AC226" i="26" s="1"/>
  <c r="AE226" i="26" s="1"/>
  <c r="Z227" i="26" s="1"/>
  <c r="AD227" i="26" s="1"/>
  <c r="AW230" i="26"/>
  <c r="BG231" i="26"/>
  <c r="AL231" i="26"/>
  <c r="BZ233" i="26"/>
  <c r="BQ230" i="26"/>
  <c r="AB227" i="26" l="1"/>
  <c r="AC227" i="26" s="1"/>
  <c r="AE227" i="26" s="1"/>
  <c r="Z228" i="26" s="1"/>
  <c r="AD228" i="26" s="1"/>
  <c r="AD246" i="26" s="1"/>
  <c r="AY230" i="26"/>
  <c r="AT231" i="26" s="1"/>
  <c r="AX231" i="26" s="1"/>
  <c r="BS230" i="26"/>
  <c r="BN231" i="26" s="1"/>
  <c r="BR231" i="26" s="1"/>
  <c r="AM231" i="26"/>
  <c r="CA233" i="26"/>
  <c r="BI231" i="26"/>
  <c r="BD232" i="26" s="1"/>
  <c r="BH232" i="26" s="1"/>
  <c r="AB228" i="26" l="1"/>
  <c r="AV231" i="26"/>
  <c r="AO231" i="26"/>
  <c r="AJ232" i="26" s="1"/>
  <c r="AN232" i="26" s="1"/>
  <c r="BF232" i="26"/>
  <c r="BP231" i="26"/>
  <c r="CC233" i="26"/>
  <c r="BX234" i="26" s="1"/>
  <c r="CB234" i="26" s="1"/>
  <c r="AW231" i="26" l="1"/>
  <c r="BZ234" i="26"/>
  <c r="CA234" i="26" s="1"/>
  <c r="CC234" i="26" s="1"/>
  <c r="BX235" i="26" s="1"/>
  <c r="CB235" i="26" s="1"/>
  <c r="BQ231" i="26"/>
  <c r="AL232" i="26"/>
  <c r="AC228" i="26"/>
  <c r="AB246" i="26"/>
  <c r="BG232" i="26"/>
  <c r="BZ235" i="26" l="1"/>
  <c r="CA235" i="26" s="1"/>
  <c r="CC235" i="26" s="1"/>
  <c r="BX236" i="26" s="1"/>
  <c r="CB236" i="26" s="1"/>
  <c r="AM232" i="26"/>
  <c r="BI232" i="26"/>
  <c r="BD233" i="26" s="1"/>
  <c r="BH233" i="26" s="1"/>
  <c r="AC246" i="26"/>
  <c r="AE228" i="26"/>
  <c r="Z229" i="26" s="1"/>
  <c r="AD229" i="26" s="1"/>
  <c r="BS231" i="26"/>
  <c r="BN232" i="26" s="1"/>
  <c r="BR232" i="26" s="1"/>
  <c r="AY231" i="26"/>
  <c r="AT232" i="26" s="1"/>
  <c r="AX232" i="26" s="1"/>
  <c r="BZ236" i="26" l="1"/>
  <c r="CA236" i="26" s="1"/>
  <c r="CC236" i="26" s="1"/>
  <c r="BX237" i="26" s="1"/>
  <c r="CB237" i="26" s="1"/>
  <c r="AV232" i="26"/>
  <c r="AB229" i="26"/>
  <c r="AO232" i="26"/>
  <c r="AJ233" i="26" s="1"/>
  <c r="AN233" i="26" s="1"/>
  <c r="BP232" i="26"/>
  <c r="BF233" i="26"/>
  <c r="BZ237" i="26" l="1"/>
  <c r="CA237" i="26" s="1"/>
  <c r="CC237" i="26" s="1"/>
  <c r="BX238" i="26" s="1"/>
  <c r="CB238" i="26" s="1"/>
  <c r="AL233" i="26"/>
  <c r="AW232" i="26"/>
  <c r="AC229" i="26"/>
  <c r="BG233" i="26"/>
  <c r="BQ232" i="26"/>
  <c r="BZ238" i="26" l="1"/>
  <c r="CA238" i="26" s="1"/>
  <c r="CC238" i="26" s="1"/>
  <c r="BX239" i="26" s="1"/>
  <c r="CB239" i="26" s="1"/>
  <c r="AM233" i="26"/>
  <c r="BS232" i="26"/>
  <c r="BN233" i="26" s="1"/>
  <c r="BR233" i="26" s="1"/>
  <c r="AE229" i="26"/>
  <c r="Z230" i="26" s="1"/>
  <c r="AD230" i="26" s="1"/>
  <c r="BI233" i="26"/>
  <c r="BD234" i="26" s="1"/>
  <c r="BH234" i="26" s="1"/>
  <c r="AY232" i="26"/>
  <c r="AT233" i="26" s="1"/>
  <c r="AX233" i="26" s="1"/>
  <c r="BZ239" i="26" l="1"/>
  <c r="CA239" i="26" s="1"/>
  <c r="CC239" i="26" s="1"/>
  <c r="BX240" i="26" s="1"/>
  <c r="CB240" i="26" s="1"/>
  <c r="CB247" i="26" s="1"/>
  <c r="AB230" i="26"/>
  <c r="AV233" i="26"/>
  <c r="AO233" i="26"/>
  <c r="AJ234" i="26" s="1"/>
  <c r="AN234" i="26" s="1"/>
  <c r="BF234" i="26"/>
  <c r="BG234" i="26" s="1"/>
  <c r="BI234" i="26" s="1"/>
  <c r="BD235" i="26" s="1"/>
  <c r="BH235" i="26" s="1"/>
  <c r="BP233" i="26"/>
  <c r="BF235" i="26" l="1"/>
  <c r="BG235" i="26" s="1"/>
  <c r="BI235" i="26" s="1"/>
  <c r="BD236" i="26" s="1"/>
  <c r="BH236" i="26" s="1"/>
  <c r="BZ240" i="26"/>
  <c r="AL234" i="26"/>
  <c r="AM234" i="26" s="1"/>
  <c r="AO234" i="26" s="1"/>
  <c r="AJ235" i="26" s="1"/>
  <c r="AN235" i="26" s="1"/>
  <c r="AC230" i="26"/>
  <c r="AW233" i="26"/>
  <c r="BQ233" i="26"/>
  <c r="AL235" i="26" l="1"/>
  <c r="AM235" i="26" s="1"/>
  <c r="AO235" i="26" s="1"/>
  <c r="AJ236" i="26" s="1"/>
  <c r="AN236" i="26" s="1"/>
  <c r="BF236" i="26"/>
  <c r="BG236" i="26" s="1"/>
  <c r="BI236" i="26" s="1"/>
  <c r="BD237" i="26" s="1"/>
  <c r="BH237" i="26" s="1"/>
  <c r="CA240" i="26"/>
  <c r="BZ247" i="26"/>
  <c r="BS233" i="26"/>
  <c r="BN234" i="26" s="1"/>
  <c r="BR234" i="26" s="1"/>
  <c r="AE230" i="26"/>
  <c r="Z231" i="26" s="1"/>
  <c r="AD231" i="26" s="1"/>
  <c r="AY233" i="26"/>
  <c r="AT234" i="26" s="1"/>
  <c r="AX234" i="26" s="1"/>
  <c r="BF237" i="26" l="1"/>
  <c r="BG237" i="26" s="1"/>
  <c r="BI237" i="26" s="1"/>
  <c r="BD238" i="26" s="1"/>
  <c r="BH238" i="26" s="1"/>
  <c r="AL236" i="26"/>
  <c r="AM236" i="26" s="1"/>
  <c r="AO236" i="26" s="1"/>
  <c r="AJ237" i="26" s="1"/>
  <c r="AN237" i="26" s="1"/>
  <c r="BP234" i="26"/>
  <c r="BQ234" i="26" s="1"/>
  <c r="BS234" i="26" s="1"/>
  <c r="BN235" i="26" s="1"/>
  <c r="BR235" i="26" s="1"/>
  <c r="AB231" i="26"/>
  <c r="AV234" i="26"/>
  <c r="AW234" i="26" s="1"/>
  <c r="AY234" i="26" s="1"/>
  <c r="AT235" i="26" s="1"/>
  <c r="AX235" i="26" s="1"/>
  <c r="CA247" i="26"/>
  <c r="CC240" i="26"/>
  <c r="BP235" i="26" l="1"/>
  <c r="BQ235" i="26" s="1"/>
  <c r="BS235" i="26" s="1"/>
  <c r="BN236" i="26" s="1"/>
  <c r="BR236" i="26" s="1"/>
  <c r="AL237" i="26"/>
  <c r="AM237" i="26" s="1"/>
  <c r="AO237" i="26" s="1"/>
  <c r="AJ238" i="26" s="1"/>
  <c r="AN238" i="26" s="1"/>
  <c r="AV235" i="26"/>
  <c r="AW235" i="26" s="1"/>
  <c r="AY235" i="26" s="1"/>
  <c r="AT236" i="26" s="1"/>
  <c r="AX236" i="26" s="1"/>
  <c r="BF238" i="26"/>
  <c r="BG238" i="26" s="1"/>
  <c r="BI238" i="26" s="1"/>
  <c r="BD239" i="26" s="1"/>
  <c r="BH239" i="26" s="1"/>
  <c r="AC231" i="26"/>
  <c r="BF239" i="26" l="1"/>
  <c r="BG239" i="26" s="1"/>
  <c r="BI239" i="26" s="1"/>
  <c r="BD240" i="26" s="1"/>
  <c r="BH240" i="26" s="1"/>
  <c r="BH247" i="26" s="1"/>
  <c r="N82" i="26" s="1"/>
  <c r="O86" i="26" s="1"/>
  <c r="AV236" i="26"/>
  <c r="AW236" i="26" s="1"/>
  <c r="AY236" i="26" s="1"/>
  <c r="AT237" i="26" s="1"/>
  <c r="AX237" i="26" s="1"/>
  <c r="AL238" i="26"/>
  <c r="AM238" i="26" s="1"/>
  <c r="AO238" i="26" s="1"/>
  <c r="AJ239" i="26" s="1"/>
  <c r="AN239" i="26" s="1"/>
  <c r="BP236" i="26"/>
  <c r="BQ236" i="26" s="1"/>
  <c r="BS236" i="26" s="1"/>
  <c r="BN237" i="26" s="1"/>
  <c r="BR237" i="26" s="1"/>
  <c r="AE231" i="26"/>
  <c r="Z232" i="26" s="1"/>
  <c r="AD232" i="26" s="1"/>
  <c r="O90" i="26" l="1"/>
  <c r="O94" i="26"/>
  <c r="BP237" i="26"/>
  <c r="BQ237" i="26" s="1"/>
  <c r="BS237" i="26" s="1"/>
  <c r="BN238" i="26" s="1"/>
  <c r="BR238" i="26" s="1"/>
  <c r="AL239" i="26"/>
  <c r="AM239" i="26" s="1"/>
  <c r="AO239" i="26" s="1"/>
  <c r="AJ240" i="26" s="1"/>
  <c r="AN240" i="26" s="1"/>
  <c r="AN247" i="26" s="1"/>
  <c r="H82" i="26" s="1"/>
  <c r="I86" i="26" s="1"/>
  <c r="AV237" i="26"/>
  <c r="AW237" i="26" s="1"/>
  <c r="AY237" i="26" s="1"/>
  <c r="AT238" i="26" s="1"/>
  <c r="AX238" i="26" s="1"/>
  <c r="BF240" i="26"/>
  <c r="AB232" i="26"/>
  <c r="I94" i="26" l="1"/>
  <c r="I90" i="26"/>
  <c r="AV238" i="26"/>
  <c r="AW238" i="26" s="1"/>
  <c r="AY238" i="26" s="1"/>
  <c r="AT239" i="26" s="1"/>
  <c r="AX239" i="26" s="1"/>
  <c r="AL240" i="26"/>
  <c r="BP238" i="26"/>
  <c r="BQ238" i="26" s="1"/>
  <c r="BS238" i="26" s="1"/>
  <c r="BN239" i="26" s="1"/>
  <c r="BR239" i="26" s="1"/>
  <c r="BG240" i="26"/>
  <c r="BF247" i="26"/>
  <c r="O82" i="26" s="1"/>
  <c r="AC232" i="26"/>
  <c r="BP239" i="26" l="1"/>
  <c r="BQ239" i="26" s="1"/>
  <c r="BS239" i="26" s="1"/>
  <c r="BN240" i="26" s="1"/>
  <c r="BR240" i="26" s="1"/>
  <c r="BR247" i="26" s="1"/>
  <c r="Q82" i="26" s="1"/>
  <c r="R86" i="26" s="1"/>
  <c r="AV239" i="26"/>
  <c r="AW239" i="26" s="1"/>
  <c r="AY239" i="26" s="1"/>
  <c r="AT240" i="26" s="1"/>
  <c r="AX240" i="26" s="1"/>
  <c r="AM240" i="26"/>
  <c r="AL247" i="26"/>
  <c r="I82" i="26" s="1"/>
  <c r="BG247" i="26"/>
  <c r="BI240" i="26"/>
  <c r="N86" i="26"/>
  <c r="AE232" i="26"/>
  <c r="Z233" i="26" s="1"/>
  <c r="AD233" i="26" s="1"/>
  <c r="R94" i="26" l="1"/>
  <c r="R90" i="26"/>
  <c r="AV240" i="26"/>
  <c r="BP240" i="26"/>
  <c r="AB233" i="26"/>
  <c r="H86" i="26"/>
  <c r="N90" i="26"/>
  <c r="N94" i="26"/>
  <c r="AM247" i="26"/>
  <c r="AO240" i="26"/>
  <c r="BQ240" i="26" l="1"/>
  <c r="BP247" i="26"/>
  <c r="R82" i="26" s="1"/>
  <c r="AC233" i="26"/>
  <c r="H90" i="26"/>
  <c r="H94" i="26"/>
  <c r="AW240" i="26"/>
  <c r="AV247" i="26"/>
  <c r="L82" i="26" s="1"/>
  <c r="O97" i="26" l="1"/>
  <c r="K86" i="26"/>
  <c r="L97" i="26"/>
  <c r="AE233" i="26"/>
  <c r="Z234" i="26" s="1"/>
  <c r="AD234" i="26" s="1"/>
  <c r="AW247" i="26"/>
  <c r="AY240" i="26"/>
  <c r="U97" i="26"/>
  <c r="Q86" i="26"/>
  <c r="R97" i="26"/>
  <c r="BQ247" i="26"/>
  <c r="BS240" i="26"/>
  <c r="K90" i="26" l="1"/>
  <c r="K94" i="26"/>
  <c r="Q90" i="26"/>
  <c r="Q94" i="26"/>
  <c r="AB234" i="26"/>
  <c r="AC234" i="26" s="1"/>
  <c r="AE234" i="26" s="1"/>
  <c r="Z235" i="26" s="1"/>
  <c r="AD235" i="26" s="1"/>
  <c r="AB235" i="26" l="1"/>
  <c r="AC235" i="26" s="1"/>
  <c r="AE235" i="26" s="1"/>
  <c r="Z236" i="26" s="1"/>
  <c r="AD236" i="26" s="1"/>
  <c r="AB236" i="26" l="1"/>
  <c r="AC236" i="26" s="1"/>
  <c r="AE236" i="26" s="1"/>
  <c r="Z237" i="26" s="1"/>
  <c r="AD237" i="26" s="1"/>
  <c r="AB237" i="26" l="1"/>
  <c r="AC237" i="26" s="1"/>
  <c r="AE237" i="26" s="1"/>
  <c r="Z238" i="26" s="1"/>
  <c r="AD238" i="26" s="1"/>
  <c r="AB238" i="26" l="1"/>
  <c r="AC238" i="26" s="1"/>
  <c r="AE238" i="26" s="1"/>
  <c r="Z239" i="26" s="1"/>
  <c r="AD239" i="26" s="1"/>
  <c r="AB239" i="26" l="1"/>
  <c r="AC239" i="26" s="1"/>
  <c r="AE239" i="26" s="1"/>
  <c r="Z240" i="26" s="1"/>
  <c r="AD240" i="26" s="1"/>
  <c r="AD247" i="26" s="1"/>
  <c r="E82" i="26" s="1"/>
  <c r="F86" i="26" l="1"/>
  <c r="T97" i="26"/>
  <c r="N97" i="26"/>
  <c r="H97" i="26"/>
  <c r="Q97" i="26"/>
  <c r="K97" i="26"/>
  <c r="AB240" i="26"/>
  <c r="F94" i="26" l="1"/>
  <c r="F90" i="26"/>
  <c r="AC240" i="26"/>
  <c r="AB247" i="26"/>
  <c r="F82" i="26" s="1"/>
  <c r="E86" i="26" l="1"/>
  <c r="I97" i="26"/>
  <c r="AC247" i="26"/>
  <c r="AE240" i="26"/>
  <c r="E90" i="26" l="1"/>
  <c r="E9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Alec Worwa</author>
  </authors>
  <commentList>
    <comment ref="E4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Alec Worwa:</t>
        </r>
        <r>
          <rPr>
            <sz val="9"/>
            <color indexed="81"/>
            <rFont val="Tahoma"/>
            <family val="2"/>
          </rPr>
          <t xml:space="preserve">
Planning, Final Planning, Under Construction, Recently Opened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Norman Leslie</author>
  </authors>
  <commentList>
    <comment ref="A4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Norman Leslie:</t>
        </r>
        <r>
          <rPr>
            <sz val="9"/>
            <color indexed="81"/>
            <rFont val="Tahoma"/>
            <family val="2"/>
          </rPr>
          <t xml:space="preserve">
Shared Expenses, Missing Key Positions
Special Franchise Concessions
Other non-replicatable benefits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Norman Leslie</author>
  </authors>
  <commentList>
    <comment ref="F2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Norman Leslie:</t>
        </r>
        <r>
          <rPr>
            <sz val="9"/>
            <color indexed="81"/>
            <rFont val="Tahoma"/>
            <family val="2"/>
          </rPr>
          <t xml:space="preserve">
Purchase Price + PIP
</t>
        </r>
      </text>
    </comment>
    <comment ref="G2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Norman Leslie:</t>
        </r>
        <r>
          <rPr>
            <sz val="9"/>
            <color indexed="81"/>
            <rFont val="Tahoma"/>
            <family val="2"/>
          </rPr>
          <t xml:space="preserve">
Purchase Price + PIP + Acquisition Costs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nhleslie</author>
  </authors>
  <commentList>
    <comment ref="L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nhleslie:</t>
        </r>
        <r>
          <rPr>
            <sz val="9"/>
            <color indexed="81"/>
            <rFont val="Tahoma"/>
            <family val="2"/>
          </rPr>
          <t xml:space="preserve">
Lmt Serv 700
Mid Scale w/F&amp;B 600
Full Serve Upscale 900
All Suite $1000
</t>
        </r>
      </text>
    </comment>
  </commentList>
</comments>
</file>

<file path=xl/sharedStrings.xml><?xml version="1.0" encoding="utf-8"?>
<sst xmlns="http://schemas.openxmlformats.org/spreadsheetml/2006/main" count="2244" uniqueCount="1143">
  <si>
    <t>Room Revenue</t>
  </si>
  <si>
    <t>Lease Revenue</t>
  </si>
  <si>
    <t>Other Revenue</t>
  </si>
  <si>
    <t>REVENUE</t>
  </si>
  <si>
    <t>TOTAL REVENUE</t>
  </si>
  <si>
    <t>Room Expense</t>
  </si>
  <si>
    <t>Lease Expense</t>
  </si>
  <si>
    <t>Other Expense</t>
  </si>
  <si>
    <t>DEPT EXPENSES</t>
  </si>
  <si>
    <t>TOTAL DEPT EXPENSE</t>
  </si>
  <si>
    <t>GROSS OPERATING PROFIT</t>
  </si>
  <si>
    <t>Administrative &amp; General</t>
  </si>
  <si>
    <t>Franchise</t>
  </si>
  <si>
    <t>Sales &amp; Marketing</t>
  </si>
  <si>
    <t>Property Maintenance</t>
  </si>
  <si>
    <t>Utilities</t>
  </si>
  <si>
    <t>Management</t>
  </si>
  <si>
    <t>TOTAL UNALLOCATED</t>
  </si>
  <si>
    <t>UNALLOCATED</t>
  </si>
  <si>
    <t>Reserve for Replacement</t>
  </si>
  <si>
    <t>Other</t>
  </si>
  <si>
    <t>HOUSE PROFIT</t>
  </si>
  <si>
    <t>NORMALIZED HOUSE PROFIT</t>
  </si>
  <si>
    <t>FIXED EXPENSE</t>
  </si>
  <si>
    <t>Insurance</t>
  </si>
  <si>
    <t>Property Taxes</t>
  </si>
  <si>
    <t>Personal Property Taxes</t>
  </si>
  <si>
    <t>TOTAL FIXED EXPENSE</t>
  </si>
  <si>
    <t>NET OPERATING INCOME</t>
  </si>
  <si>
    <t>HISTORICAL</t>
  </si>
  <si>
    <t>YEAR 1</t>
  </si>
  <si>
    <t>YEAR 2</t>
  </si>
  <si>
    <t>YEAR 3</t>
  </si>
  <si>
    <t>YEAR 4</t>
  </si>
  <si>
    <t>YEAR 5</t>
  </si>
  <si>
    <t>AVERAGE</t>
  </si>
  <si>
    <t>$</t>
  </si>
  <si>
    <t>%</t>
  </si>
  <si>
    <t>KEY STATS:</t>
  </si>
  <si>
    <t>Occupancy</t>
  </si>
  <si>
    <t>Average Daily Rate</t>
  </si>
  <si>
    <t>RevPAR</t>
  </si>
  <si>
    <t>POST PURCHASE</t>
  </si>
  <si>
    <t>RevPAR Index</t>
  </si>
  <si>
    <t>Key Data</t>
  </si>
  <si>
    <t>Competitive Set:</t>
  </si>
  <si>
    <t>Occupancy Index</t>
  </si>
  <si>
    <t>ADR Index</t>
  </si>
  <si>
    <t>Index:</t>
  </si>
  <si>
    <t>Resulting Occupancy</t>
  </si>
  <si>
    <t>Resulting ADR</t>
  </si>
  <si>
    <t>Resultant:</t>
  </si>
  <si>
    <t>Comp Set ADR Annual Increase</t>
  </si>
  <si>
    <t>RevPAR Index (Est)</t>
  </si>
  <si>
    <t>Acquisition Worksheets</t>
  </si>
  <si>
    <t>Acquisition Costs</t>
  </si>
  <si>
    <t>Cash Reserves</t>
  </si>
  <si>
    <t>Underwriting Costs</t>
  </si>
  <si>
    <t>Total Acquisition Costs</t>
  </si>
  <si>
    <t>Pricing</t>
  </si>
  <si>
    <t>Stated Purchase Price</t>
  </si>
  <si>
    <t>Calculated Capitalization Rate</t>
  </si>
  <si>
    <t>Last Period NOI</t>
  </si>
  <si>
    <t>Average Post Purchase NOI</t>
  </si>
  <si>
    <t>Debt Assumptions</t>
  </si>
  <si>
    <t>Loan to Value</t>
  </si>
  <si>
    <t>Interest Rate</t>
  </si>
  <si>
    <t>Amortization</t>
  </si>
  <si>
    <t>REQUIRED PURCHASE PRICE</t>
  </si>
  <si>
    <t>TOTAL COST</t>
  </si>
  <si>
    <t>OFFER PRICE</t>
  </si>
  <si>
    <t>NORMALIZE ITEMS</t>
  </si>
  <si>
    <t>TOTAL NORMALIZE ITEMS</t>
  </si>
  <si>
    <t>Estimated ReSale Value</t>
  </si>
  <si>
    <t>Less Selling Costs</t>
  </si>
  <si>
    <t>Net Gain on Sale</t>
  </si>
  <si>
    <t>Equity Investment</t>
  </si>
  <si>
    <t>NOI</t>
  </si>
  <si>
    <t>Cash Flow</t>
  </si>
  <si>
    <t>NET INCOME BEFORE DEPRECIATION</t>
  </si>
  <si>
    <t>NET CASH FLOW</t>
  </si>
  <si>
    <t>Loan Amount</t>
  </si>
  <si>
    <t>% Cash on Cash</t>
  </si>
  <si>
    <t>% Return on Equity</t>
  </si>
  <si>
    <t>Debt Reduction</t>
  </si>
  <si>
    <t>Debt Service</t>
  </si>
  <si>
    <t>Hotel</t>
  </si>
  <si>
    <t># Rooms</t>
  </si>
  <si>
    <t>Opened</t>
  </si>
  <si>
    <t>Index/Underwriting Goals</t>
  </si>
  <si>
    <t>Estimated Comp Set RevPAR</t>
  </si>
  <si>
    <t>Resulting RevPAR Index</t>
  </si>
  <si>
    <t>Discount from Sale Price:</t>
  </si>
  <si>
    <t>Net Income Befor Depreciation</t>
  </si>
  <si>
    <t>Subject</t>
  </si>
  <si>
    <t>Comp Set</t>
  </si>
  <si>
    <t>Comp Set Occ Annual Increase</t>
  </si>
  <si>
    <t>Estimated Comp Set ADR</t>
  </si>
  <si>
    <t>Estimated Comp Set Occ</t>
  </si>
  <si>
    <t>Resulting RevPAR</t>
  </si>
  <si>
    <t>ACQUISITION &amp; PIP COST</t>
  </si>
  <si>
    <t>Reserve For Replacement</t>
  </si>
  <si>
    <t>Recap of Sale:</t>
  </si>
  <si>
    <t>Hotel Sale</t>
  </si>
  <si>
    <t>Less Commissions</t>
  </si>
  <si>
    <t>Less Debt</t>
  </si>
  <si>
    <t>Net</t>
  </si>
  <si>
    <t>Original Investment</t>
  </si>
  <si>
    <t>Profit on Sale</t>
  </si>
  <si>
    <t>Net Sale Proceeds</t>
  </si>
  <si>
    <t>Estimated Payout of Profit</t>
  </si>
  <si>
    <t>Total Costs</t>
  </si>
  <si>
    <t>Total</t>
  </si>
  <si>
    <t>ADA</t>
  </si>
  <si>
    <t>General</t>
  </si>
  <si>
    <t>Multiplier</t>
  </si>
  <si>
    <t>Valuation</t>
  </si>
  <si>
    <t>Simple % Gain on Equity</t>
  </si>
  <si>
    <t>Cap Rate</t>
  </si>
  <si>
    <t>Per Room</t>
  </si>
  <si>
    <t>Property:</t>
  </si>
  <si>
    <t>Property &amp; Mortgage Information</t>
  </si>
  <si>
    <t>Proposed Purchase Price</t>
  </si>
  <si>
    <t>% down:</t>
  </si>
  <si>
    <t xml:space="preserve">  Land</t>
  </si>
  <si>
    <t>Rate:</t>
  </si>
  <si>
    <t xml:space="preserve">  Personal Property</t>
  </si>
  <si>
    <t>Term:</t>
  </si>
  <si>
    <t>years</t>
  </si>
  <si>
    <t xml:space="preserve">  Building Value</t>
  </si>
  <si>
    <t>P&amp;I:</t>
  </si>
  <si>
    <t xml:space="preserve">  Other</t>
  </si>
  <si>
    <t>Capital Improvements</t>
  </si>
  <si>
    <t xml:space="preserve">  Acquisition Costs</t>
  </si>
  <si>
    <t>Total Capital Improvements</t>
  </si>
  <si>
    <t>Post Acquisition Valuation</t>
  </si>
  <si>
    <t>Yearly Depreciation</t>
  </si>
  <si>
    <t xml:space="preserve">  Land Value</t>
  </si>
  <si>
    <t>Term</t>
  </si>
  <si>
    <t>Amount</t>
  </si>
  <si>
    <t xml:space="preserve">  Personal Prop Value</t>
  </si>
  <si>
    <t>Total Valuation</t>
  </si>
  <si>
    <t>Total Estimated Depreciation:</t>
  </si>
  <si>
    <t>Total Capital Req'd</t>
  </si>
  <si>
    <t>Estimated Depreciation to Inv:</t>
  </si>
  <si>
    <t>Net Financed</t>
  </si>
  <si>
    <t>Yr1 Debt Coverage Ratio (DCR)</t>
  </si>
  <si>
    <t>Performance Metrics</t>
  </si>
  <si>
    <t>Historical</t>
  </si>
  <si>
    <t>Projections</t>
  </si>
  <si>
    <t>Trailing 12</t>
  </si>
  <si>
    <t>Year 1</t>
  </si>
  <si>
    <t>Year 2</t>
  </si>
  <si>
    <t>Year 3</t>
  </si>
  <si>
    <t>Year 4</t>
  </si>
  <si>
    <t>Average Daily Rate (ADR)</t>
  </si>
  <si>
    <t>Rev / Available Room (RevPAR)</t>
  </si>
  <si>
    <t>Revenue</t>
  </si>
  <si>
    <t xml:space="preserve">  Variable Expenses</t>
  </si>
  <si>
    <t xml:space="preserve">  Fixed Expenses</t>
  </si>
  <si>
    <t>Operating Income</t>
  </si>
  <si>
    <t xml:space="preserve">  Debt Service</t>
  </si>
  <si>
    <t>Net Free Cash Flow</t>
  </si>
  <si>
    <t>Investment Analysis</t>
  </si>
  <si>
    <t>Principal Reduction</t>
  </si>
  <si>
    <t>Cash Available for Distribution</t>
  </si>
  <si>
    <t>ROI</t>
  </si>
  <si>
    <t>Cumulative ROI</t>
  </si>
  <si>
    <t>Estimated Sale Net Proceeds</t>
  </si>
  <si>
    <t>Estimated Gain on Sale</t>
  </si>
  <si>
    <t>Computed Overall Simple Annual ROI</t>
  </si>
  <si>
    <t>Blended Value by Valuation</t>
  </si>
  <si>
    <t>Proposed Investment (All In)</t>
  </si>
  <si>
    <t>Estimated Sale Price (Yr 5)</t>
  </si>
  <si>
    <t>Discount Cash Flow Analysis</t>
  </si>
  <si>
    <t>Reversion</t>
  </si>
  <si>
    <t>NET INCOME BEFORE INTEREST</t>
  </si>
  <si>
    <t>Mortgage</t>
  </si>
  <si>
    <t>Equity</t>
  </si>
  <si>
    <t>Discount Rate</t>
  </si>
  <si>
    <t>PERIOD</t>
  </si>
  <si>
    <t>NET OPERATING</t>
  </si>
  <si>
    <t>DISCOUNT</t>
  </si>
  <si>
    <t>PRESENT</t>
  </si>
  <si>
    <t>INCOME</t>
  </si>
  <si>
    <t>FACTOR</t>
  </si>
  <si>
    <t>WORTH</t>
  </si>
  <si>
    <t>X</t>
  </si>
  <si>
    <t>=</t>
  </si>
  <si>
    <t>SUM OF DISCOUNTED NOI</t>
  </si>
  <si>
    <t>NET INCOME FOR CAPITALIZATION</t>
  </si>
  <si>
    <t>CAPITALIZATION RATE</t>
  </si>
  <si>
    <t>VALUE OF THE REVERSION</t>
  </si>
  <si>
    <t>LESS SELLING EXPENSES</t>
  </si>
  <si>
    <t>NET VALUE OF THE REVERSION</t>
  </si>
  <si>
    <t>DISCOUNT FACTOR</t>
  </si>
  <si>
    <t>DISCOUNTED VALUE OF THE REVERSION</t>
  </si>
  <si>
    <t>ESTIMATED VALUE BY THE DISCOUNTED CASH FLOW ANALYSIS METHOD</t>
  </si>
  <si>
    <t>HISTORICAL- T-12</t>
  </si>
  <si>
    <t>SMPL SUBORDINATED DCR</t>
  </si>
  <si>
    <t>FULL SUB DCR</t>
  </si>
  <si>
    <t>Cost</t>
  </si>
  <si>
    <t>LOF Closing Costs &amp; Liquidity</t>
  </si>
  <si>
    <t>Total LOF  Closing Costs &amp; Liquidity</t>
  </si>
  <si>
    <t>Summary of Project Cost (Uses)</t>
  </si>
  <si>
    <t>Asset Purchase</t>
  </si>
  <si>
    <t>Deep Clean</t>
  </si>
  <si>
    <t>Closing Costs</t>
  </si>
  <si>
    <t>Operating Cash</t>
  </si>
  <si>
    <t>Sources</t>
  </si>
  <si>
    <t>Property Management &amp; Sales Mgmt</t>
  </si>
  <si>
    <t>SOURCE &amp; USE OF FUNDS</t>
  </si>
  <si>
    <t>STR &amp; PROJECTED RESULTS</t>
  </si>
  <si>
    <t>.</t>
  </si>
  <si>
    <t>Less Contingency Factor</t>
  </si>
  <si>
    <t>Less Realtor Commission</t>
  </si>
  <si>
    <t>Less Disposal Fee</t>
  </si>
  <si>
    <t>Less Other Closing Costs</t>
  </si>
  <si>
    <t>Net Proceeds</t>
  </si>
  <si>
    <t>SENSITIVITY ANALYSIS</t>
  </si>
  <si>
    <t>Data Storage</t>
  </si>
  <si>
    <t>Financials</t>
  </si>
  <si>
    <t>Detail Capital Improvements</t>
  </si>
  <si>
    <t>Less Original Mortgage</t>
  </si>
  <si>
    <t>Add Projected Principal Payments</t>
  </si>
  <si>
    <t>Less Subordinated Debt</t>
  </si>
  <si>
    <t>Subordinated Debt</t>
  </si>
  <si>
    <t>T12 Normalized NOI</t>
  </si>
  <si>
    <t>Fran</t>
  </si>
  <si>
    <t>Cond</t>
  </si>
  <si>
    <t>Sum</t>
  </si>
  <si>
    <t>Weight</t>
  </si>
  <si>
    <t>Competitive Set POST CONVESRION:</t>
  </si>
  <si>
    <t>Net Income Before Depreciation</t>
  </si>
  <si>
    <t>Estimated Resale Value</t>
  </si>
  <si>
    <t>Actual</t>
  </si>
  <si>
    <t>Yr 5 Projection</t>
  </si>
  <si>
    <t># of Hotels in Comp Set</t>
  </si>
  <si>
    <t>Photo Representations:</t>
  </si>
  <si>
    <t>Interest Expense (Mortgage)</t>
  </si>
  <si>
    <t>Interest Expense (Subordinated)</t>
  </si>
  <si>
    <t>Subordinated</t>
  </si>
  <si>
    <t>Principal Payments (Mortgage)</t>
  </si>
  <si>
    <t>Principal Payments (Subordinated)</t>
  </si>
  <si>
    <t>% DISTRIBUTABLE CASH</t>
  </si>
  <si>
    <t>NOTES/CONCERNS/OPPORTUNITIES</t>
  </si>
  <si>
    <t>T-12</t>
  </si>
  <si>
    <t>Calculated Capitalization Rate (On List)</t>
  </si>
  <si>
    <t>Calculated Capitalization Rate (On Required Price)</t>
  </si>
  <si>
    <t>Location</t>
  </si>
  <si>
    <t>Correlation</t>
  </si>
  <si>
    <t>Acquisition Fee</t>
  </si>
  <si>
    <t>Guest Rooms</t>
  </si>
  <si>
    <t>Revenue Multiplier Method</t>
  </si>
  <si>
    <t>T-12 Revenue</t>
  </si>
  <si>
    <t>ESTIMATED REPLACEMENT COST</t>
  </si>
  <si>
    <t>ALL IN COST TO REPLACEMENT COST</t>
  </si>
  <si>
    <t>UpREIT</t>
  </si>
  <si>
    <t>Loan to Value/% Equity</t>
  </si>
  <si>
    <t>Preferred Equity  (Pending UpREIT)</t>
  </si>
  <si>
    <t>DCR Trigger</t>
  </si>
  <si>
    <t>MORTAGE DCR</t>
  </si>
  <si>
    <t>Equity Vested</t>
  </si>
  <si>
    <t>Vested Capital</t>
  </si>
  <si>
    <t>Less DownREIT</t>
  </si>
  <si>
    <t>Call Option:</t>
  </si>
  <si>
    <t>Targeted LOF Appreciation</t>
  </si>
  <si>
    <t>Balance to UpREIT Investor</t>
  </si>
  <si>
    <t>Required Call Value</t>
  </si>
  <si>
    <t>Guarantee Fees</t>
  </si>
  <si>
    <t>Guarantee Fee</t>
  </si>
  <si>
    <t>Admin</t>
  </si>
  <si>
    <t>Rooms</t>
  </si>
  <si>
    <t>Sales</t>
  </si>
  <si>
    <t>Mntce</t>
  </si>
  <si>
    <t>Waterpark</t>
  </si>
  <si>
    <t>GM</t>
  </si>
  <si>
    <t>AM</t>
  </si>
  <si>
    <t>FD</t>
  </si>
  <si>
    <t>Exec Hsk</t>
  </si>
  <si>
    <t>Hsk</t>
  </si>
  <si>
    <t>Maintence</t>
  </si>
  <si>
    <t>Breakfast</t>
  </si>
  <si>
    <t>Laundry</t>
  </si>
  <si>
    <t>Night Audit</t>
  </si>
  <si>
    <t>Houseman</t>
  </si>
  <si>
    <t>Bonus</t>
  </si>
  <si>
    <t>Contract</t>
  </si>
  <si>
    <t>% of Total</t>
  </si>
  <si>
    <t>Vacation</t>
  </si>
  <si>
    <t>FICA</t>
  </si>
  <si>
    <t>SUTA</t>
  </si>
  <si>
    <t>FUTA</t>
  </si>
  <si>
    <t>Work Comp</t>
  </si>
  <si>
    <t>Health</t>
  </si>
  <si>
    <t>Grand Total</t>
  </si>
  <si>
    <t xml:space="preserve">Notes - </t>
  </si>
  <si>
    <t>No Accounting Costs</t>
  </si>
  <si>
    <t>No HR Costs</t>
  </si>
  <si>
    <t>Labor Allocations</t>
  </si>
  <si>
    <t>Stated</t>
  </si>
  <si>
    <t>Total Allocated Burdens</t>
  </si>
  <si>
    <t>Stated Labor</t>
  </si>
  <si>
    <t>Debt Coverage Ratio (P&amp;I,R)</t>
  </si>
  <si>
    <t>Debt Coverage Ratio (P&amp;I)</t>
  </si>
  <si>
    <t>Debt Coverage Ratio (I)</t>
  </si>
  <si>
    <t>Sensitivity Results:</t>
  </si>
  <si>
    <t>Break Even Analysis</t>
  </si>
  <si>
    <t>Vraibale Cost</t>
  </si>
  <si>
    <t>Contribution Margin</t>
  </si>
  <si>
    <t>Fixed Costs</t>
  </si>
  <si>
    <t>Computed Break Even</t>
  </si>
  <si>
    <t>BE/T-12 Revenue</t>
  </si>
  <si>
    <t>BE/Yr1 Revenue</t>
  </si>
  <si>
    <t>NOI Sensitivity to return Invested Equity</t>
  </si>
  <si>
    <t>NOI to 1.25 DCR</t>
  </si>
  <si>
    <t>NOI Sensitivity to achieve 1.25 (P&amp;I) DCR</t>
  </si>
  <si>
    <t>Yr 3 Refinance</t>
  </si>
  <si>
    <t>% Returned</t>
  </si>
  <si>
    <t>Estimated Asset Value</t>
  </si>
  <si>
    <t>Estimated Debt Constant</t>
  </si>
  <si>
    <t>Estimated Conduit Loan</t>
  </si>
  <si>
    <t>Returned Capital</t>
  </si>
  <si>
    <t>Projected Liquidity Events</t>
  </si>
  <si>
    <t>Yr 5            Sale</t>
  </si>
  <si>
    <t>Projected</t>
  </si>
  <si>
    <t>BLENDED VALUATION</t>
  </si>
  <si>
    <t>Base Return</t>
  </si>
  <si>
    <t>Rev Base</t>
  </si>
  <si>
    <t>Rev Escalator</t>
  </si>
  <si>
    <t>Pro-Forma Cash Flow Impact</t>
  </si>
  <si>
    <t>TRS Gross
Cash Flow</t>
  </si>
  <si>
    <t>Total Base
Rent</t>
  </si>
  <si>
    <t>TRS Net
Cash Flow</t>
  </si>
  <si>
    <t/>
  </si>
  <si>
    <t>Rent Worksheet</t>
  </si>
  <si>
    <t>ROI Rent</t>
  </si>
  <si>
    <t>Total Project Cost</t>
  </si>
  <si>
    <t>Mortgage Rent</t>
  </si>
  <si>
    <t>TRS Net
Cash Flow (Pre Escalator)</t>
  </si>
  <si>
    <t>Revenue
Escalator to Landlord</t>
  </si>
  <si>
    <t>Less Asset Management Fees &amp; Overhead</t>
  </si>
  <si>
    <t>Mortgage Payment</t>
  </si>
  <si>
    <t>INTEREST ONLY</t>
  </si>
  <si>
    <t>Food &amp; Beverage Revenue</t>
  </si>
  <si>
    <t>Food &amp; Beverage Expense</t>
  </si>
  <si>
    <t>Information &amp; Tele. Systems</t>
  </si>
  <si>
    <t>YEAR 6</t>
  </si>
  <si>
    <t>YEAR 7</t>
  </si>
  <si>
    <t>YEAR 8</t>
  </si>
  <si>
    <t>YEAR 9</t>
  </si>
  <si>
    <t>YEAR 10</t>
  </si>
  <si>
    <t>YEAR 11</t>
  </si>
  <si>
    <t>TERMINAL</t>
  </si>
  <si>
    <t>Year</t>
  </si>
  <si>
    <t>5 YR AVERAGE</t>
  </si>
  <si>
    <t>AVG</t>
  </si>
  <si>
    <t>PIP Contingency</t>
  </si>
  <si>
    <t>Marriott</t>
  </si>
  <si>
    <t>Hilton</t>
  </si>
  <si>
    <t>Crown Plaza</t>
  </si>
  <si>
    <t>Sheraton</t>
  </si>
  <si>
    <t>Homewood</t>
  </si>
  <si>
    <t>Residence Inn</t>
  </si>
  <si>
    <t>Staybridge Suites</t>
  </si>
  <si>
    <t>Candlewood</t>
  </si>
  <si>
    <t>Wingate</t>
  </si>
  <si>
    <t>TownPlace</t>
  </si>
  <si>
    <t>Home2</t>
  </si>
  <si>
    <t>Country Inn</t>
  </si>
  <si>
    <t>Hawthorn Suites</t>
  </si>
  <si>
    <t>Comfort</t>
  </si>
  <si>
    <t>Clarion</t>
  </si>
  <si>
    <t>Quality</t>
  </si>
  <si>
    <t>Cambria</t>
  </si>
  <si>
    <t>Holiday Inn</t>
  </si>
  <si>
    <t>Holiday Express</t>
  </si>
  <si>
    <t>Farirfield</t>
  </si>
  <si>
    <t>Days Inn</t>
  </si>
  <si>
    <t>Baymont</t>
  </si>
  <si>
    <t>Brand</t>
  </si>
  <si>
    <t>Affiliation</t>
  </si>
  <si>
    <t>#</t>
  </si>
  <si>
    <t>Hampton</t>
  </si>
  <si>
    <t>Hyatt Place</t>
  </si>
  <si>
    <t>Element</t>
  </si>
  <si>
    <t>IHG</t>
  </si>
  <si>
    <t>Carlson</t>
  </si>
  <si>
    <t>Radisson</t>
  </si>
  <si>
    <t>Ramada</t>
  </si>
  <si>
    <t>Wyndham</t>
  </si>
  <si>
    <t>Choice</t>
  </si>
  <si>
    <t>Hyatt</t>
  </si>
  <si>
    <t>FRANCHISE STRENGTH:</t>
  </si>
  <si>
    <t>Marriott/Starwwood</t>
  </si>
  <si>
    <t xml:space="preserve">HOST ANALYSIS </t>
  </si>
  <si>
    <t>T12 ANALYSIS</t>
  </si>
  <si>
    <t>LOCATION</t>
  </si>
  <si>
    <t>TIER</t>
  </si>
  <si>
    <t>T12</t>
  </si>
  <si>
    <t>ANALYSIS</t>
  </si>
  <si>
    <t xml:space="preserve">Wyndham </t>
  </si>
  <si>
    <t>SpringHill</t>
  </si>
  <si>
    <t>Open Date</t>
  </si>
  <si>
    <t>Doubletree</t>
  </si>
  <si>
    <t xml:space="preserve">Courtyard </t>
  </si>
  <si>
    <t>La Quinta</t>
  </si>
  <si>
    <t>Population</t>
  </si>
  <si>
    <t>Subject Property</t>
  </si>
  <si>
    <t>Tract</t>
  </si>
  <si>
    <t>Supply</t>
  </si>
  <si>
    <t>Demand</t>
  </si>
  <si>
    <t>Pipeline</t>
  </si>
  <si>
    <t>In Construction</t>
  </si>
  <si>
    <t>Planning</t>
  </si>
  <si>
    <t>Properties</t>
  </si>
  <si>
    <t>Notes:  Below are any comments made to the worksheet that reflect adjustments, assumptions, question found on the P&amp;L</t>
  </si>
  <si>
    <t>Price</t>
  </si>
  <si>
    <t>Best Western Plus</t>
  </si>
  <si>
    <t>Best Western</t>
  </si>
  <si>
    <t>Hilton Garden</t>
  </si>
  <si>
    <t>Four Points by Sherton</t>
  </si>
  <si>
    <t>Comfort Suites</t>
  </si>
  <si>
    <t>RECONCILIATION OF OCCUPANCY GROWTH/DECLINE</t>
  </si>
  <si>
    <t># of Hotels in Comp Set- 2018</t>
  </si>
  <si>
    <t># of Rooms in Comp Set- 2018</t>
  </si>
  <si>
    <t># of Rooms - Subject Hotel</t>
  </si>
  <si>
    <t># of Rooms - Comp Set</t>
  </si>
  <si>
    <t>REVPAR INDEX ANALYSIS:</t>
  </si>
  <si>
    <t>Existing Room Night Demand</t>
  </si>
  <si>
    <t>New Room Night Demand</t>
  </si>
  <si>
    <t>Total Room Night Demand</t>
  </si>
  <si>
    <t>Existing Supply</t>
  </si>
  <si>
    <t>New Supply</t>
  </si>
  <si>
    <t>Base Year Occupancy</t>
  </si>
  <si>
    <t>ALERTS:</t>
  </si>
  <si>
    <t>Sub Market Occupancy:</t>
  </si>
  <si>
    <t>Supply Impacted RevPAR Index:</t>
  </si>
  <si>
    <t>RevPAR Trend:</t>
  </si>
  <si>
    <t>Stabilized RevPAR Index:</t>
  </si>
  <si>
    <t>5 Year Average Cash on Cash &lt;12.75%:</t>
  </si>
  <si>
    <t>ProForma House Profit % to T12:</t>
  </si>
  <si>
    <t>TOTAL USES</t>
  </si>
  <si>
    <t>TOTAL SOURCES</t>
  </si>
  <si>
    <t>Landlord
Net Rents</t>
  </si>
  <si>
    <t>Landlord
Cash Return</t>
  </si>
  <si>
    <t>LOF 5 Yr Average % Cash on Cash Target</t>
  </si>
  <si>
    <t>Change in Demand Generators (Material):</t>
  </si>
  <si>
    <t>Sub Market Demand Change</t>
  </si>
  <si>
    <t>Running 12 Months</t>
  </si>
  <si>
    <t>YTD</t>
  </si>
  <si>
    <t>Running 3 Months</t>
  </si>
  <si>
    <t>1 Month</t>
  </si>
  <si>
    <t>COMP SET REVPAR % CHANGE</t>
  </si>
  <si>
    <t>Summary, key points of interest.</t>
  </si>
  <si>
    <t>Room Count</t>
  </si>
  <si>
    <t>Lease Revenue - Cell Tower</t>
  </si>
  <si>
    <t>Valuation Record (Business Property Taxes)</t>
  </si>
  <si>
    <t>Assessment Year</t>
  </si>
  <si>
    <t>Growth in value</t>
  </si>
  <si>
    <t>Average growth in value</t>
  </si>
  <si>
    <t>Taxable Value</t>
  </si>
  <si>
    <t>Business Property Taxes Due</t>
  </si>
  <si>
    <t>Tax Year</t>
  </si>
  <si>
    <t>Tax Rate</t>
  </si>
  <si>
    <t>Total Taxes Due</t>
  </si>
  <si>
    <t>Growth in Tax Rates</t>
  </si>
  <si>
    <t>Growth in Taxes Due</t>
  </si>
  <si>
    <t>Average Growth in Taxes Due</t>
  </si>
  <si>
    <t>Notes</t>
  </si>
  <si>
    <t>Assessor Info</t>
  </si>
  <si>
    <t>% Change</t>
  </si>
  <si>
    <t>Sleep</t>
  </si>
  <si>
    <t>Assessed Value</t>
  </si>
  <si>
    <t>Change in Value</t>
  </si>
  <si>
    <t>Lodging01</t>
  </si>
  <si>
    <t>Password:</t>
  </si>
  <si>
    <t>2018 paid 2019</t>
  </si>
  <si>
    <t>2017 paid 2018</t>
  </si>
  <si>
    <t>2016 paid 2017</t>
  </si>
  <si>
    <t>2015 paid 2016</t>
  </si>
  <si>
    <t>2014 paid 2015</t>
  </si>
  <si>
    <t>2012 paid 2013</t>
  </si>
  <si>
    <t>2011 paid 2012</t>
  </si>
  <si>
    <t>2019 Paid 2020</t>
  </si>
  <si>
    <t>2020 Paid 2021</t>
  </si>
  <si>
    <t>RRM</t>
  </si>
  <si>
    <t>CONSOLIDATED</t>
  </si>
  <si>
    <t>Asset Management Fees</t>
  </si>
  <si>
    <t>Overhead Costs</t>
  </si>
  <si>
    <t>DIVIDEND COVERAGE RATIO</t>
  </si>
  <si>
    <t>MFFO</t>
  </si>
  <si>
    <t>Lease Payment</t>
  </si>
  <si>
    <t>TRS NET INCOME</t>
  </si>
  <si>
    <t>LEASE ANALYSIS:</t>
  </si>
  <si>
    <t>LANDLORD ENTITY</t>
  </si>
  <si>
    <t>CONSOLIDATED NET CASH FLOW</t>
  </si>
  <si>
    <t>TRS NET OPERATING INCOME</t>
  </si>
  <si>
    <t>CONSOLIDATED % DISTRIBUTABLE CASH</t>
  </si>
  <si>
    <t>Lease Income</t>
  </si>
  <si>
    <t>DIVIDEND COVERAGE &amp; LEASE ANALYSIS</t>
  </si>
  <si>
    <t>Principal Payments on Debt</t>
  </si>
  <si>
    <t>Overall REIT Cash Flow</t>
  </si>
  <si>
    <t>LANDLORD CASH FLOW</t>
  </si>
  <si>
    <t>Interest Expense</t>
  </si>
  <si>
    <t>AVEREAGE CONSOLIDATED % DISTRIBUTABLE CASH</t>
  </si>
  <si>
    <t>Sub Market Direct Impact Estimate:</t>
  </si>
  <si>
    <t>YE 2016</t>
  </si>
  <si>
    <t>Developments</t>
  </si>
  <si>
    <t>Land Market Value</t>
  </si>
  <si>
    <t>Improvements Market Value</t>
  </si>
  <si>
    <t>Total Market Value</t>
  </si>
  <si>
    <t>Average Growth in Tax Rates</t>
  </si>
  <si>
    <t>ADR</t>
  </si>
  <si>
    <t>Index</t>
  </si>
  <si>
    <t>Name</t>
  </si>
  <si>
    <t>YE 2017</t>
  </si>
  <si>
    <t>City, State, Zip</t>
  </si>
  <si>
    <t>Year Built</t>
  </si>
  <si>
    <t>MSA Population</t>
  </si>
  <si>
    <t>Broker</t>
  </si>
  <si>
    <t>SUB MARKET COMP SET SUPPLY GROWTH - 3 MILE RADIUS &amp; LESS</t>
  </si>
  <si>
    <t>T12 2019</t>
  </si>
  <si>
    <t>T12 POST PURCHASE</t>
  </si>
  <si>
    <t>T12 2020</t>
  </si>
  <si>
    <t>T12 2021</t>
  </si>
  <si>
    <t>T12 2022</t>
  </si>
  <si>
    <t>Food &amp; Beverage</t>
  </si>
  <si>
    <t>Seller/Broker Stated PIP</t>
  </si>
  <si>
    <t>Acquisition Costs and Property Improvement Plan</t>
  </si>
  <si>
    <t>Brand Standards</t>
  </si>
  <si>
    <t>Commercial Facilities</t>
  </si>
  <si>
    <t>Guest Suites</t>
  </si>
  <si>
    <t>Administrative Area</t>
  </si>
  <si>
    <t>Back of House</t>
  </si>
  <si>
    <t>Corridors/Elevators/Stairwells</t>
  </si>
  <si>
    <t>Exterior Components</t>
  </si>
  <si>
    <t>Kitchen and Pantry</t>
  </si>
  <si>
    <t>Meeting Area</t>
  </si>
  <si>
    <t>Recreation Areas</t>
  </si>
  <si>
    <t>Bathroom/Vanity</t>
  </si>
  <si>
    <t>Bedroom</t>
  </si>
  <si>
    <t>Kitchen</t>
  </si>
  <si>
    <t>Living Room/Dining</t>
  </si>
  <si>
    <t>PM</t>
  </si>
  <si>
    <t>OH&amp;P</t>
  </si>
  <si>
    <t>Design, Architectural &amp; Engineering</t>
  </si>
  <si>
    <t>Roof</t>
  </si>
  <si>
    <t>Mechanical</t>
  </si>
  <si>
    <t>PTAC</t>
  </si>
  <si>
    <t>Public Area</t>
  </si>
  <si>
    <t>Structural</t>
  </si>
  <si>
    <t>OBSERVED INFRASTRUCTURE (NON PIP)</t>
  </si>
  <si>
    <t>Building Envelope</t>
  </si>
  <si>
    <t>Widows</t>
  </si>
  <si>
    <t>Electrical</t>
  </si>
  <si>
    <t>Systems</t>
  </si>
  <si>
    <t>Conservation</t>
  </si>
  <si>
    <t>Technology</t>
  </si>
  <si>
    <t>HSIA</t>
  </si>
  <si>
    <t>Leasing Commissions</t>
  </si>
  <si>
    <t>Tenant Improvement Allowance</t>
  </si>
  <si>
    <t>Renovation Holding Costs</t>
  </si>
  <si>
    <t>Recruiting</t>
  </si>
  <si>
    <t>Lease</t>
  </si>
  <si>
    <t>Building Costs</t>
  </si>
  <si>
    <t>Payroll</t>
  </si>
  <si>
    <t>Total Observed Infrastructure</t>
  </si>
  <si>
    <t>Total Internally Estimated PIP</t>
  </si>
  <si>
    <t>INTERNALLY ESTIMATED PIP</t>
  </si>
  <si>
    <t>Hard Costs</t>
  </si>
  <si>
    <t xml:space="preserve">Total Hard Costs </t>
  </si>
  <si>
    <t>Professional, Title &amp; Closing Costs</t>
  </si>
  <si>
    <t>Parking Lot</t>
  </si>
  <si>
    <t>721 Contribution</t>
  </si>
  <si>
    <t>Deferred Costs</t>
  </si>
  <si>
    <t>Less PIP Costs</t>
  </si>
  <si>
    <t>Value by All In Cap Rate Method</t>
  </si>
  <si>
    <t>All In Cap Rate Method</t>
  </si>
  <si>
    <t>Revenue Multiplier Valuation</t>
  </si>
  <si>
    <t>Discounted Cash Flow Model (See DCFA)</t>
  </si>
  <si>
    <t>Cash Equity Investment</t>
  </si>
  <si>
    <t>UpREIT Equity Investment</t>
  </si>
  <si>
    <t>AVERAGE MFFO DIVIDEND COVERAGE</t>
  </si>
  <si>
    <t>ANNUAL CONSOLIDATED CASH FLOW DIVIDEND COVERAGE</t>
  </si>
  <si>
    <t>AVERAGE CONSOLIDATED CASH FLOW DIVIDEND COVERAGE</t>
  </si>
  <si>
    <t>VALUE OF CASH FLOW</t>
  </si>
  <si>
    <t>LESS ACQUISITION &amp; PIP COSTS</t>
  </si>
  <si>
    <t>Hotel Data Entry</t>
  </si>
  <si>
    <t>Max Capacity Banquet Seating</t>
  </si>
  <si>
    <t>Max Capacity Meeting Seating</t>
  </si>
  <si>
    <t>Public Areas</t>
  </si>
  <si>
    <t>$ Cost</t>
  </si>
  <si>
    <t>Realtor</t>
  </si>
  <si>
    <t>Broker/Off-Mkt/Pocket</t>
  </si>
  <si>
    <t>Date Listed</t>
  </si>
  <si>
    <t>Call for Offers Date</t>
  </si>
  <si>
    <t>Distance to Interstate 1</t>
  </si>
  <si>
    <t>Distance to Interstate 2</t>
  </si>
  <si>
    <t>Distance to Interstate 3</t>
  </si>
  <si>
    <t>Higher Education 1</t>
  </si>
  <si>
    <t>Higher Education 2</t>
  </si>
  <si>
    <t>Distance to Corporate Office Cluster 1</t>
  </si>
  <si>
    <t>Distance to Corporate Office Cluster 2</t>
  </si>
  <si>
    <t>Distance to Major Medical 1</t>
  </si>
  <si>
    <t>Distance to Corporate Office Cluster 3</t>
  </si>
  <si>
    <t>Distance to Major Medical 2</t>
  </si>
  <si>
    <t>Distance to Major Medical 3</t>
  </si>
  <si>
    <t>City Population</t>
  </si>
  <si>
    <t>Students</t>
  </si>
  <si>
    <t>Beds</t>
  </si>
  <si>
    <t>Sq. Ft.</t>
  </si>
  <si>
    <t>Seasons</t>
  </si>
  <si>
    <t>T12 RevPAR Index</t>
  </si>
  <si>
    <t>T12 RevPAR</t>
  </si>
  <si>
    <t>Seller/Broker Stated Required $ PIP</t>
  </si>
  <si>
    <t>T12 Revenue</t>
  </si>
  <si>
    <t>T12 NOI %</t>
  </si>
  <si>
    <t>T12 NOI (After Management and Reserves)</t>
  </si>
  <si>
    <t>Distance (Miles)</t>
  </si>
  <si>
    <t>City &amp; Demand Generator Information</t>
  </si>
  <si>
    <t>Other:</t>
  </si>
  <si>
    <t>Relevance</t>
  </si>
  <si>
    <t>2016 NOI (After Management and Reserves)</t>
  </si>
  <si>
    <t>2016 T12 NOI %</t>
  </si>
  <si>
    <t>2016 Revenue</t>
  </si>
  <si>
    <t>New Supply &gt;80 Rooms/Best Brand - last 12 months (Y or N)</t>
  </si>
  <si>
    <t>New Supply  &gt;80 Rooms/Best Brand - next 24 months (Y or N)</t>
  </si>
  <si>
    <t>Comp Set &amp; Tract Growth/Decline</t>
  </si>
  <si>
    <t>T3</t>
  </si>
  <si>
    <t>% RevPAR Change</t>
  </si>
  <si>
    <t>Change in Revenue - T12 vs 2016</t>
  </si>
  <si>
    <t>Change in NOI - T12 vs 2016</t>
  </si>
  <si>
    <t>Management Company</t>
  </si>
  <si>
    <t>List Price</t>
  </si>
  <si>
    <t>Broker Expectation</t>
  </si>
  <si>
    <t>List Price Cap Rate</t>
  </si>
  <si>
    <t>List Price + Improvements Cap Rate (All-In)</t>
  </si>
  <si>
    <t>Base Cap Rate</t>
  </si>
  <si>
    <t>Age</t>
  </si>
  <si>
    <t>1-5</t>
  </si>
  <si>
    <t>6-10</t>
  </si>
  <si>
    <t>11-15</t>
  </si>
  <si>
    <t>&gt;15</t>
  </si>
  <si>
    <t># of Rooms</t>
  </si>
  <si>
    <t>Distance to Central Business District</t>
  </si>
  <si>
    <t>100K-300K</t>
  </si>
  <si>
    <t>300K-750K</t>
  </si>
  <si>
    <t>750K-1.5MM</t>
  </si>
  <si>
    <t>&gt;1.5MM</t>
  </si>
  <si>
    <t>Criteria</t>
  </si>
  <si>
    <t>Data</t>
  </si>
  <si>
    <t>10+</t>
  </si>
  <si>
    <t>6-9</t>
  </si>
  <si>
    <t>3-5</t>
  </si>
  <si>
    <t>0-2</t>
  </si>
  <si>
    <t>&lt;80</t>
  </si>
  <si>
    <t>81-100</t>
  </si>
  <si>
    <t>101-150</t>
  </si>
  <si>
    <t>&gt;150</t>
  </si>
  <si>
    <t>MSA</t>
  </si>
  <si>
    <t>Distance to CBD</t>
  </si>
  <si>
    <t>Resultant</t>
  </si>
  <si>
    <t>Impact</t>
  </si>
  <si>
    <t>Base</t>
  </si>
  <si>
    <t>Resulting Cap</t>
  </si>
  <si>
    <t>Less PIP</t>
  </si>
  <si>
    <t>Offer Price</t>
  </si>
  <si>
    <t>See Stipulations</t>
  </si>
  <si>
    <t>Comp Set Year over Year Growth</t>
  </si>
  <si>
    <t>Subject Year over Year Growth</t>
  </si>
  <si>
    <t>YE 2015</t>
  </si>
  <si>
    <t>YE 2014</t>
  </si>
  <si>
    <t xml:space="preserve"> 3 YR AVG</t>
  </si>
  <si>
    <t>Pro Forma Revenue to House Profit %</t>
  </si>
  <si>
    <t>List Price + Improvements Cap Rate + Closing Costs (Loaded)</t>
  </si>
  <si>
    <t>ValueLOCK</t>
  </si>
  <si>
    <t>2. No Supply Growth</t>
  </si>
  <si>
    <t>3. No material change in financial performance</t>
  </si>
  <si>
    <t>Model Prepared by</t>
  </si>
  <si>
    <t>Date Completed</t>
  </si>
  <si>
    <t>Overall</t>
  </si>
  <si>
    <t>T1</t>
  </si>
  <si>
    <t>Tier/Segment</t>
  </si>
  <si>
    <t>Future Use</t>
  </si>
  <si>
    <t>1Yr</t>
  </si>
  <si>
    <t>3Yr</t>
  </si>
  <si>
    <t>PIP Area</t>
  </si>
  <si>
    <t>PIP Cost</t>
  </si>
  <si>
    <t>2Yr</t>
  </si>
  <si>
    <t>PIP Schedule:</t>
  </si>
  <si>
    <t>Narrative on openings/PIP Etc</t>
  </si>
  <si>
    <t>Hotel Name</t>
  </si>
  <si>
    <t>% of Purchase Price</t>
  </si>
  <si>
    <t>Board Summary Analysis, Strictly Confidential</t>
  </si>
  <si>
    <t>T12 NOI</t>
  </si>
  <si>
    <t>Estimated Financing Terms</t>
  </si>
  <si>
    <t>List Cap Rate</t>
  </si>
  <si>
    <t>Proposed Price Cap Rate</t>
  </si>
  <si>
    <t>All In</t>
  </si>
  <si>
    <t>PIP Greater than 10% of Purchase Price in last 18 Months  (Y or N)</t>
  </si>
  <si>
    <t>PIP Greater than 10% of Purchase Price Required  (Y or N)</t>
  </si>
  <si>
    <t>2017/2018 Total</t>
  </si>
  <si>
    <t>Yr4</t>
  </si>
  <si>
    <t>PIP &amp; Franchise Information</t>
  </si>
  <si>
    <t>Franchise Term Remaining (Years)</t>
  </si>
  <si>
    <t>New Franchise Term (Years)</t>
  </si>
  <si>
    <t>Total PIP Cost</t>
  </si>
  <si>
    <t>Four Year Projected PIP Scope and Cost:</t>
  </si>
  <si>
    <t>Demand Generators Under Construction/Pending</t>
  </si>
  <si>
    <t>Definitive/Planned</t>
  </si>
  <si>
    <t>POST PROPERTY IMPROVEMENT PLAN</t>
  </si>
  <si>
    <t>CURRENT - AS IS</t>
  </si>
  <si>
    <t>Current</t>
  </si>
  <si>
    <t>Change in Comp Set Occupancy</t>
  </si>
  <si>
    <t xml:space="preserve">INDEX IMPACT OF SUB MARKET SUPPLY GROWTH (3 MILES &amp; LESS) </t>
  </si>
  <si>
    <t>Year over Year Growth</t>
  </si>
  <si>
    <t>Total Rooms in Comp Set</t>
  </si>
  <si>
    <t>Total Year End Supply</t>
  </si>
  <si>
    <t>Loaded</t>
  </si>
  <si>
    <t>Calculated Capitalization at Year 2</t>
  </si>
  <si>
    <t>Max Capacity Breakfast/Lounge Seating</t>
  </si>
  <si>
    <t>Distance to Leisure Demand Generator 1</t>
  </si>
  <si>
    <t>Distance to Leisure Demand Generator 2</t>
  </si>
  <si>
    <t>Distance to Leisure Demand Generator 3</t>
  </si>
  <si>
    <t>FastTrack</t>
  </si>
  <si>
    <t>Cap Rate Indicator:</t>
  </si>
  <si>
    <t>Indication of Offer:</t>
  </si>
  <si>
    <t>Base Rent</t>
  </si>
  <si>
    <t>Value Lock Premium</t>
  </si>
  <si>
    <t>T12 POST PURCHASE ILLUSTRATION</t>
  </si>
  <si>
    <t>LOF All In Cost</t>
  </si>
  <si>
    <t>Initial Franchise Fee</t>
  </si>
  <si>
    <t>4. No Infrastructure Costs</t>
  </si>
  <si>
    <t>1. PIP as stated (includes Initial Franchise Fee)</t>
  </si>
  <si>
    <t>Applicable Cap Rate</t>
  </si>
  <si>
    <t>Agreed to Purchase Price</t>
  </si>
  <si>
    <t>Total Purchase Price + ValueLock Premium</t>
  </si>
  <si>
    <t>Indicated Base Cap Rate</t>
  </si>
  <si>
    <t>LOF All In Cap Rate</t>
  </si>
  <si>
    <t>Less PIP (to be completed within 48 months)</t>
  </si>
  <si>
    <t>Sellers Anticipated NOI</t>
  </si>
  <si>
    <t>INDICATORS FOR FULL MODEL</t>
  </si>
  <si>
    <t>Guest Facilities Area</t>
  </si>
  <si>
    <t>Exterior Façade</t>
  </si>
  <si>
    <t>Loan Fees</t>
  </si>
  <si>
    <t>Cap Rate Quotient</t>
  </si>
  <si>
    <t>$ Required to LOF Proceeds to Meet Targeted Appreciation</t>
  </si>
  <si>
    <t>AVERAGE CONSOLIDATED % DISTRIBUTABLE CASH</t>
  </si>
  <si>
    <r>
      <t xml:space="preserve">One Line </t>
    </r>
    <r>
      <rPr>
        <b/>
        <sz val="11"/>
        <color indexed="8"/>
        <rFont val="Calibri"/>
        <family val="2"/>
      </rPr>
      <t>INTERNAL</t>
    </r>
    <r>
      <rPr>
        <sz val="11"/>
        <color theme="1"/>
        <rFont val="Calibri"/>
        <family val="2"/>
        <scheme val="minor"/>
      </rPr>
      <t xml:space="preserve"> Estimate of PIP</t>
    </r>
  </si>
  <si>
    <r>
      <t xml:space="preserve">One Line </t>
    </r>
    <r>
      <rPr>
        <b/>
        <sz val="11"/>
        <color indexed="8"/>
        <rFont val="Calibri"/>
        <family val="2"/>
      </rPr>
      <t>BROKER</t>
    </r>
    <r>
      <rPr>
        <sz val="11"/>
        <color theme="1"/>
        <rFont val="Calibri"/>
        <family val="2"/>
        <scheme val="minor"/>
      </rPr>
      <t xml:space="preserve"> Estimate of PIP</t>
    </r>
  </si>
  <si>
    <t>Direct Impact (%)</t>
  </si>
  <si>
    <t>Seller Opening Profit</t>
  </si>
  <si>
    <t>Inferred All In Cap Rate based on initial T12</t>
  </si>
  <si>
    <t>Target is 8.25%</t>
  </si>
  <si>
    <t>---&gt;</t>
  </si>
  <si>
    <t>Property Specific Notes</t>
  </si>
  <si>
    <t>Previously Opened Hotels</t>
  </si>
  <si>
    <t>All Existing Hotels</t>
  </si>
  <si>
    <t>Questions for Broker</t>
  </si>
  <si>
    <t>New Supply Map</t>
  </si>
  <si>
    <t>Distance (miles/Direction)</t>
  </si>
  <si>
    <t>6 MONTH I/O</t>
  </si>
  <si>
    <t>Development Name</t>
  </si>
  <si>
    <t>Distance from Hotel</t>
  </si>
  <si>
    <t>Estimated Completion Date</t>
  </si>
  <si>
    <t>Opening Date</t>
  </si>
  <si>
    <t>Status</t>
  </si>
  <si>
    <t>Article Link</t>
  </si>
  <si>
    <t>Market Notes</t>
  </si>
  <si>
    <t>Calculated Capitalization at Year 3</t>
  </si>
  <si>
    <t>T12 2023</t>
  </si>
  <si>
    <t>Indicative RevPAR Index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</si>
  <si>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</si>
  <si>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</si>
  <si>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</si>
  <si>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</si>
  <si>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</si>
  <si>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</si>
  <si>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</si>
  <si>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</si>
  <si>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</si>
  <si>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</si>
  <si>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</si>
  <si>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</si>
  <si>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Anticipated Closing Date</t>
  </si>
  <si>
    <t>Purchase Price</t>
  </si>
  <si>
    <t>Loaded Cost</t>
  </si>
  <si>
    <t>Rate</t>
  </si>
  <si>
    <t>Payment</t>
  </si>
  <si>
    <t>Origination Fee</t>
  </si>
  <si>
    <t>Anticipated Loan Amount</t>
  </si>
  <si>
    <t>Current Index Rate</t>
  </si>
  <si>
    <t>Spread</t>
  </si>
  <si>
    <t>Estimated Interest Rate</t>
  </si>
  <si>
    <t>Guarantor</t>
  </si>
  <si>
    <t>Evaluation</t>
  </si>
  <si>
    <t>3 Year Debt Cost</t>
  </si>
  <si>
    <t>5 Year Debt Cost</t>
  </si>
  <si>
    <t>Extension</t>
  </si>
  <si>
    <t>Extension Term(s)</t>
  </si>
  <si>
    <t>Duration</t>
  </si>
  <si>
    <t>Leased Plant &amp; Equipment</t>
  </si>
  <si>
    <t>2010 paid 2011</t>
  </si>
  <si>
    <t>2013 paid 2014</t>
  </si>
  <si>
    <t>Loan Type</t>
  </si>
  <si>
    <t>Fixed</t>
  </si>
  <si>
    <t>Loan Basis</t>
  </si>
  <si>
    <t>Loan to Loaded Cost</t>
  </si>
  <si>
    <t>Index Term</t>
  </si>
  <si>
    <t>Amortization Period</t>
  </si>
  <si>
    <t>Interest-only Period</t>
  </si>
  <si>
    <t>Years</t>
  </si>
  <si>
    <t>Months</t>
  </si>
  <si>
    <t>Number &amp; Years</t>
  </si>
  <si>
    <t>Basis Points</t>
  </si>
  <si>
    <t>Rate Curve</t>
  </si>
  <si>
    <t>Terms and Conditions</t>
  </si>
  <si>
    <t>Financial Reporting</t>
  </si>
  <si>
    <t>DSCR Covenant</t>
  </si>
  <si>
    <t>:1</t>
  </si>
  <si>
    <t>Debt Yield Covenant</t>
  </si>
  <si>
    <t>Additional Covenant 1</t>
  </si>
  <si>
    <t>Additional Covenant 2</t>
  </si>
  <si>
    <t>Additional Covenant 3</t>
  </si>
  <si>
    <t>Borrower</t>
  </si>
  <si>
    <t>Prepayment on Sale</t>
  </si>
  <si>
    <t>Prepayment Year 1</t>
  </si>
  <si>
    <t>Prepayment Year 2</t>
  </si>
  <si>
    <t>Prepayment Year 3</t>
  </si>
  <si>
    <t>Prepayment Year 4</t>
  </si>
  <si>
    <t>Prepayment Year 5</t>
  </si>
  <si>
    <t>RfR Year 1</t>
  </si>
  <si>
    <t>RfR Year 2</t>
  </si>
  <si>
    <t>RfR Year 3</t>
  </si>
  <si>
    <t>RfR Year 4</t>
  </si>
  <si>
    <t>RfR Year 5</t>
  </si>
  <si>
    <t>Additional Est. Closing Costs</t>
  </si>
  <si>
    <t>Wells Fargo</t>
  </si>
  <si>
    <t>Variable Option 1</t>
  </si>
  <si>
    <t>Variable Option 2</t>
  </si>
  <si>
    <t>Proposal Information</t>
  </si>
  <si>
    <t>Phone</t>
  </si>
  <si>
    <t>Email</t>
  </si>
  <si>
    <t>Lead Lender Contact Name</t>
  </si>
  <si>
    <t>Date Proposal Received</t>
  </si>
  <si>
    <t>Expiration Date</t>
  </si>
  <si>
    <t>No</t>
  </si>
  <si>
    <t>Model Assumptions</t>
  </si>
  <si>
    <t>Fixed Rate</t>
  </si>
  <si>
    <t>Equity Required</t>
  </si>
  <si>
    <t>LEGENDARY CAPITAL LOAN EVALUATION</t>
  </si>
  <si>
    <t>Fund Name</t>
  </si>
  <si>
    <t>Three Year PIP History</t>
  </si>
  <si>
    <t>v12.7</t>
  </si>
  <si>
    <t>Additional Conditions 1</t>
  </si>
  <si>
    <t>Additional Conditions 2</t>
  </si>
  <si>
    <t>Additional Conditions 3</t>
  </si>
  <si>
    <t>Added Pre-payment terms</t>
  </si>
  <si>
    <t>PSA Contract Date</t>
  </si>
  <si>
    <t>LOI and Purchase/Sale Agreemennt (PSA) Information</t>
  </si>
  <si>
    <t>Property Information</t>
  </si>
  <si>
    <t>Pricing Information</t>
  </si>
  <si>
    <t>Seller Information</t>
  </si>
  <si>
    <t>Signed PSA Date</t>
  </si>
  <si>
    <t>PSA Closing Date</t>
  </si>
  <si>
    <t>Lender Matrix Prepared by</t>
  </si>
  <si>
    <t>All-in Cost</t>
  </si>
  <si>
    <t>Loan Information</t>
  </si>
  <si>
    <t>Fed Funds Upper Bound</t>
  </si>
  <si>
    <t>30 Day LIBOR</t>
  </si>
  <si>
    <t>5Y Swap Rate</t>
  </si>
  <si>
    <t>30L5S Spread</t>
  </si>
  <si>
    <t>Est. Loan Rate</t>
  </si>
  <si>
    <t>Date</t>
  </si>
  <si>
    <t>Period</t>
  </si>
  <si>
    <t>Principal</t>
  </si>
  <si>
    <t>Interest</t>
  </si>
  <si>
    <t>RemPrin</t>
  </si>
  <si>
    <t>Ionly</t>
  </si>
  <si>
    <t>FLHB</t>
  </si>
  <si>
    <t>Key</t>
  </si>
  <si>
    <t>Lookup</t>
  </si>
  <si>
    <t>30 Day Libor</t>
  </si>
  <si>
    <t>Reserved</t>
  </si>
  <si>
    <t>Rate Key</t>
  </si>
  <si>
    <t>BegPrinc</t>
  </si>
  <si>
    <t>Max Loan Amount</t>
  </si>
  <si>
    <t>Interest Key</t>
  </si>
  <si>
    <t>I-Only Period</t>
  </si>
  <si>
    <t>Amortization Table 1F -- Use for Fixed Rates</t>
  </si>
  <si>
    <t>Amortization Table 1V - Use for Variable Rates</t>
  </si>
  <si>
    <t>RemPrinc</t>
  </si>
  <si>
    <t>Totals:</t>
  </si>
  <si>
    <t>Variable Rate Index Lookup Table</t>
  </si>
  <si>
    <t>5 Year</t>
  </si>
  <si>
    <t>6 Month Debt Cost</t>
  </si>
  <si>
    <t>1 Year Debt Cost</t>
  </si>
  <si>
    <t>Amortization Table 2F -- Use for Fixed Rates</t>
  </si>
  <si>
    <t>Amortization Table 2V - Use for Variable Rates</t>
  </si>
  <si>
    <t>Amortization Table 3F -- Use for Fixed Rates</t>
  </si>
  <si>
    <t>Amortization Table 3V - Use for Variable Rates</t>
  </si>
  <si>
    <t>Amortization Table 4F -- Use for Fixed Rates</t>
  </si>
  <si>
    <t>Amortization Table 4V - Use for Variable Rates</t>
  </si>
  <si>
    <t>Amortization Table 5F -- Use for Fixed Rates</t>
  </si>
  <si>
    <t>Amortization Table 6F -- Use for Fixed Rates</t>
  </si>
  <si>
    <t>Amortization Table 5V - Use for Variable Rates</t>
  </si>
  <si>
    <t>Amortization Table 6V - Use for Variable Rates</t>
  </si>
  <si>
    <t>Debt Cost</t>
  </si>
  <si>
    <t>1 Year</t>
  </si>
  <si>
    <t>3 Year</t>
  </si>
  <si>
    <t>Calculation Constants</t>
  </si>
  <si>
    <t>Share Equity</t>
  </si>
  <si>
    <t>Net After Distributions</t>
  </si>
  <si>
    <t>Dist. Rate</t>
  </si>
  <si>
    <t>Net Financials</t>
  </si>
  <si>
    <t>Cash+Equity</t>
  </si>
  <si>
    <t>Cash</t>
  </si>
  <si>
    <t>DCR</t>
  </si>
  <si>
    <t>Orig+Int</t>
  </si>
  <si>
    <t>Orig+TotPayments</t>
  </si>
  <si>
    <t>Variance from Model</t>
  </si>
  <si>
    <t>Ann. Dist.</t>
  </si>
  <si>
    <t>Insert rows above here</t>
  </si>
  <si>
    <t>Financing Matrix</t>
  </si>
  <si>
    <t>Forward Rate Analysis</t>
  </si>
  <si>
    <t>Paste updates in from RatesForcast Tool</t>
  </si>
  <si>
    <t>Legendary Capital Acquisition Model</t>
  </si>
  <si>
    <t>Versioning</t>
  </si>
  <si>
    <t>V12.7</t>
  </si>
  <si>
    <t>Version</t>
  </si>
  <si>
    <t>Release
Date</t>
  </si>
  <si>
    <t>Item</t>
  </si>
  <si>
    <t>ChangeLog</t>
  </si>
  <si>
    <t>Added Finance Matrix</t>
  </si>
  <si>
    <t>Added Financing Constants</t>
  </si>
  <si>
    <t>Added Loan Information section to "Data Entry" worksheet</t>
  </si>
  <si>
    <t>Froze Panes in various worksheets</t>
  </si>
  <si>
    <t>Linked all A1 cells (Fund Name) to "Data Entry" worksheet</t>
  </si>
  <si>
    <t>Added this Version Control Section</t>
  </si>
  <si>
    <t>V12.8</t>
  </si>
  <si>
    <t>Instructions &amp; Notes</t>
  </si>
  <si>
    <t>1. Fill in light blue cells</t>
  </si>
  <si>
    <t>2. Green Cells Calculate</t>
  </si>
  <si>
    <t>4. If using any variable rate index other than 30 day LIBOR contact Norm, Corey or Don to add forward index values and update the Lookup Table</t>
  </si>
  <si>
    <t>3. Make Anticipated Loan Amounts (unless at a lower LTV) the same so we can compare on the same basis; if the allowable maximum loan is higher enter that number in "Max Loan Amount"; note: Max Loan Amount is not used in calculaitons</t>
  </si>
  <si>
    <t>Appraisal</t>
  </si>
  <si>
    <t>BBT</t>
  </si>
  <si>
    <t>plus 1st year interest</t>
  </si>
  <si>
    <t>*wavied last 3 months</t>
  </si>
  <si>
    <t>FIB</t>
  </si>
  <si>
    <t>Fixed Option 1</t>
  </si>
  <si>
    <t>First half of loan</t>
  </si>
  <si>
    <t>Thereafter</t>
  </si>
  <si>
    <t>Est. Year 1 Debt Service</t>
  </si>
  <si>
    <t>Interest+Equity</t>
  </si>
  <si>
    <t>Return on Equity</t>
  </si>
  <si>
    <t>As Is</t>
  </si>
  <si>
    <t>As Stabilized</t>
  </si>
  <si>
    <t>Actual Cost</t>
  </si>
  <si>
    <t>Note: build an if/then/if to calculate max loan amount when we get more data from lenders</t>
  </si>
  <si>
    <t>Note: If Variable Rate (row 36) this needs to correspond to an entry in the table at T167 below or else you will get a REF error</t>
  </si>
  <si>
    <t>Note: Change this as new indexes present themselves</t>
  </si>
  <si>
    <t>Note: Change dropdown list as needed</t>
  </si>
  <si>
    <t>Added RoE section to the comparison table</t>
  </si>
  <si>
    <t>Property Summary Data Sheet</t>
  </si>
  <si>
    <t>Green cells are calculated values, do not overwrite</t>
  </si>
  <si>
    <t>Hotel Brand</t>
  </si>
  <si>
    <t>Operating Statistics</t>
  </si>
  <si>
    <t xml:space="preserve">  Occupancy</t>
  </si>
  <si>
    <t>Address</t>
  </si>
  <si>
    <t xml:space="preserve">  ADR</t>
  </si>
  <si>
    <t>Purchase Date</t>
  </si>
  <si>
    <t xml:space="preserve">  RevPAR</t>
  </si>
  <si>
    <t>Year Opened</t>
  </si>
  <si>
    <t>STR Report Date:</t>
  </si>
  <si>
    <t>Property Type</t>
  </si>
  <si>
    <t>Number of Rooms</t>
  </si>
  <si>
    <t>Financial Performance</t>
  </si>
  <si>
    <t xml:space="preserve">T12 </t>
  </si>
  <si>
    <t>Deal Type</t>
  </si>
  <si>
    <t xml:space="preserve">  Revenue</t>
  </si>
  <si>
    <t>Fund Diversification</t>
  </si>
  <si>
    <t xml:space="preserve">    Departmental Expense</t>
  </si>
  <si>
    <t>Repositioning</t>
  </si>
  <si>
    <t xml:space="preserve">    Unallocated Expense</t>
  </si>
  <si>
    <t>T12 Data:</t>
  </si>
  <si>
    <t xml:space="preserve">  Legal Entity</t>
  </si>
  <si>
    <t xml:space="preserve">  State and Type</t>
  </si>
  <si>
    <t>Deal Points for Narrative</t>
  </si>
  <si>
    <t xml:space="preserve">  Address</t>
  </si>
  <si>
    <t>Price Paid</t>
  </si>
  <si>
    <t xml:space="preserve">  Asking Price</t>
  </si>
  <si>
    <t xml:space="preserve">  Negotiated</t>
  </si>
  <si>
    <t xml:space="preserve">  Seller Credits</t>
  </si>
  <si>
    <t>Post Acquisition</t>
  </si>
  <si>
    <t xml:space="preserve">  Property Improvements</t>
  </si>
  <si>
    <t>Post Renovation</t>
  </si>
  <si>
    <t>Replacement Value</t>
  </si>
  <si>
    <t>Equity Invested</t>
  </si>
  <si>
    <t xml:space="preserve">  As is</t>
  </si>
  <si>
    <t xml:space="preserve">  As Stabilized</t>
  </si>
  <si>
    <t xml:space="preserve">  Performed by</t>
  </si>
  <si>
    <t>Loan</t>
  </si>
  <si>
    <t xml:space="preserve">  Lender</t>
  </si>
  <si>
    <t xml:space="preserve">  Approved Loan Amount</t>
  </si>
  <si>
    <t xml:space="preserve">  Initial Loan Draw</t>
  </si>
  <si>
    <t xml:space="preserve">  Initial Loan to Value Ratio</t>
  </si>
  <si>
    <t xml:space="preserve">  Interest only period</t>
  </si>
  <si>
    <t xml:space="preserve">  Term</t>
  </si>
  <si>
    <t xml:space="preserve">  Prepayment Penalty</t>
  </si>
  <si>
    <t xml:space="preserve">  Maturity Date</t>
  </si>
  <si>
    <t xml:space="preserve">  Renewal Option</t>
  </si>
  <si>
    <t xml:space="preserve">  Amortization</t>
  </si>
  <si>
    <t xml:space="preserve">  Initial</t>
  </si>
  <si>
    <t xml:space="preserve">  Post Close</t>
  </si>
  <si>
    <t xml:space="preserve">  Post Renovation</t>
  </si>
  <si>
    <t>Market</t>
  </si>
  <si>
    <t xml:space="preserve">  Population (MSA)</t>
  </si>
  <si>
    <t xml:space="preserve">  Year Recorded</t>
  </si>
  <si>
    <t>Unemployment Rate</t>
  </si>
  <si>
    <t>Demand Generators (Top 5)</t>
  </si>
  <si>
    <t>Upper Tier Full Service</t>
  </si>
  <si>
    <t>Modified Full Service</t>
  </si>
  <si>
    <t>Limited Service</t>
  </si>
  <si>
    <t>Select Service</t>
  </si>
  <si>
    <t>Other (explain)</t>
  </si>
  <si>
    <t>Purchase</t>
  </si>
  <si>
    <t>DownREIT</t>
  </si>
  <si>
    <t>TIC Interest</t>
  </si>
  <si>
    <t>Stabilized</t>
  </si>
  <si>
    <t>Refresh</t>
  </si>
  <si>
    <t>Value</t>
  </si>
  <si>
    <t>Minimal Required</t>
  </si>
  <si>
    <t>Remodel</t>
  </si>
  <si>
    <t>Rebrand</t>
  </si>
  <si>
    <t xml:space="preserve">  Other - Initial Franchise Fee</t>
  </si>
  <si>
    <t>Brendan</t>
  </si>
  <si>
    <t>LF III</t>
  </si>
  <si>
    <t>Occupancy (%)</t>
  </si>
  <si>
    <t>Year To Date</t>
  </si>
  <si>
    <t>Running 3 Month</t>
  </si>
  <si>
    <t>Running 12 Month</t>
  </si>
  <si>
    <t>My Property</t>
  </si>
  <si>
    <t>Competitive Set</t>
  </si>
  <si>
    <t>Index (MPI)</t>
  </si>
  <si>
    <t>Rank</t>
  </si>
  <si>
    <t>2 of 5</t>
  </si>
  <si>
    <t>3 of 5</t>
  </si>
  <si>
    <t>1 of 5</t>
  </si>
  <si>
    <t>4 of 4</t>
  </si>
  <si>
    <t>4 of 5</t>
  </si>
  <si>
    <t xml:space="preserve">     % Chg</t>
  </si>
  <si>
    <t>1 of 4</t>
  </si>
  <si>
    <t>Index (ARI)</t>
  </si>
  <si>
    <t>2 of 4</t>
  </si>
  <si>
    <t>5 of 5</t>
  </si>
  <si>
    <t>3 of 4</t>
  </si>
  <si>
    <t>Index (RGI)</t>
  </si>
  <si>
    <t>Tab 3 - STAR Summary - My Property vs. Comp Set and Industry Segments</t>
  </si>
  <si>
    <t>STR # 65424        ChainID: 000047510        MgtCo: None        Owner: None</t>
  </si>
  <si>
    <t>Current Month</t>
  </si>
  <si>
    <t>% Chg</t>
  </si>
  <si>
    <t>Year to Date</t>
  </si>
  <si>
    <t>Month % Chg</t>
  </si>
  <si>
    <t>YTD % Chg</t>
  </si>
  <si>
    <t>Run 3 Mon % Chg</t>
  </si>
  <si>
    <t>Run 12 Mon % Chg</t>
  </si>
  <si>
    <t>Hampton Inn &amp; Suites Wichita Airport</t>
  </si>
  <si>
    <t>Market: Kansas</t>
  </si>
  <si>
    <t>Market Class: Upper Midscale Class</t>
  </si>
  <si>
    <t>Submarket: Wichita, KS</t>
  </si>
  <si>
    <t>Submarket Scale: Midscale Chains</t>
  </si>
  <si>
    <t>Competitive Set: Competitors</t>
  </si>
  <si>
    <t>Census/Sample - Properties &amp; Rooms</t>
  </si>
  <si>
    <t xml:space="preserve">Pipeline </t>
  </si>
  <si>
    <t>Census</t>
  </si>
  <si>
    <t>Sample</t>
  </si>
  <si>
    <t>Sample %</t>
  </si>
  <si>
    <t>Under Construction</t>
  </si>
  <si>
    <t>See Help page for pipeline definitions.</t>
  </si>
  <si>
    <t>My Prop</t>
  </si>
  <si>
    <t>Wichita, KS 67209</t>
  </si>
  <si>
    <t>N</t>
  </si>
  <si>
    <t>CMBS</t>
  </si>
  <si>
    <t>Michael Yu</t>
  </si>
  <si>
    <t>CBRE</t>
  </si>
  <si>
    <t>Koch Industries</t>
  </si>
  <si>
    <t>Koch Industries is located here and employs over 3,000 locally and 120,000 worldwide</t>
  </si>
  <si>
    <t>Cargill</t>
  </si>
  <si>
    <t>6 miles E</t>
  </si>
  <si>
    <t>Fall 2018</t>
  </si>
  <si>
    <t>https://www.cargill.com/page/cargill-protein-hq</t>
  </si>
  <si>
    <t>Cargill is opening a $60M and 180,000 sq. ft. Protein Headquarters downtown</t>
  </si>
  <si>
    <t>7.5 miles NE</t>
  </si>
  <si>
    <t>https://www.cargill.com/2017/cargill-to-build-state-of-the-art-biodiesel-plant-in-wichita-ks</t>
  </si>
  <si>
    <t>Cargill also announced a $90M biodiesel plant 7 miles from the HIE</t>
  </si>
  <si>
    <t>Wichita State</t>
  </si>
  <si>
    <t>Wichita State is undergoing expansion in multiple ways including an engineering building and a new residence hall</t>
  </si>
  <si>
    <t>Spirit Aerosystems</t>
  </si>
  <si>
    <t>10 miles</t>
  </si>
  <si>
    <t>https://www.kansas.com/news/business/aviation/article208058929.html</t>
  </si>
  <si>
    <t>Spirit Aerosystems will also lease office space on campus to work more closely with the engineers at the university</t>
  </si>
  <si>
    <t>United Technologies</t>
  </si>
  <si>
    <t>United Technologies is located on the airport grounds and is acquiring Rockwell Collins making them one of the largest aerospace suppliers</t>
  </si>
  <si>
    <t>Textron Aviation</t>
  </si>
  <si>
    <t>HIE OM</t>
  </si>
  <si>
    <t>Textron Aviation is set to hire several hundred more employees as they expand in Wichita</t>
  </si>
  <si>
    <t>2019-2024</t>
  </si>
  <si>
    <t>https://www.prnewswire.com/news-releases/spirit-aerosystems-plans-major-expansion-job-growth-in-wichita-kan-300567848.html</t>
  </si>
  <si>
    <t>Spirit Aerosystems is planning a mega project worth $1B that will add over 1000 jobs to Wichita over 5 years</t>
  </si>
  <si>
    <t>Airport</t>
  </si>
  <si>
    <t>http://aviationweek.com/bca/wichita-airport-terminal-construction-nears-completion#slide-0-field_images-1286761</t>
  </si>
  <si>
    <t>The airport opened its $200M expansion in 2015 with a new terminal and parking garage</t>
  </si>
  <si>
    <t>The airport also has recently opened to Alaskan Airlines in 2017 and plans to add Frontier Airlines in 2018</t>
  </si>
  <si>
    <t>Development website</t>
  </si>
  <si>
    <t>http://www.greaterwichitapartnership.org/</t>
  </si>
  <si>
    <t xml:space="preserve">Staybridge </t>
  </si>
  <si>
    <t>3/9/2020</t>
  </si>
  <si>
    <t>Not going in</t>
  </si>
  <si>
    <t>1.5 / N</t>
  </si>
  <si>
    <t>Best Western Plus Wichita West Airport Inn</t>
  </si>
  <si>
    <t>Holiday Inn Express &amp; Suites Wichita Airport</t>
  </si>
  <si>
    <t>Comfort Suites Airport Wichita</t>
  </si>
  <si>
    <t xml:space="preserve">Springhill Suites Wichita Airport </t>
  </si>
  <si>
    <t xml:space="preserve"> https://www.easymapmaker.com/map/4738e79fd5c285ca93c09c39a7aa387e</t>
  </si>
  <si>
    <t xml:space="preserve"> https://www.easymapmaker.com/map/f754b0622bc31647a87f99577af658dd</t>
  </si>
  <si>
    <t>6 of 90 in Wichita</t>
  </si>
  <si>
    <t>5 of 90 in Wichita</t>
  </si>
  <si>
    <t>59 of 90 in Wichita</t>
  </si>
  <si>
    <t>20 of 90 in Wichita</t>
  </si>
  <si>
    <t>18 of 90 in Wichita</t>
  </si>
  <si>
    <t>T12 - October</t>
  </si>
  <si>
    <t>Opened October</t>
  </si>
  <si>
    <t>12,300,000 Balance</t>
  </si>
  <si>
    <t>Where are property taxes for this property?</t>
  </si>
  <si>
    <t>Ground lease with the airport</t>
  </si>
  <si>
    <t>T12 - November</t>
  </si>
  <si>
    <t>Hampton Inn Wichita Airport        7230 W Harry St        Wichita, KS 67209-2916        Phone: (316) 942-2000</t>
  </si>
  <si>
    <t>For the Month of: November 2018        Date Created: December 18, 2018        Monthly Competitive Set Data Excludes Subject Property</t>
  </si>
  <si>
    <t>Hampton Inn Wichita Airport</t>
  </si>
  <si>
    <t>November 2018 vs. 2017 Percent Change (%)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</si>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</sst>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0_);_(* \(#,##0.0000\);_(* &quot;-&quot;??_);_(@_)"/>
    <numFmt numFmtId="167" formatCode="_(&quot;$&quot;* #,##0_);_(&quot;$&quot;* \(#,##0\);_(&quot;$&quot;* &quot;-&quot;??_);_(@_)"/>
    <numFmt numFmtId="168" formatCode="_(* #,##0.000_);_(* \(#,##0.000\);_(* &quot;-&quot;??_);_(@_)"/>
    <numFmt numFmtId="169" formatCode="0.0"/>
    <numFmt numFmtId="170" formatCode="0.000%"/>
    <numFmt numFmtId="171" formatCode="_(* #,##0.00000000_);_(* \(#,##0.00000000\);_(* &quot;-&quot;??_);_(@_)"/>
    <numFmt numFmtId="172" formatCode="0.0_);\(0.0\)"/>
    <numFmt numFmtId="173" formatCode="#,##0;\(#,##0\)"/>
    <numFmt numFmtId="174" formatCode="&quot;$&quot;#,##0;\(&quot;$&quot;#,##0\)"/>
    <numFmt numFmtId="175" formatCode="###0.0%;\(###0.0%\)"/>
    <numFmt numFmtId="176" formatCode="mmmm\ d\,\ yyyy"/>
    <numFmt numFmtId="177" formatCode="mm/dd/yy;@"/>
    <numFmt numFmtId="178" formatCode="[$-409]mmm\-yy;@"/>
    <numFmt numFmtId="179" formatCode="#,##0.00_ ;\-#,##0.00\ "/>
    <numFmt numFmtId="180" formatCode="#,##0_ ;[Red]\-#,##0\ "/>
    <numFmt numFmtId="181" formatCode="#,##0;[Red]#,##0"/>
    <numFmt numFmtId="182" formatCode="0.000"/>
    <numFmt numFmtId="183" formatCode="0_);\(0\)"/>
  </numFmts>
  <fonts count="1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indexed="8"/>
      <name val="Calibri"/>
      <family val="2"/>
    </font>
    <font>
      <sz val="20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2"/>
      <name val="Arial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indexed="8"/>
      <name val="Calibri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Calibri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sz val="10"/>
      <color indexed="0"/>
      <name val="Arial"/>
      <family val="2"/>
    </font>
    <font>
      <sz val="10"/>
      <color indexed="0"/>
      <name val="Arial"/>
      <family val="2"/>
    </font>
    <font>
      <sz val="8"/>
      <color indexed="0"/>
      <name val="Arial"/>
      <family val="2"/>
    </font>
    <font>
      <b/>
      <i/>
      <sz val="16"/>
      <color indexed="0"/>
      <name val="Arial"/>
      <family val="2"/>
    </font>
    <font>
      <b/>
      <i/>
      <sz val="12"/>
      <color indexed="0"/>
      <name val="Arial"/>
      <family val="2"/>
    </font>
    <font>
      <b/>
      <i/>
      <sz val="10"/>
      <color indexed="0"/>
      <name val="Arial"/>
      <family val="2"/>
    </font>
    <font>
      <b/>
      <sz val="10"/>
      <color indexed="0"/>
      <name val="Times New Roman"/>
      <family val="1"/>
    </font>
    <font>
      <b/>
      <sz val="10"/>
      <color indexed="0"/>
      <name val="Arial"/>
      <family val="2"/>
    </font>
    <font>
      <b/>
      <sz val="10"/>
      <color indexed="2"/>
      <name val="Arial"/>
      <family val="2"/>
    </font>
    <font>
      <b/>
      <sz val="12"/>
      <color indexed="0"/>
      <name val="Arial"/>
      <family val="2"/>
    </font>
    <font>
      <sz val="10"/>
      <name val="Segoe U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222222"/>
      <name val="Arial"/>
      <family val="2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b/>
      <sz val="10"/>
      <color rgb="FF00355F"/>
      <name val="Arial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b/>
      <sz val="10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4"/>
      <color indexed="9"/>
      <name val="Arial"/>
    </font>
    <font>
      <b/>
      <sz val="10"/>
      <name val="Arial"/>
    </font>
    <font>
      <sz val="10"/>
      <color indexed="8"/>
      <name val="Arial"/>
    </font>
    <font>
      <b/>
      <sz val="10"/>
      <color indexed="8"/>
      <name val="Arial"/>
    </font>
    <font>
      <sz val="11"/>
      <name val="Arial"/>
    </font>
    <font>
      <b/>
      <sz val="14"/>
      <name val="Arial"/>
    </font>
    <font>
      <sz val="12"/>
      <name val="Arial"/>
    </font>
    <font>
      <sz val="18"/>
      <name val="Arial"/>
    </font>
    <font>
      <b/>
      <sz val="13"/>
      <name val="Arial"/>
    </font>
    <font>
      <b/>
      <i/>
      <sz val="10"/>
      <name val="Arial"/>
    </font>
    <font>
      <b/>
      <sz val="10"/>
      <color indexed="9"/>
      <name val="Arial"/>
    </font>
    <font>
      <b/>
      <i/>
      <sz val="10"/>
      <color indexed="9"/>
      <name val="Arial"/>
    </font>
    <font>
      <b/>
      <sz val="12"/>
      <name val="Arial"/>
    </font>
    <font>
      <sz val="14"/>
      <name val="Arial"/>
    </font>
    <font>
      <sz val="14"/>
      <color indexed="9"/>
      <name val="Arial"/>
    </font>
    <font>
      <sz val="9"/>
      <name val="Arial"/>
    </font>
    <font>
      <sz val="16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rgb="FFF6F5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F1B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darkGrid">
        <fgColor theme="4" tint="-0.249977111117893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56"/>
      </left>
      <right/>
      <top/>
      <bottom/>
      <diagonal/>
    </border>
    <border>
      <left style="thin">
        <color indexed="56"/>
      </left>
      <right/>
      <top style="thin">
        <color indexed="56"/>
      </top>
      <bottom/>
      <diagonal/>
    </border>
    <border>
      <left style="thin">
        <color indexed="57"/>
      </left>
      <right style="thin">
        <color indexed="57"/>
      </right>
      <top/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/>
      <right style="thin">
        <color indexed="57"/>
      </right>
      <top/>
      <bottom/>
      <diagonal/>
    </border>
    <border>
      <left style="thin">
        <color indexed="57"/>
      </left>
      <right/>
      <top/>
      <bottom/>
      <diagonal/>
    </border>
    <border>
      <left/>
      <right/>
      <top style="thin">
        <color indexed="57"/>
      </top>
      <bottom/>
      <diagonal/>
    </border>
    <border>
      <left/>
      <right/>
      <top/>
      <bottom style="thin">
        <color indexed="58"/>
      </bottom>
      <diagonal/>
    </border>
    <border>
      <left/>
      <right style="thin">
        <color indexed="58"/>
      </right>
      <top/>
      <bottom style="thin">
        <color indexed="58"/>
      </bottom>
      <diagonal/>
    </border>
    <border>
      <left/>
      <right/>
      <top style="thin">
        <color indexed="58"/>
      </top>
      <bottom/>
      <diagonal/>
    </border>
    <border>
      <left/>
      <right style="thin">
        <color indexed="58"/>
      </right>
      <top style="thin">
        <color indexed="58"/>
      </top>
      <bottom/>
      <diagonal/>
    </border>
    <border>
      <left/>
      <right style="thin">
        <color indexed="58"/>
      </right>
      <top/>
      <bottom/>
      <diagonal/>
    </border>
    <border>
      <left/>
      <right style="thin">
        <color auto="1"/>
      </right>
      <top style="thin">
        <color indexed="57"/>
      </top>
      <bottom/>
      <diagonal/>
    </border>
    <border>
      <left style="thin">
        <color indexed="57"/>
      </left>
      <right style="dashed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5"/>
      </right>
      <top style="thin">
        <color indexed="57"/>
      </top>
      <bottom style="thin">
        <color indexed="57"/>
      </bottom>
      <diagonal/>
    </border>
    <border>
      <left style="thin">
        <color indexed="55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5"/>
      </left>
      <right style="thin">
        <color indexed="55"/>
      </right>
      <top style="thin">
        <color indexed="57"/>
      </top>
      <bottom style="thin">
        <color indexed="5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rgb="FF000000"/>
      </right>
      <top/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rgb="FF00355F"/>
      </bottom>
      <diagonal/>
    </border>
    <border>
      <left/>
      <right/>
      <top style="hair">
        <color rgb="FF4D4D4D"/>
      </top>
      <bottom style="hair">
        <color rgb="FF4D4D4D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/>
      <top/>
      <bottom style="thin">
        <color indexed="57"/>
      </bottom>
      <diagonal/>
    </border>
    <border>
      <left style="thin">
        <color indexed="56"/>
      </left>
      <right/>
      <top/>
      <bottom style="thin">
        <color indexed="56"/>
      </bottom>
      <diagonal/>
    </border>
    <border>
      <left style="thin">
        <color indexed="57"/>
      </left>
      <right style="dashed">
        <color indexed="57"/>
      </right>
      <top/>
      <bottom style="thin">
        <color indexed="57"/>
      </bottom>
      <diagonal/>
    </border>
  </borders>
  <cellStyleXfs count="390">
    <xf numFmtId="0" fontId="0" fillId="0" borderId="0"/>
    <xf numFmtId="0" fontId="51" fillId="9" borderId="0" applyNumberFormat="0" applyBorder="0" applyAlignment="0" applyProtection="0"/>
    <xf numFmtId="0" fontId="47" fillId="2" borderId="0" applyNumberFormat="0" applyBorder="0"/>
    <xf numFmtId="0" fontId="49" fillId="3" borderId="0" applyNumberFormat="0" applyBorder="0"/>
    <xf numFmtId="0" fontId="47" fillId="3" borderId="0" applyNumberFormat="0" applyBorder="0"/>
    <xf numFmtId="0" fontId="49" fillId="2" borderId="0" applyNumberFormat="0" applyBorder="0"/>
    <xf numFmtId="43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173" fontId="32" fillId="0" borderId="0"/>
    <xf numFmtId="173" fontId="32" fillId="0" borderId="0"/>
    <xf numFmtId="173" fontId="31" fillId="0" borderId="0"/>
    <xf numFmtId="174" fontId="32" fillId="0" borderId="0"/>
    <xf numFmtId="175" fontId="32" fillId="0" borderId="0"/>
    <xf numFmtId="0" fontId="52" fillId="0" borderId="0" applyNumberFormat="0" applyFill="0" applyBorder="0" applyAlignment="0" applyProtection="0"/>
    <xf numFmtId="0" fontId="48" fillId="0" borderId="0"/>
    <xf numFmtId="0" fontId="16" fillId="0" borderId="0"/>
    <xf numFmtId="0" fontId="27" fillId="0" borderId="0"/>
    <xf numFmtId="0" fontId="32" fillId="0" borderId="0"/>
    <xf numFmtId="0" fontId="50" fillId="0" borderId="0"/>
    <xf numFmtId="0" fontId="31" fillId="0" borderId="0"/>
    <xf numFmtId="0" fontId="16" fillId="0" borderId="0"/>
    <xf numFmtId="0" fontId="51" fillId="0" borderId="0"/>
    <xf numFmtId="0" fontId="43" fillId="0" borderId="0"/>
    <xf numFmtId="0" fontId="16" fillId="0" borderId="0"/>
    <xf numFmtId="0" fontId="16" fillId="0" borderId="0"/>
    <xf numFmtId="0" fontId="50" fillId="10" borderId="60" applyNumberFormat="0" applyFont="0" applyAlignment="0" applyProtection="0"/>
    <xf numFmtId="9" fontId="5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27" fillId="2" borderId="0" applyNumberFormat="0" applyFont="0" applyBorder="0" applyProtection="0">
      <alignment horizontal="center"/>
    </xf>
    <xf numFmtId="0" fontId="16" fillId="2" borderId="0" applyNumberFormat="0" applyFont="0" applyBorder="0" applyProtection="0">
      <alignment horizontal="center"/>
    </xf>
    <xf numFmtId="0" fontId="43" fillId="2" borderId="0" applyNumberFormat="0" applyFont="0" applyBorder="0" applyProtection="0">
      <alignment horizontal="center"/>
    </xf>
    <xf numFmtId="0" fontId="16" fillId="2" borderId="1" applyNumberFormat="0" applyFont="0" applyProtection="0">
      <alignment horizontal="left" vertical="center"/>
    </xf>
    <xf numFmtId="0" fontId="44" fillId="4" borderId="0" applyNumberFormat="0" applyAlignment="0" applyProtection="0"/>
    <xf numFmtId="0" fontId="28" fillId="4" borderId="0" applyNumberFormat="0" applyAlignment="0" applyProtection="0"/>
    <xf numFmtId="0" fontId="46" fillId="3" borderId="0" applyNumberFormat="0" applyBorder="0" applyAlignment="0" applyProtection="0"/>
    <xf numFmtId="0" fontId="30" fillId="3" borderId="0" applyNumberFormat="0" applyBorder="0" applyAlignment="0" applyProtection="0"/>
    <xf numFmtId="0" fontId="43" fillId="4" borderId="1" applyNumberFormat="0" applyFont="0" applyProtection="0">
      <alignment horizontal="left" vertical="center"/>
    </xf>
    <xf numFmtId="0" fontId="43" fillId="4" borderId="2" applyNumberFormat="0" applyProtection="0">
      <alignment horizontal="center" vertical="center"/>
    </xf>
    <xf numFmtId="0" fontId="27" fillId="4" borderId="1" applyNumberFormat="0" applyFont="0" applyProtection="0">
      <alignment horizontal="left" vertical="center"/>
    </xf>
    <xf numFmtId="0" fontId="16" fillId="4" borderId="1" applyNumberFormat="0" applyFont="0" applyProtection="0">
      <alignment horizontal="left" vertical="center"/>
    </xf>
    <xf numFmtId="0" fontId="16" fillId="4" borderId="1" applyNumberFormat="0" applyFont="0" applyProtection="0">
      <alignment horizontal="left" vertical="center"/>
    </xf>
    <xf numFmtId="0" fontId="43" fillId="4" borderId="3" applyNumberFormat="0" applyProtection="0">
      <alignment horizontal="center" vertical="center"/>
    </xf>
    <xf numFmtId="0" fontId="27" fillId="4" borderId="2" applyNumberFormat="0" applyProtection="0">
      <alignment horizontal="center" vertical="center"/>
    </xf>
    <xf numFmtId="0" fontId="16" fillId="4" borderId="2" applyNumberFormat="0" applyProtection="0">
      <alignment horizontal="center" vertical="center"/>
    </xf>
    <xf numFmtId="0" fontId="16" fillId="4" borderId="2" applyNumberFormat="0" applyProtection="0">
      <alignment horizontal="center" vertical="center"/>
    </xf>
    <xf numFmtId="0" fontId="43" fillId="4" borderId="4" applyNumberFormat="0" applyProtection="0">
      <alignment horizontal="center" vertical="center"/>
    </xf>
    <xf numFmtId="0" fontId="27" fillId="4" borderId="3" applyNumberFormat="0" applyProtection="0">
      <alignment horizontal="center" vertical="center"/>
    </xf>
    <xf numFmtId="0" fontId="16" fillId="4" borderId="3" applyNumberFormat="0" applyProtection="0">
      <alignment horizontal="center" vertical="center"/>
    </xf>
    <xf numFmtId="0" fontId="16" fillId="4" borderId="3" applyNumberFormat="0" applyProtection="0">
      <alignment horizontal="center" vertical="center"/>
    </xf>
    <xf numFmtId="0" fontId="43" fillId="2" borderId="1" applyNumberFormat="0" applyFont="0" applyProtection="0">
      <alignment horizontal="left" vertical="center"/>
    </xf>
    <xf numFmtId="0" fontId="27" fillId="4" borderId="4" applyNumberFormat="0" applyProtection="0">
      <alignment horizontal="center" vertical="center"/>
    </xf>
    <xf numFmtId="0" fontId="16" fillId="4" borderId="4" applyNumberFormat="0" applyProtection="0">
      <alignment horizontal="center" vertical="center"/>
    </xf>
    <xf numFmtId="0" fontId="16" fillId="4" borderId="4" applyNumberFormat="0" applyProtection="0">
      <alignment horizontal="center" vertical="center"/>
    </xf>
    <xf numFmtId="0" fontId="43" fillId="2" borderId="2" applyNumberFormat="0" applyProtection="0">
      <alignment horizontal="center" vertical="center"/>
    </xf>
    <xf numFmtId="0" fontId="27" fillId="2" borderId="1" applyNumberFormat="0" applyFont="0" applyProtection="0">
      <alignment horizontal="left" vertical="center"/>
    </xf>
    <xf numFmtId="0" fontId="16" fillId="2" borderId="1" applyNumberFormat="0" applyFont="0" applyProtection="0">
      <alignment horizontal="left" vertical="center"/>
    </xf>
    <xf numFmtId="0" fontId="16" fillId="2" borderId="1" applyNumberFormat="0" applyFont="0" applyProtection="0">
      <alignment horizontal="left" vertical="center"/>
    </xf>
    <xf numFmtId="0" fontId="43" fillId="2" borderId="3" applyNumberFormat="0" applyProtection="0">
      <alignment horizontal="center" vertical="center"/>
    </xf>
    <xf numFmtId="0" fontId="27" fillId="2" borderId="2" applyNumberFormat="0" applyProtection="0">
      <alignment horizontal="center" vertical="center"/>
    </xf>
    <xf numFmtId="0" fontId="16" fillId="2" borderId="2" applyNumberFormat="0" applyProtection="0">
      <alignment horizontal="center" vertical="center"/>
    </xf>
    <xf numFmtId="0" fontId="16" fillId="2" borderId="2" applyNumberFormat="0" applyProtection="0">
      <alignment horizontal="center" vertical="center"/>
    </xf>
    <xf numFmtId="0" fontId="43" fillId="2" borderId="4" applyNumberFormat="0" applyProtection="0">
      <alignment horizontal="center" vertical="center"/>
    </xf>
    <xf numFmtId="0" fontId="27" fillId="2" borderId="3" applyNumberFormat="0" applyProtection="0">
      <alignment horizontal="center" vertical="center"/>
    </xf>
    <xf numFmtId="0" fontId="16" fillId="2" borderId="3" applyNumberFormat="0" applyProtection="0">
      <alignment horizontal="center" vertical="center"/>
    </xf>
    <xf numFmtId="0" fontId="16" fillId="2" borderId="3" applyNumberFormat="0" applyProtection="0">
      <alignment horizontal="center" vertical="center"/>
    </xf>
    <xf numFmtId="0" fontId="45" fillId="4" borderId="4" applyNumberFormat="0" applyProtection="0">
      <alignment horizontal="center" vertical="center"/>
    </xf>
    <xf numFmtId="0" fontId="27" fillId="2" borderId="4" applyNumberFormat="0" applyProtection="0">
      <alignment horizontal="center" vertical="center"/>
    </xf>
    <xf numFmtId="0" fontId="16" fillId="2" borderId="4" applyNumberFormat="0" applyProtection="0">
      <alignment horizontal="center" vertical="center"/>
    </xf>
    <xf numFmtId="0" fontId="16" fillId="2" borderId="4" applyNumberFormat="0" applyProtection="0">
      <alignment horizontal="center" vertical="center"/>
    </xf>
    <xf numFmtId="0" fontId="45" fillId="2" borderId="4" applyNumberFormat="0" applyProtection="0">
      <alignment horizontal="center" vertical="center"/>
    </xf>
    <xf numFmtId="0" fontId="29" fillId="4" borderId="4" applyNumberFormat="0" applyProtection="0">
      <alignment horizontal="center" vertical="center"/>
    </xf>
    <xf numFmtId="0" fontId="29" fillId="4" borderId="4" applyNumberFormat="0" applyProtection="0">
      <alignment horizontal="center" vertical="center"/>
    </xf>
    <xf numFmtId="0" fontId="29" fillId="4" borderId="4" applyNumberFormat="0" applyProtection="0">
      <alignment horizontal="center" vertical="center"/>
    </xf>
    <xf numFmtId="0" fontId="29" fillId="2" borderId="4" applyNumberFormat="0" applyProtection="0">
      <alignment horizontal="center" vertical="center"/>
    </xf>
    <xf numFmtId="0" fontId="29" fillId="2" borderId="4" applyNumberFormat="0" applyProtection="0">
      <alignment horizontal="center" vertical="center"/>
    </xf>
    <xf numFmtId="0" fontId="29" fillId="2" borderId="4" applyNumberFormat="0" applyProtection="0">
      <alignment horizontal="center" vertical="center"/>
    </xf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6" fillId="4" borderId="1" applyNumberFormat="0" applyFont="0" applyProtection="0">
      <alignment horizontal="left" vertical="center"/>
    </xf>
    <xf numFmtId="0" fontId="16" fillId="4" borderId="1" applyNumberFormat="0" applyFont="0" applyProtection="0">
      <alignment horizontal="left" vertical="center"/>
    </xf>
    <xf numFmtId="0" fontId="16" fillId="4" borderId="2" applyNumberFormat="0" applyProtection="0">
      <alignment horizontal="center" vertical="center"/>
    </xf>
    <xf numFmtId="0" fontId="16" fillId="4" borderId="2" applyNumberFormat="0" applyProtection="0">
      <alignment horizontal="center" vertical="center"/>
    </xf>
    <xf numFmtId="0" fontId="16" fillId="4" borderId="3" applyNumberFormat="0" applyProtection="0">
      <alignment horizontal="center" vertical="center"/>
    </xf>
    <xf numFmtId="0" fontId="16" fillId="4" borderId="3" applyNumberFormat="0" applyProtection="0">
      <alignment horizontal="center" vertical="center"/>
    </xf>
    <xf numFmtId="0" fontId="16" fillId="4" borderId="4" applyNumberFormat="0" applyProtection="0">
      <alignment horizontal="center" vertical="center"/>
    </xf>
    <xf numFmtId="0" fontId="16" fillId="4" borderId="4" applyNumberFormat="0" applyProtection="0">
      <alignment horizontal="center" vertical="center"/>
    </xf>
    <xf numFmtId="0" fontId="16" fillId="2" borderId="1" applyNumberFormat="0" applyFont="0" applyProtection="0">
      <alignment horizontal="left" vertical="center"/>
    </xf>
    <xf numFmtId="0" fontId="16" fillId="2" borderId="1" applyNumberFormat="0" applyFont="0" applyProtection="0">
      <alignment horizontal="left" vertical="center"/>
    </xf>
    <xf numFmtId="0" fontId="16" fillId="2" borderId="2" applyNumberFormat="0" applyProtection="0">
      <alignment horizontal="center" vertical="center"/>
    </xf>
    <xf numFmtId="0" fontId="16" fillId="2" borderId="2" applyNumberFormat="0" applyProtection="0">
      <alignment horizontal="center" vertical="center"/>
    </xf>
    <xf numFmtId="0" fontId="16" fillId="2" borderId="3" applyNumberFormat="0" applyProtection="0">
      <alignment horizontal="center" vertical="center"/>
    </xf>
    <xf numFmtId="0" fontId="16" fillId="2" borderId="3" applyNumberFormat="0" applyProtection="0">
      <alignment horizontal="center" vertical="center"/>
    </xf>
    <xf numFmtId="0" fontId="16" fillId="2" borderId="4" applyNumberFormat="0" applyProtection="0">
      <alignment horizontal="center" vertical="center"/>
    </xf>
    <xf numFmtId="0" fontId="16" fillId="2" borderId="4" applyNumberFormat="0" applyProtection="0">
      <alignment horizontal="center" vertical="center"/>
    </xf>
    <xf numFmtId="0" fontId="29" fillId="4" borderId="4" applyNumberFormat="0" applyProtection="0">
      <alignment horizontal="center" vertical="center"/>
    </xf>
    <xf numFmtId="0" fontId="29" fillId="4" borderId="4" applyNumberFormat="0" applyProtection="0">
      <alignment horizontal="center" vertical="center"/>
    </xf>
    <xf numFmtId="0" fontId="29" fillId="2" borderId="4" applyNumberFormat="0" applyProtection="0">
      <alignment horizontal="center" vertical="center"/>
    </xf>
    <xf numFmtId="0" fontId="29" fillId="2" borderId="4" applyNumberFormat="0" applyProtection="0">
      <alignment horizontal="center" vertical="center"/>
    </xf>
    <xf numFmtId="0" fontId="43" fillId="2" borderId="0" applyNumberFormat="0" applyFont="0" applyBorder="0" applyProtection="0">
      <alignment horizontal="center"/>
    </xf>
    <xf numFmtId="0" fontId="16" fillId="2" borderId="0" applyNumberFormat="0" applyFont="0" applyBorder="0" applyProtection="0">
      <alignment horizontal="center"/>
    </xf>
    <xf numFmtId="0" fontId="44" fillId="4" borderId="0" applyNumberFormat="0" applyAlignment="0" applyProtection="0"/>
    <xf numFmtId="0" fontId="46" fillId="3" borderId="0" applyNumberFormat="0" applyBorder="0" applyAlignment="0" applyProtection="0"/>
    <xf numFmtId="0" fontId="43" fillId="4" borderId="1" applyNumberFormat="0" applyFont="0" applyProtection="0">
      <alignment horizontal="left" vertical="center"/>
    </xf>
    <xf numFmtId="0" fontId="43" fillId="4" borderId="2" applyNumberFormat="0" applyProtection="0">
      <alignment horizontal="center" vertical="center"/>
    </xf>
    <xf numFmtId="0" fontId="43" fillId="4" borderId="3" applyNumberFormat="0" applyProtection="0">
      <alignment horizontal="center" vertical="center"/>
    </xf>
    <xf numFmtId="0" fontId="43" fillId="4" borderId="4" applyNumberFormat="0" applyProtection="0">
      <alignment horizontal="center" vertical="center"/>
    </xf>
    <xf numFmtId="0" fontId="43" fillId="2" borderId="1" applyNumberFormat="0" applyFont="0" applyProtection="0">
      <alignment horizontal="left" vertical="center"/>
    </xf>
    <xf numFmtId="0" fontId="43" fillId="2" borderId="2" applyNumberFormat="0" applyProtection="0">
      <alignment horizontal="center" vertical="center"/>
    </xf>
    <xf numFmtId="0" fontId="43" fillId="2" borderId="3" applyNumberFormat="0" applyProtection="0">
      <alignment horizontal="center" vertical="center"/>
    </xf>
    <xf numFmtId="0" fontId="43" fillId="2" borderId="4" applyNumberFormat="0" applyProtection="0">
      <alignment horizontal="center" vertical="center"/>
    </xf>
    <xf numFmtId="0" fontId="45" fillId="4" borderId="4" applyNumberFormat="0" applyProtection="0">
      <alignment horizontal="center" vertical="center"/>
    </xf>
    <xf numFmtId="0" fontId="45" fillId="2" borderId="4" applyNumberFormat="0" applyProtection="0">
      <alignment horizontal="center" vertical="center"/>
    </xf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3" fillId="4" borderId="1" applyNumberFormat="0" applyFont="0" applyProtection="0">
      <alignment horizontal="left" vertical="center"/>
    </xf>
    <xf numFmtId="0" fontId="43" fillId="4" borderId="2" applyNumberFormat="0" applyProtection="0">
      <alignment horizontal="center" vertical="center"/>
    </xf>
    <xf numFmtId="0" fontId="43" fillId="4" borderId="3" applyNumberFormat="0" applyProtection="0">
      <alignment horizontal="center" vertical="center"/>
    </xf>
    <xf numFmtId="0" fontId="43" fillId="4" borderId="4" applyNumberFormat="0" applyProtection="0">
      <alignment horizontal="center" vertical="center"/>
    </xf>
    <xf numFmtId="0" fontId="43" fillId="2" borderId="1" applyNumberFormat="0" applyFont="0" applyProtection="0">
      <alignment horizontal="left" vertical="center"/>
    </xf>
    <xf numFmtId="0" fontId="43" fillId="2" borderId="2" applyNumberFormat="0" applyProtection="0">
      <alignment horizontal="center" vertical="center"/>
    </xf>
    <xf numFmtId="0" fontId="43" fillId="2" borderId="3" applyNumberFormat="0" applyProtection="0">
      <alignment horizontal="center" vertical="center"/>
    </xf>
    <xf numFmtId="0" fontId="43" fillId="2" borderId="4" applyNumberFormat="0" applyProtection="0">
      <alignment horizontal="center" vertical="center"/>
    </xf>
    <xf numFmtId="0" fontId="45" fillId="4" borderId="4" applyNumberFormat="0" applyProtection="0">
      <alignment horizontal="center" vertical="center"/>
    </xf>
    <xf numFmtId="0" fontId="45" fillId="2" borderId="4" applyNumberFormat="0" applyProtection="0">
      <alignment horizontal="center" vertical="center"/>
    </xf>
    <xf numFmtId="0" fontId="32" fillId="0" borderId="0"/>
    <xf numFmtId="0" fontId="33" fillId="0" borderId="0"/>
    <xf numFmtId="0" fontId="34" fillId="0" borderId="0"/>
    <xf numFmtId="0" fontId="35" fillId="0" borderId="0"/>
    <xf numFmtId="0" fontId="36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9" fillId="0" borderId="0"/>
    <xf numFmtId="0" fontId="91" fillId="0" borderId="66" applyNumberFormat="0" applyFill="0" applyProtection="0">
      <alignment horizontal="center"/>
    </xf>
    <xf numFmtId="0" fontId="91" fillId="0" borderId="0" applyNumberFormat="0" applyFill="0" applyBorder="0" applyProtection="0">
      <alignment horizontal="left"/>
    </xf>
    <xf numFmtId="0" fontId="93" fillId="0" borderId="67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43" fontId="96" fillId="0" borderId="0" applyFont="0" applyFill="0" applyBorder="0" applyAlignment="0" applyProtection="0"/>
    <xf numFmtId="44" fontId="96" fillId="0" borderId="0" applyFont="0" applyFill="0" applyBorder="0" applyAlignment="0" applyProtection="0"/>
  </cellStyleXfs>
  <cellXfs count="1316">
    <xf numFmtId="0" fontId="0" fillId="0" borderId="0" xfId="0"/>
    <xf numFmtId="0" fontId="53" fillId="0" borderId="0" xfId="0" applyFont="1"/>
    <xf numFmtId="0" fontId="0" fillId="0" borderId="0" xfId="0" applyAlignment="1">
      <alignment horizontal="center"/>
    </xf>
    <xf numFmtId="0" fontId="54" fillId="0" borderId="0" xfId="0" applyFont="1" applyAlignment="1">
      <alignment horizontal="center"/>
    </xf>
    <xf numFmtId="0" fontId="0" fillId="0" borderId="0" xfId="0" applyFont="1"/>
    <xf numFmtId="43" fontId="50" fillId="0" borderId="0" xfId="6" applyFont="1"/>
    <xf numFmtId="43" fontId="0" fillId="0" borderId="0" xfId="0" applyNumberFormat="1"/>
    <xf numFmtId="164" fontId="50" fillId="0" borderId="0" xfId="26" applyNumberFormat="1" applyFont="1"/>
    <xf numFmtId="43" fontId="50" fillId="11" borderId="0" xfId="6" applyFont="1" applyFill="1"/>
    <xf numFmtId="164" fontId="50" fillId="11" borderId="0" xfId="26" applyNumberFormat="1" applyFont="1" applyFill="1"/>
    <xf numFmtId="165" fontId="50" fillId="0" borderId="0" xfId="6" applyNumberFormat="1" applyFont="1"/>
    <xf numFmtId="165" fontId="50" fillId="11" borderId="0" xfId="6" applyNumberFormat="1" applyFont="1" applyFill="1"/>
    <xf numFmtId="0" fontId="55" fillId="0" borderId="0" xfId="0" applyFont="1"/>
    <xf numFmtId="0" fontId="0" fillId="11" borderId="0" xfId="0" applyFill="1"/>
    <xf numFmtId="43" fontId="54" fillId="0" borderId="0" xfId="6" applyFont="1"/>
    <xf numFmtId="164" fontId="54" fillId="0" borderId="0" xfId="26" applyNumberFormat="1" applyFont="1"/>
    <xf numFmtId="164" fontId="54" fillId="0" borderId="5" xfId="26" applyNumberFormat="1" applyFont="1" applyBorder="1"/>
    <xf numFmtId="0" fontId="56" fillId="0" borderId="0" xfId="0" applyFont="1"/>
    <xf numFmtId="0" fontId="57" fillId="0" borderId="0" xfId="0" applyFont="1"/>
    <xf numFmtId="164" fontId="50" fillId="11" borderId="0" xfId="26" applyNumberFormat="1" applyFont="1" applyFill="1" applyAlignment="1">
      <alignment horizontal="left"/>
    </xf>
    <xf numFmtId="164" fontId="57" fillId="0" borderId="0" xfId="26" applyNumberFormat="1" applyFont="1"/>
    <xf numFmtId="8" fontId="50" fillId="0" borderId="0" xfId="6" applyNumberFormat="1" applyFont="1"/>
    <xf numFmtId="164" fontId="50" fillId="0" borderId="0" xfId="26" applyNumberFormat="1" applyFont="1" applyAlignment="1"/>
    <xf numFmtId="0" fontId="54" fillId="0" borderId="5" xfId="0" applyFont="1" applyBorder="1"/>
    <xf numFmtId="10" fontId="50" fillId="0" borderId="0" xfId="26" applyNumberFormat="1" applyFont="1" applyAlignment="1"/>
    <xf numFmtId="43" fontId="50" fillId="0" borderId="0" xfId="6" applyNumberFormat="1" applyFont="1" applyAlignment="1"/>
    <xf numFmtId="43" fontId="50" fillId="0" borderId="0" xfId="6" applyNumberFormat="1" applyFont="1"/>
    <xf numFmtId="165" fontId="50" fillId="0" borderId="6" xfId="6" applyNumberFormat="1" applyFont="1" applyBorder="1"/>
    <xf numFmtId="165" fontId="0" fillId="0" borderId="0" xfId="0" applyNumberFormat="1"/>
    <xf numFmtId="165" fontId="50" fillId="0" borderId="5" xfId="6" applyNumberFormat="1" applyFont="1" applyBorder="1"/>
    <xf numFmtId="43" fontId="57" fillId="0" borderId="0" xfId="6" applyFont="1"/>
    <xf numFmtId="165" fontId="50" fillId="0" borderId="0" xfId="6" applyNumberFormat="1" applyFont="1" applyAlignment="1">
      <alignment horizontal="center"/>
    </xf>
    <xf numFmtId="164" fontId="50" fillId="0" borderId="0" xfId="26" applyNumberFormat="1" applyFont="1" applyAlignment="1">
      <alignment horizontal="center"/>
    </xf>
    <xf numFmtId="0" fontId="0" fillId="0" borderId="0" xfId="0" applyAlignment="1">
      <alignment horizontal="center"/>
    </xf>
    <xf numFmtId="10" fontId="50" fillId="0" borderId="0" xfId="26" applyNumberFormat="1" applyFont="1" applyAlignment="1"/>
    <xf numFmtId="43" fontId="50" fillId="0" borderId="0" xfId="6" applyNumberFormat="1" applyFont="1" applyAlignment="1"/>
    <xf numFmtId="10" fontId="50" fillId="11" borderId="0" xfId="26" applyNumberFormat="1" applyFont="1" applyFill="1"/>
    <xf numFmtId="10" fontId="50" fillId="0" borderId="0" xfId="26" applyNumberFormat="1" applyFont="1"/>
    <xf numFmtId="165" fontId="0" fillId="0" borderId="0" xfId="0" applyNumberFormat="1" applyAlignment="1">
      <alignment horizontal="center"/>
    </xf>
    <xf numFmtId="0" fontId="0" fillId="0" borderId="0" xfId="0" quotePrefix="1"/>
    <xf numFmtId="43" fontId="50" fillId="0" borderId="0" xfId="6" applyFont="1" applyFill="1"/>
    <xf numFmtId="164" fontId="50" fillId="12" borderId="0" xfId="26" applyNumberFormat="1" applyFont="1" applyFill="1"/>
    <xf numFmtId="0" fontId="54" fillId="0" borderId="0" xfId="0" applyFont="1" applyAlignment="1">
      <alignment horizontal="center"/>
    </xf>
    <xf numFmtId="0" fontId="0" fillId="0" borderId="7" xfId="0" applyBorder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8" fontId="0" fillId="0" borderId="0" xfId="0" applyNumberFormat="1"/>
    <xf numFmtId="0" fontId="13" fillId="0" borderId="0" xfId="0" applyFont="1"/>
    <xf numFmtId="165" fontId="13" fillId="0" borderId="0" xfId="6" applyNumberFormat="1" applyFont="1"/>
    <xf numFmtId="42" fontId="13" fillId="0" borderId="0" xfId="0" applyNumberFormat="1" applyFont="1"/>
    <xf numFmtId="10" fontId="13" fillId="0" borderId="0" xfId="0" applyNumberFormat="1" applyFont="1"/>
    <xf numFmtId="0" fontId="13" fillId="0" borderId="0" xfId="0" quotePrefix="1" applyFont="1"/>
    <xf numFmtId="38" fontId="13" fillId="0" borderId="0" xfId="0" applyNumberFormat="1" applyFont="1"/>
    <xf numFmtId="0" fontId="14" fillId="0" borderId="0" xfId="0" applyFont="1"/>
    <xf numFmtId="8" fontId="0" fillId="0" borderId="0" xfId="0" applyNumberFormat="1"/>
    <xf numFmtId="38" fontId="13" fillId="0" borderId="8" xfId="0" applyNumberFormat="1" applyFont="1" applyBorder="1"/>
    <xf numFmtId="38" fontId="13" fillId="0" borderId="0" xfId="0" applyNumberFormat="1" applyFont="1" applyBorder="1"/>
    <xf numFmtId="0" fontId="13" fillId="0" borderId="9" xfId="0" applyFont="1" applyBorder="1" applyAlignment="1">
      <alignment horizontal="center"/>
    </xf>
    <xf numFmtId="0" fontId="13" fillId="0" borderId="7" xfId="0" quotePrefix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2" fontId="13" fillId="0" borderId="11" xfId="0" applyNumberFormat="1" applyFont="1" applyBorder="1"/>
    <xf numFmtId="2" fontId="13" fillId="0" borderId="0" xfId="0" applyNumberFormat="1" applyFont="1" applyBorder="1"/>
    <xf numFmtId="38" fontId="13" fillId="0" borderId="12" xfId="0" applyNumberFormat="1" applyFont="1" applyBorder="1"/>
    <xf numFmtId="2" fontId="13" fillId="0" borderId="13" xfId="0" applyNumberFormat="1" applyFont="1" applyBorder="1"/>
    <xf numFmtId="2" fontId="13" fillId="0" borderId="14" xfId="0" applyNumberFormat="1" applyFont="1" applyBorder="1"/>
    <xf numFmtId="38" fontId="13" fillId="0" borderId="15" xfId="0" applyNumberFormat="1" applyFont="1" applyBorder="1"/>
    <xf numFmtId="42" fontId="14" fillId="0" borderId="8" xfId="0" applyNumberFormat="1" applyFont="1" applyBorder="1"/>
    <xf numFmtId="42" fontId="14" fillId="0" borderId="0" xfId="0" applyNumberFormat="1" applyFont="1" applyBorder="1"/>
    <xf numFmtId="0" fontId="14" fillId="0" borderId="0" xfId="0" applyFont="1" applyBorder="1" applyAlignment="1">
      <alignment horizontal="left"/>
    </xf>
    <xf numFmtId="167" fontId="15" fillId="0" borderId="8" xfId="7" applyNumberFormat="1" applyFont="1" applyBorder="1"/>
    <xf numFmtId="10" fontId="15" fillId="0" borderId="8" xfId="0" applyNumberFormat="1" applyFont="1" applyBorder="1"/>
    <xf numFmtId="38" fontId="14" fillId="0" borderId="0" xfId="0" applyNumberFormat="1" applyFont="1" applyBorder="1"/>
    <xf numFmtId="43" fontId="16" fillId="0" borderId="0" xfId="6" applyFont="1" applyBorder="1"/>
    <xf numFmtId="0" fontId="17" fillId="0" borderId="0" xfId="0" applyFont="1"/>
    <xf numFmtId="43" fontId="14" fillId="0" borderId="0" xfId="6" applyFont="1" applyBorder="1"/>
    <xf numFmtId="0" fontId="18" fillId="0" borderId="0" xfId="0" applyFont="1"/>
    <xf numFmtId="0" fontId="19" fillId="0" borderId="0" xfId="0" applyFont="1"/>
    <xf numFmtId="0" fontId="20" fillId="5" borderId="0" xfId="0" applyNumberFormat="1" applyFont="1" applyFill="1" applyBorder="1" applyAlignment="1">
      <alignment horizontal="center"/>
    </xf>
    <xf numFmtId="38" fontId="20" fillId="5" borderId="0" xfId="0" applyNumberFormat="1" applyFont="1" applyFill="1" applyBorder="1" applyAlignment="1">
      <alignment horizontal="center"/>
    </xf>
    <xf numFmtId="38" fontId="20" fillId="5" borderId="16" xfId="0" applyNumberFormat="1" applyFont="1" applyFill="1" applyBorder="1" applyAlignment="1">
      <alignment horizontal="center"/>
    </xf>
    <xf numFmtId="38" fontId="20" fillId="5" borderId="17" xfId="0" applyNumberFormat="1" applyFont="1" applyFill="1" applyBorder="1" applyAlignment="1">
      <alignment horizontal="center"/>
    </xf>
    <xf numFmtId="10" fontId="14" fillId="0" borderId="0" xfId="6" applyNumberFormat="1" applyFont="1" applyBorder="1"/>
    <xf numFmtId="44" fontId="14" fillId="0" borderId="0" xfId="6" applyNumberFormat="1" applyFont="1" applyBorder="1"/>
    <xf numFmtId="38" fontId="19" fillId="0" borderId="0" xfId="0" applyNumberFormat="1" applyFont="1"/>
    <xf numFmtId="42" fontId="14" fillId="0" borderId="17" xfId="0" applyNumberFormat="1" applyFont="1" applyBorder="1"/>
    <xf numFmtId="165" fontId="14" fillId="0" borderId="0" xfId="6" applyNumberFormat="1" applyFont="1" applyBorder="1"/>
    <xf numFmtId="165" fontId="16" fillId="0" borderId="16" xfId="6" applyNumberFormat="1" applyFont="1" applyBorder="1"/>
    <xf numFmtId="165" fontId="16" fillId="0" borderId="0" xfId="6" applyNumberFormat="1" applyFont="1" applyBorder="1"/>
    <xf numFmtId="165" fontId="16" fillId="0" borderId="17" xfId="6" applyNumberFormat="1" applyFont="1" applyBorder="1"/>
    <xf numFmtId="165" fontId="13" fillId="0" borderId="16" xfId="6" applyNumberFormat="1" applyFont="1" applyBorder="1"/>
    <xf numFmtId="165" fontId="13" fillId="0" borderId="0" xfId="6" applyNumberFormat="1" applyFont="1" applyBorder="1"/>
    <xf numFmtId="165" fontId="13" fillId="0" borderId="17" xfId="6" applyNumberFormat="1" applyFont="1" applyBorder="1"/>
    <xf numFmtId="165" fontId="16" fillId="0" borderId="18" xfId="6" applyNumberFormat="1" applyFont="1" applyBorder="1"/>
    <xf numFmtId="165" fontId="16" fillId="0" borderId="19" xfId="6" applyNumberFormat="1" applyFont="1" applyBorder="1"/>
    <xf numFmtId="165" fontId="16" fillId="0" borderId="20" xfId="6" applyNumberFormat="1" applyFont="1" applyBorder="1"/>
    <xf numFmtId="42" fontId="14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Border="1"/>
    <xf numFmtId="38" fontId="21" fillId="5" borderId="0" xfId="0" applyNumberFormat="1" applyFont="1" applyFill="1" applyBorder="1" applyAlignment="1">
      <alignment horizontal="center"/>
    </xf>
    <xf numFmtId="0" fontId="0" fillId="0" borderId="0" xfId="0" applyBorder="1"/>
    <xf numFmtId="0" fontId="14" fillId="0" borderId="0" xfId="0" applyFont="1" applyBorder="1"/>
    <xf numFmtId="165" fontId="16" fillId="0" borderId="0" xfId="0" applyNumberFormat="1" applyFont="1" applyBorder="1"/>
    <xf numFmtId="42" fontId="13" fillId="0" borderId="0" xfId="0" applyNumberFormat="1" applyFont="1" applyBorder="1"/>
    <xf numFmtId="0" fontId="13" fillId="0" borderId="0" xfId="0" applyFont="1" applyBorder="1" applyAlignment="1">
      <alignment horizontal="right"/>
    </xf>
    <xf numFmtId="9" fontId="13" fillId="0" borderId="0" xfId="0" applyNumberFormat="1" applyFont="1" applyBorder="1" applyAlignment="1">
      <alignment horizontal="left"/>
    </xf>
    <xf numFmtId="6" fontId="16" fillId="0" borderId="0" xfId="0" applyNumberFormat="1" applyFont="1" applyBorder="1"/>
    <xf numFmtId="6" fontId="13" fillId="0" borderId="0" xfId="0" applyNumberFormat="1" applyFont="1" applyBorder="1"/>
    <xf numFmtId="0" fontId="16" fillId="0" borderId="0" xfId="0" applyFont="1" applyBorder="1"/>
    <xf numFmtId="164" fontId="13" fillId="0" borderId="0" xfId="26" applyNumberFormat="1" applyFont="1" applyBorder="1"/>
    <xf numFmtId="164" fontId="16" fillId="0" borderId="0" xfId="26" applyNumberFormat="1" applyFont="1" applyBorder="1"/>
    <xf numFmtId="164" fontId="14" fillId="0" borderId="0" xfId="0" applyNumberFormat="1" applyFont="1" applyBorder="1"/>
    <xf numFmtId="165" fontId="15" fillId="0" borderId="0" xfId="6" applyNumberFormat="1" applyFont="1" applyBorder="1"/>
    <xf numFmtId="0" fontId="14" fillId="0" borderId="8" xfId="0" applyFont="1" applyBorder="1"/>
    <xf numFmtId="0" fontId="13" fillId="0" borderId="8" xfId="0" applyFont="1" applyBorder="1"/>
    <xf numFmtId="164" fontId="15" fillId="0" borderId="8" xfId="26" applyNumberFormat="1" applyFont="1" applyBorder="1"/>
    <xf numFmtId="0" fontId="15" fillId="0" borderId="14" xfId="0" quotePrefix="1" applyFont="1" applyBorder="1" applyAlignment="1">
      <alignment horizontal="center"/>
    </xf>
    <xf numFmtId="38" fontId="15" fillId="0" borderId="14" xfId="0" applyNumberFormat="1" applyFont="1" applyBorder="1" applyAlignment="1">
      <alignment horizontal="center"/>
    </xf>
    <xf numFmtId="10" fontId="0" fillId="0" borderId="0" xfId="0" applyNumberFormat="1"/>
    <xf numFmtId="38" fontId="15" fillId="0" borderId="0" xfId="0" applyNumberFormat="1" applyFont="1"/>
    <xf numFmtId="38" fontId="0" fillId="0" borderId="0" xfId="0" applyNumberFormat="1" applyBorder="1"/>
    <xf numFmtId="0" fontId="13" fillId="0" borderId="0" xfId="0" applyFont="1" applyFill="1" applyBorder="1"/>
    <xf numFmtId="0" fontId="14" fillId="0" borderId="0" xfId="0" applyFont="1" applyBorder="1" applyAlignment="1">
      <alignment horizontal="center"/>
    </xf>
    <xf numFmtId="9" fontId="0" fillId="0" borderId="0" xfId="0" applyNumberFormat="1" applyBorder="1"/>
    <xf numFmtId="10" fontId="14" fillId="0" borderId="0" xfId="0" applyNumberFormat="1" applyFont="1" applyBorder="1"/>
    <xf numFmtId="0" fontId="0" fillId="0" borderId="0" xfId="0" applyBorder="1" applyAlignment="1">
      <alignment horizontal="right"/>
    </xf>
    <xf numFmtId="9" fontId="0" fillId="0" borderId="0" xfId="0" applyNumberFormat="1" applyBorder="1" applyAlignment="1">
      <alignment horizontal="left"/>
    </xf>
    <xf numFmtId="0" fontId="22" fillId="0" borderId="0" xfId="0" applyFont="1"/>
    <xf numFmtId="0" fontId="14" fillId="0" borderId="14" xfId="0" applyFont="1" applyBorder="1" applyAlignment="1">
      <alignment horizontal="center"/>
    </xf>
    <xf numFmtId="165" fontId="23" fillId="0" borderId="0" xfId="6" applyNumberFormat="1" applyFont="1"/>
    <xf numFmtId="43" fontId="50" fillId="0" borderId="0" xfId="6" applyFont="1"/>
    <xf numFmtId="165" fontId="50" fillId="0" borderId="0" xfId="6" applyNumberFormat="1" applyFont="1"/>
    <xf numFmtId="0" fontId="14" fillId="0" borderId="9" xfId="0" applyFont="1" applyBorder="1"/>
    <xf numFmtId="0" fontId="14" fillId="0" borderId="7" xfId="0" applyFont="1" applyBorder="1"/>
    <xf numFmtId="165" fontId="14" fillId="0" borderId="7" xfId="6" applyNumberFormat="1" applyFont="1" applyBorder="1"/>
    <xf numFmtId="165" fontId="14" fillId="0" borderId="0" xfId="6" applyNumberFormat="1" applyFont="1"/>
    <xf numFmtId="9" fontId="50" fillId="0" borderId="0" xfId="26" applyFont="1"/>
    <xf numFmtId="10" fontId="50" fillId="6" borderId="21" xfId="26" applyNumberFormat="1" applyFont="1" applyFill="1" applyBorder="1"/>
    <xf numFmtId="10" fontId="50" fillId="0" borderId="0" xfId="26" applyNumberFormat="1" applyFont="1"/>
    <xf numFmtId="10" fontId="14" fillId="0" borderId="7" xfId="26" applyNumberFormat="1" applyFont="1" applyBorder="1"/>
    <xf numFmtId="2" fontId="0" fillId="0" borderId="0" xfId="0" applyNumberFormat="1"/>
    <xf numFmtId="0" fontId="14" fillId="0" borderId="0" xfId="0" applyFont="1" applyBorder="1" applyAlignment="1">
      <alignment horizontal="right"/>
    </xf>
    <xf numFmtId="0" fontId="14" fillId="0" borderId="19" xfId="0" applyFont="1" applyBorder="1"/>
    <xf numFmtId="0" fontId="14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165" fontId="24" fillId="0" borderId="14" xfId="6" applyNumberFormat="1" applyFont="1" applyBorder="1"/>
    <xf numFmtId="165" fontId="24" fillId="0" borderId="22" xfId="6" applyNumberFormat="1" applyFont="1" applyBorder="1"/>
    <xf numFmtId="10" fontId="13" fillId="0" borderId="23" xfId="0" applyNumberFormat="1" applyFont="1" applyBorder="1"/>
    <xf numFmtId="10" fontId="13" fillId="0" borderId="24" xfId="0" applyNumberFormat="1" applyFont="1" applyBorder="1"/>
    <xf numFmtId="10" fontId="13" fillId="0" borderId="25" xfId="0" applyNumberFormat="1" applyFont="1" applyBorder="1"/>
    <xf numFmtId="44" fontId="13" fillId="0" borderId="16" xfId="0" applyNumberFormat="1" applyFont="1" applyBorder="1"/>
    <xf numFmtId="44" fontId="13" fillId="0" borderId="0" xfId="0" applyNumberFormat="1" applyFont="1" applyBorder="1"/>
    <xf numFmtId="44" fontId="13" fillId="0" borderId="17" xfId="0" applyNumberFormat="1" applyFont="1" applyBorder="1"/>
    <xf numFmtId="0" fontId="13" fillId="0" borderId="16" xfId="0" applyFont="1" applyBorder="1"/>
    <xf numFmtId="44" fontId="16" fillId="0" borderId="0" xfId="6" applyNumberFormat="1" applyFont="1" applyBorder="1"/>
    <xf numFmtId="0" fontId="54" fillId="0" borderId="0" xfId="0" applyFont="1" applyAlignment="1">
      <alignment horizontal="center"/>
    </xf>
    <xf numFmtId="165" fontId="50" fillId="0" borderId="0" xfId="6" applyNumberFormat="1" applyFont="1"/>
    <xf numFmtId="43" fontId="54" fillId="0" borderId="0" xfId="6" applyNumberFormat="1" applyFont="1"/>
    <xf numFmtId="43" fontId="54" fillId="0" borderId="0" xfId="6" applyFont="1" applyAlignment="1">
      <alignment horizontal="center"/>
    </xf>
    <xf numFmtId="0" fontId="58" fillId="0" borderId="0" xfId="0" applyFont="1" applyFill="1"/>
    <xf numFmtId="0" fontId="59" fillId="0" borderId="0" xfId="0" applyFont="1" applyFill="1"/>
    <xf numFmtId="0" fontId="0" fillId="0" borderId="0" xfId="0" applyFill="1"/>
    <xf numFmtId="165" fontId="54" fillId="0" borderId="0" xfId="6" applyNumberFormat="1" applyFont="1"/>
    <xf numFmtId="0" fontId="54" fillId="0" borderId="22" xfId="0" applyFont="1" applyBorder="1"/>
    <xf numFmtId="43" fontId="13" fillId="0" borderId="0" xfId="0" applyNumberFormat="1" applyFont="1"/>
    <xf numFmtId="0" fontId="60" fillId="0" borderId="0" xfId="0" applyFont="1"/>
    <xf numFmtId="0" fontId="0" fillId="0" borderId="0" xfId="0" applyAlignment="1">
      <alignment horizontal="center"/>
    </xf>
    <xf numFmtId="43" fontId="0" fillId="0" borderId="0" xfId="0" applyNumberFormat="1" applyBorder="1"/>
    <xf numFmtId="0" fontId="16" fillId="0" borderId="0" xfId="0" applyFont="1" applyFill="1" applyBorder="1"/>
    <xf numFmtId="164" fontId="57" fillId="13" borderId="0" xfId="26" applyNumberFormat="1" applyFont="1" applyFill="1"/>
    <xf numFmtId="164" fontId="61" fillId="13" borderId="0" xfId="26" applyNumberFormat="1" applyFont="1" applyFill="1"/>
    <xf numFmtId="0" fontId="62" fillId="0" borderId="0" xfId="0" applyFont="1" applyBorder="1"/>
    <xf numFmtId="0" fontId="55" fillId="0" borderId="0" xfId="0" applyFont="1" applyBorder="1"/>
    <xf numFmtId="0" fontId="17" fillId="0" borderId="0" xfId="0" applyFont="1" applyBorder="1"/>
    <xf numFmtId="165" fontId="17" fillId="0" borderId="0" xfId="6" applyNumberFormat="1" applyFont="1" applyBorder="1"/>
    <xf numFmtId="0" fontId="54" fillId="0" borderId="0" xfId="0" applyFont="1" applyBorder="1"/>
    <xf numFmtId="43" fontId="54" fillId="0" borderId="0" xfId="0" applyNumberFormat="1" applyFont="1" applyBorder="1"/>
    <xf numFmtId="43" fontId="50" fillId="0" borderId="0" xfId="6" applyFont="1" applyBorder="1"/>
    <xf numFmtId="0" fontId="0" fillId="0" borderId="0" xfId="0" quotePrefix="1" applyBorder="1"/>
    <xf numFmtId="164" fontId="50" fillId="0" borderId="0" xfId="26" applyNumberFormat="1" applyFont="1" applyBorder="1"/>
    <xf numFmtId="43" fontId="54" fillId="0" borderId="0" xfId="6" applyFont="1" applyBorder="1"/>
    <xf numFmtId="42" fontId="0" fillId="0" borderId="0" xfId="0" applyNumberFormat="1" applyBorder="1"/>
    <xf numFmtId="9" fontId="50" fillId="0" borderId="0" xfId="26" applyFont="1"/>
    <xf numFmtId="43" fontId="63" fillId="0" borderId="0" xfId="6" applyFont="1" applyFill="1" applyAlignment="1">
      <alignment horizontal="center"/>
    </xf>
    <xf numFmtId="9" fontId="50" fillId="0" borderId="0" xfId="26" applyNumberFormat="1" applyFont="1"/>
    <xf numFmtId="0" fontId="0" fillId="14" borderId="0" xfId="0" applyFill="1"/>
    <xf numFmtId="0" fontId="54" fillId="14" borderId="0" xfId="0" applyFont="1" applyFill="1"/>
    <xf numFmtId="10" fontId="54" fillId="0" borderId="0" xfId="26" applyNumberFormat="1" applyFont="1"/>
    <xf numFmtId="8" fontId="0" fillId="0" borderId="0" xfId="0" applyNumberFormat="1" applyBorder="1" applyAlignment="1">
      <alignment horizontal="center"/>
    </xf>
    <xf numFmtId="165" fontId="50" fillId="0" borderId="0" xfId="6" applyNumberFormat="1" applyFont="1"/>
    <xf numFmtId="165" fontId="50" fillId="0" borderId="0" xfId="6" applyNumberFormat="1" applyFont="1" applyFill="1"/>
    <xf numFmtId="43" fontId="50" fillId="0" borderId="5" xfId="6" applyFont="1" applyBorder="1"/>
    <xf numFmtId="9" fontId="50" fillId="0" borderId="5" xfId="26" applyFont="1" applyBorder="1"/>
    <xf numFmtId="165" fontId="50" fillId="0" borderId="0" xfId="6" applyNumberFormat="1" applyFont="1"/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50" fillId="12" borderId="21" xfId="6" applyFont="1" applyFill="1" applyBorder="1"/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50" fillId="0" borderId="0" xfId="6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50" fillId="0" borderId="0" xfId="6" applyNumberFormat="1" applyFont="1"/>
    <xf numFmtId="44" fontId="50" fillId="0" borderId="0" xfId="7" applyFont="1" applyAlignment="1">
      <alignment horizontal="center"/>
    </xf>
    <xf numFmtId="0" fontId="50" fillId="0" borderId="0" xfId="6" applyNumberFormat="1" applyFont="1"/>
    <xf numFmtId="10" fontId="50" fillId="12" borderId="21" xfId="26" applyNumberFormat="1" applyFont="1" applyFill="1" applyBorder="1"/>
    <xf numFmtId="165" fontId="50" fillId="0" borderId="0" xfId="6" applyNumberFormat="1" applyFont="1"/>
    <xf numFmtId="0" fontId="64" fillId="0" borderId="0" xfId="0" applyFont="1"/>
    <xf numFmtId="0" fontId="54" fillId="0" borderId="14" xfId="0" applyFont="1" applyBorder="1"/>
    <xf numFmtId="165" fontId="54" fillId="0" borderId="14" xfId="6" applyNumberFormat="1" applyFont="1" applyBorder="1"/>
    <xf numFmtId="165" fontId="50" fillId="15" borderId="21" xfId="6" applyNumberFormat="1" applyFont="1" applyFill="1" applyBorder="1"/>
    <xf numFmtId="0" fontId="0" fillId="15" borderId="21" xfId="0" applyFill="1" applyBorder="1"/>
    <xf numFmtId="0" fontId="65" fillId="0" borderId="0" xfId="0" applyFont="1"/>
    <xf numFmtId="164" fontId="50" fillId="0" borderId="0" xfId="26" applyNumberFormat="1" applyFont="1" applyAlignment="1">
      <alignment horizontal="right"/>
    </xf>
    <xf numFmtId="0" fontId="66" fillId="16" borderId="0" xfId="0" applyFont="1" applyFill="1"/>
    <xf numFmtId="10" fontId="54" fillId="0" borderId="0" xfId="0" applyNumberFormat="1" applyFont="1"/>
    <xf numFmtId="165" fontId="50" fillId="0" borderId="0" xfId="6" applyNumberFormat="1" applyFont="1" applyBorder="1"/>
    <xf numFmtId="0" fontId="15" fillId="0" borderId="8" xfId="0" applyFont="1" applyBorder="1"/>
    <xf numFmtId="165" fontId="54" fillId="0" borderId="8" xfId="0" applyNumberFormat="1" applyFont="1" applyBorder="1"/>
    <xf numFmtId="38" fontId="15" fillId="0" borderId="8" xfId="0" applyNumberFormat="1" applyFont="1" applyBorder="1"/>
    <xf numFmtId="0" fontId="15" fillId="0" borderId="19" xfId="0" applyFont="1" applyBorder="1" applyAlignment="1">
      <alignment horizontal="center" wrapText="1"/>
    </xf>
    <xf numFmtId="165" fontId="50" fillId="0" borderId="0" xfId="6" applyNumberFormat="1" applyFont="1"/>
    <xf numFmtId="0" fontId="0" fillId="0" borderId="26" xfId="0" applyBorder="1"/>
    <xf numFmtId="0" fontId="54" fillId="0" borderId="27" xfId="0" applyFont="1" applyBorder="1"/>
    <xf numFmtId="165" fontId="54" fillId="0" borderId="28" xfId="6" applyNumberFormat="1" applyFont="1" applyBorder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0" applyNumberFormat="1"/>
    <xf numFmtId="0" fontId="0" fillId="15" borderId="14" xfId="0" applyFill="1" applyBorder="1" applyAlignment="1">
      <alignment horizontal="center"/>
    </xf>
    <xf numFmtId="0" fontId="0" fillId="15" borderId="14" xfId="0" applyFill="1" applyBorder="1" applyAlignment="1">
      <alignment horizontal="center" wrapText="1"/>
    </xf>
    <xf numFmtId="164" fontId="0" fillId="0" borderId="0" xfId="0" applyNumberFormat="1"/>
    <xf numFmtId="165" fontId="50" fillId="0" borderId="0" xfId="6" applyNumberFormat="1" applyFont="1"/>
    <xf numFmtId="165" fontId="50" fillId="11" borderId="0" xfId="6" applyNumberFormat="1" applyFont="1" applyFill="1" applyBorder="1"/>
    <xf numFmtId="165" fontId="54" fillId="0" borderId="5" xfId="6" applyNumberFormat="1" applyFont="1" applyBorder="1"/>
    <xf numFmtId="165" fontId="67" fillId="11" borderId="0" xfId="6" applyNumberFormat="1" applyFont="1" applyFill="1"/>
    <xf numFmtId="0" fontId="54" fillId="0" borderId="0" xfId="0" applyFont="1" applyAlignment="1">
      <alignment horizontal="center"/>
    </xf>
    <xf numFmtId="43" fontId="50" fillId="0" borderId="0" xfId="6" applyNumberFormat="1" applyFont="1" applyFill="1" applyAlignment="1"/>
    <xf numFmtId="165" fontId="50" fillId="0" borderId="0" xfId="6" applyNumberFormat="1" applyFont="1" applyAlignment="1"/>
    <xf numFmtId="10" fontId="50" fillId="0" borderId="0" xfId="26" applyNumberFormat="1" applyFont="1" applyFill="1" applyAlignment="1"/>
    <xf numFmtId="43" fontId="50" fillId="0" borderId="0" xfId="6" applyNumberFormat="1" applyFont="1" applyAlignment="1"/>
    <xf numFmtId="164" fontId="50" fillId="0" borderId="0" xfId="26" applyNumberFormat="1" applyFont="1" applyFill="1" applyAlignment="1"/>
    <xf numFmtId="164" fontId="50" fillId="0" borderId="0" xfId="26" applyNumberFormat="1" applyFont="1" applyAlignment="1"/>
    <xf numFmtId="164" fontId="0" fillId="0" borderId="0" xfId="0" applyNumberFormat="1" applyAlignment="1"/>
    <xf numFmtId="43" fontId="50" fillId="0" borderId="0" xfId="6" applyFont="1" applyAlignment="1">
      <alignment horizontal="center"/>
    </xf>
    <xf numFmtId="164" fontId="50" fillId="0" borderId="0" xfId="26" applyNumberFormat="1" applyFont="1" applyAlignment="1">
      <alignment horizontal="center"/>
    </xf>
    <xf numFmtId="43" fontId="50" fillId="0" borderId="0" xfId="6" applyFont="1" applyAlignment="1"/>
    <xf numFmtId="165" fontId="54" fillId="0" borderId="14" xfId="6" applyNumberFormat="1" applyFont="1" applyBorder="1" applyAlignment="1">
      <alignment horizontal="center"/>
    </xf>
    <xf numFmtId="8" fontId="0" fillId="0" borderId="0" xfId="0" applyNumberFormat="1" applyFont="1" applyAlignment="1">
      <alignment horizontal="center"/>
    </xf>
    <xf numFmtId="8" fontId="0" fillId="0" borderId="14" xfId="0" applyNumberFormat="1" applyBorder="1" applyAlignment="1">
      <alignment horizontal="center"/>
    </xf>
    <xf numFmtId="8" fontId="54" fillId="0" borderId="5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65" fontId="50" fillId="0" borderId="0" xfId="6" applyNumberFormat="1" applyFont="1"/>
    <xf numFmtId="0" fontId="54" fillId="15" borderId="14" xfId="0" applyFont="1" applyFill="1" applyBorder="1" applyAlignment="1">
      <alignment horizontal="center" wrapText="1"/>
    </xf>
    <xf numFmtId="0" fontId="68" fillId="0" borderId="0" xfId="0" applyFont="1"/>
    <xf numFmtId="165" fontId="50" fillId="12" borderId="0" xfId="6" applyNumberFormat="1" applyFont="1" applyFill="1"/>
    <xf numFmtId="165" fontId="54" fillId="0" borderId="22" xfId="6" applyNumberFormat="1" applyFont="1" applyBorder="1"/>
    <xf numFmtId="165" fontId="50" fillId="0" borderId="0" xfId="6" applyNumberFormat="1" applyFont="1" applyAlignment="1">
      <alignment horizontal="center"/>
    </xf>
    <xf numFmtId="165" fontId="50" fillId="0" borderId="0" xfId="6" applyNumberFormat="1" applyFont="1"/>
    <xf numFmtId="165" fontId="50" fillId="0" borderId="0" xfId="6" applyNumberFormat="1" applyFont="1" applyBorder="1" applyAlignment="1">
      <alignment horizontal="center"/>
    </xf>
    <xf numFmtId="0" fontId="54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165" fontId="50" fillId="0" borderId="0" xfId="6" applyNumberFormat="1" applyFont="1" applyAlignment="1">
      <alignment horizontal="center"/>
    </xf>
    <xf numFmtId="0" fontId="0" fillId="0" borderId="0" xfId="0" applyAlignment="1">
      <alignment horizontal="center"/>
    </xf>
    <xf numFmtId="165" fontId="50" fillId="0" borderId="0" xfId="6" applyNumberFormat="1" applyFont="1"/>
    <xf numFmtId="164" fontId="50" fillId="14" borderId="0" xfId="26" applyNumberFormat="1" applyFont="1" applyFill="1"/>
    <xf numFmtId="164" fontId="50" fillId="0" borderId="0" xfId="26" applyNumberFormat="1" applyFont="1" applyFill="1"/>
    <xf numFmtId="9" fontId="50" fillId="0" borderId="0" xfId="26" applyFont="1" applyBorder="1"/>
    <xf numFmtId="0" fontId="69" fillId="17" borderId="0" xfId="0" applyFont="1" applyFill="1"/>
    <xf numFmtId="0" fontId="70" fillId="0" borderId="0" xfId="0" applyFont="1"/>
    <xf numFmtId="0" fontId="70" fillId="17" borderId="0" xfId="0" applyFont="1" applyFill="1"/>
    <xf numFmtId="0" fontId="70" fillId="18" borderId="0" xfId="0" applyFont="1" applyFill="1"/>
    <xf numFmtId="0" fontId="59" fillId="19" borderId="0" xfId="0" applyFont="1" applyFill="1"/>
    <xf numFmtId="14" fontId="0" fillId="0" borderId="0" xfId="0" applyNumberFormat="1"/>
    <xf numFmtId="0" fontId="14" fillId="0" borderId="1" xfId="0" applyFont="1" applyBorder="1" applyAlignment="1">
      <alignment horizontal="center"/>
    </xf>
    <xf numFmtId="1" fontId="0" fillId="14" borderId="1" xfId="0" applyNumberFormat="1" applyFill="1" applyBorder="1" applyAlignment="1"/>
    <xf numFmtId="0" fontId="0" fillId="0" borderId="19" xfId="0" applyBorder="1"/>
    <xf numFmtId="0" fontId="54" fillId="0" borderId="0" xfId="0" applyFont="1" applyAlignment="1">
      <alignment horizontal="center"/>
    </xf>
    <xf numFmtId="165" fontId="50" fillId="0" borderId="0" xfId="6" applyNumberFormat="1" applyFont="1"/>
    <xf numFmtId="0" fontId="0" fillId="0" borderId="0" xfId="0" applyFill="1" applyBorder="1"/>
    <xf numFmtId="0" fontId="0" fillId="0" borderId="0" xfId="0" applyNumberFormat="1" applyFill="1" applyBorder="1"/>
    <xf numFmtId="168" fontId="50" fillId="0" borderId="0" xfId="6" applyNumberFormat="1" applyFont="1" applyBorder="1"/>
    <xf numFmtId="0" fontId="0" fillId="0" borderId="0" xfId="0" applyFont="1" applyFill="1"/>
    <xf numFmtId="0" fontId="65" fillId="0" borderId="23" xfId="0" applyFont="1" applyBorder="1"/>
    <xf numFmtId="0" fontId="0" fillId="0" borderId="24" xfId="0" applyBorder="1"/>
    <xf numFmtId="0" fontId="0" fillId="0" borderId="25" xfId="0" applyBorder="1"/>
    <xf numFmtId="0" fontId="54" fillId="0" borderId="16" xfId="0" applyFont="1" applyBorder="1"/>
    <xf numFmtId="0" fontId="0" fillId="0" borderId="0" xfId="0" applyFont="1" applyFill="1" applyBorder="1"/>
    <xf numFmtId="0" fontId="0" fillId="0" borderId="17" xfId="0" applyBorder="1"/>
    <xf numFmtId="0" fontId="71" fillId="0" borderId="0" xfId="0" applyFont="1" applyBorder="1" applyAlignment="1">
      <alignment horizontal="center"/>
    </xf>
    <xf numFmtId="0" fontId="71" fillId="0" borderId="0" xfId="0" applyFont="1" applyBorder="1"/>
    <xf numFmtId="43" fontId="50" fillId="20" borderId="0" xfId="6" applyFont="1" applyFill="1" applyBorder="1"/>
    <xf numFmtId="0" fontId="54" fillId="0" borderId="29" xfId="0" applyFont="1" applyBorder="1"/>
    <xf numFmtId="9" fontId="50" fillId="0" borderId="0" xfId="26" applyFont="1" applyFill="1" applyBorder="1"/>
    <xf numFmtId="0" fontId="54" fillId="0" borderId="18" xfId="0" applyFont="1" applyBorder="1"/>
    <xf numFmtId="168" fontId="0" fillId="0" borderId="19" xfId="0" applyNumberFormat="1" applyBorder="1"/>
    <xf numFmtId="0" fontId="0" fillId="0" borderId="20" xfId="0" applyBorder="1"/>
    <xf numFmtId="0" fontId="54" fillId="0" borderId="23" xfId="0" applyFont="1" applyBorder="1"/>
    <xf numFmtId="0" fontId="0" fillId="0" borderId="0" xfId="0" applyBorder="1" applyAlignment="1">
      <alignment horizontal="center" wrapText="1"/>
    </xf>
    <xf numFmtId="0" fontId="0" fillId="0" borderId="23" xfId="0" applyBorder="1"/>
    <xf numFmtId="0" fontId="0" fillId="0" borderId="16" xfId="0" applyBorder="1"/>
    <xf numFmtId="0" fontId="54" fillId="0" borderId="17" xfId="0" applyFont="1" applyBorder="1"/>
    <xf numFmtId="0" fontId="0" fillId="0" borderId="18" xfId="0" applyBorder="1"/>
    <xf numFmtId="0" fontId="0" fillId="0" borderId="16" xfId="0" applyFont="1" applyBorder="1"/>
    <xf numFmtId="0" fontId="0" fillId="0" borderId="0" xfId="0" applyFont="1" applyBorder="1"/>
    <xf numFmtId="44" fontId="50" fillId="0" borderId="16" xfId="7" applyFont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43" fontId="50" fillId="0" borderId="0" xfId="6" applyFont="1" applyFill="1" applyBorder="1"/>
    <xf numFmtId="0" fontId="54" fillId="0" borderId="24" xfId="0" applyFont="1" applyBorder="1"/>
    <xf numFmtId="0" fontId="54" fillId="0" borderId="19" xfId="0" applyFont="1" applyBorder="1"/>
    <xf numFmtId="0" fontId="63" fillId="20" borderId="21" xfId="0" applyFont="1" applyFill="1" applyBorder="1" applyAlignment="1">
      <alignment horizontal="center" vertical="center" wrapText="1"/>
    </xf>
    <xf numFmtId="43" fontId="63" fillId="20" borderId="21" xfId="6" applyFont="1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wrapText="1"/>
    </xf>
    <xf numFmtId="0" fontId="55" fillId="0" borderId="16" xfId="0" applyFont="1" applyBorder="1"/>
    <xf numFmtId="164" fontId="54" fillId="0" borderId="14" xfId="26" applyNumberFormat="1" applyFont="1" applyBorder="1"/>
    <xf numFmtId="14" fontId="54" fillId="0" borderId="0" xfId="0" applyNumberFormat="1" applyFont="1"/>
    <xf numFmtId="0" fontId="54" fillId="21" borderId="14" xfId="0" applyFont="1" applyFill="1" applyBorder="1"/>
    <xf numFmtId="165" fontId="54" fillId="21" borderId="14" xfId="6" applyNumberFormat="1" applyFont="1" applyFill="1" applyBorder="1"/>
    <xf numFmtId="0" fontId="55" fillId="21" borderId="0" xfId="0" applyFont="1" applyFill="1"/>
    <xf numFmtId="0" fontId="0" fillId="21" borderId="0" xfId="0" applyFill="1"/>
    <xf numFmtId="43" fontId="50" fillId="21" borderId="0" xfId="6" applyFont="1" applyFill="1"/>
    <xf numFmtId="0" fontId="72" fillId="0" borderId="0" xfId="0" applyFont="1"/>
    <xf numFmtId="0" fontId="73" fillId="22" borderId="30" xfId="0" applyFont="1" applyFill="1" applyBorder="1"/>
    <xf numFmtId="0" fontId="73" fillId="22" borderId="31" xfId="0" applyFont="1" applyFill="1" applyBorder="1"/>
    <xf numFmtId="0" fontId="74" fillId="0" borderId="0" xfId="0" applyFont="1"/>
    <xf numFmtId="0" fontId="74" fillId="22" borderId="32" xfId="0" applyFont="1" applyFill="1" applyBorder="1"/>
    <xf numFmtId="0" fontId="74" fillId="0" borderId="16" xfId="0" applyFont="1" applyBorder="1"/>
    <xf numFmtId="0" fontId="74" fillId="0" borderId="17" xfId="0" applyFont="1" applyBorder="1"/>
    <xf numFmtId="0" fontId="74" fillId="0" borderId="61" xfId="0" applyFont="1" applyBorder="1"/>
    <xf numFmtId="0" fontId="70" fillId="0" borderId="16" xfId="0" applyFont="1" applyBorder="1"/>
    <xf numFmtId="0" fontId="70" fillId="0" borderId="61" xfId="0" applyFont="1" applyBorder="1"/>
    <xf numFmtId="9" fontId="74" fillId="0" borderId="0" xfId="0" applyNumberFormat="1" applyFont="1" applyAlignment="1">
      <alignment horizontal="left"/>
    </xf>
    <xf numFmtId="9" fontId="74" fillId="0" borderId="16" xfId="0" applyNumberFormat="1" applyFont="1" applyBorder="1" applyAlignment="1">
      <alignment horizontal="left"/>
    </xf>
    <xf numFmtId="9" fontId="74" fillId="0" borderId="61" xfId="0" applyNumberFormat="1" applyFont="1" applyBorder="1" applyAlignment="1">
      <alignment horizontal="left"/>
    </xf>
    <xf numFmtId="0" fontId="70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70" fillId="0" borderId="20" xfId="0" applyFont="1" applyBorder="1"/>
    <xf numFmtId="165" fontId="50" fillId="0" borderId="0" xfId="6" applyNumberFormat="1" applyFont="1"/>
    <xf numFmtId="0" fontId="54" fillId="0" borderId="8" xfId="0" applyFont="1" applyBorder="1"/>
    <xf numFmtId="165" fontId="54" fillId="0" borderId="5" xfId="6" applyNumberFormat="1" applyFont="1" applyBorder="1"/>
    <xf numFmtId="164" fontId="54" fillId="0" borderId="5" xfId="26" applyNumberFormat="1" applyFont="1" applyBorder="1"/>
    <xf numFmtId="41" fontId="0" fillId="0" borderId="6" xfId="0" applyNumberFormat="1" applyBorder="1"/>
    <xf numFmtId="170" fontId="50" fillId="0" borderId="0" xfId="26" applyNumberFormat="1" applyFont="1" applyBorder="1"/>
    <xf numFmtId="41" fontId="50" fillId="0" borderId="6" xfId="26" applyNumberFormat="1" applyFont="1" applyBorder="1"/>
    <xf numFmtId="10" fontId="50" fillId="0" borderId="0" xfId="26" applyNumberFormat="1" applyFont="1" applyBorder="1"/>
    <xf numFmtId="0" fontId="0" fillId="0" borderId="0" xfId="0" applyFont="1" applyAlignment="1"/>
    <xf numFmtId="172" fontId="50" fillId="0" borderId="0" xfId="26" applyNumberFormat="1" applyFont="1"/>
    <xf numFmtId="172" fontId="50" fillId="14" borderId="0" xfId="26" applyNumberFormat="1" applyFont="1" applyFill="1"/>
    <xf numFmtId="169" fontId="63" fillId="20" borderId="21" xfId="26" applyNumberFormat="1" applyFont="1" applyFill="1" applyBorder="1" applyAlignment="1">
      <alignment horizontal="center" vertical="center" wrapText="1"/>
    </xf>
    <xf numFmtId="169" fontId="63" fillId="20" borderId="21" xfId="6" applyNumberFormat="1" applyFont="1" applyFill="1" applyBorder="1" applyAlignment="1">
      <alignment horizontal="center" vertical="center" wrapText="1"/>
    </xf>
    <xf numFmtId="0" fontId="0" fillId="0" borderId="19" xfId="0" applyFont="1" applyBorder="1"/>
    <xf numFmtId="0" fontId="54" fillId="0" borderId="20" xfId="0" applyFon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/>
    <xf numFmtId="0" fontId="0" fillId="0" borderId="33" xfId="0" applyBorder="1"/>
    <xf numFmtId="3" fontId="0" fillId="0" borderId="33" xfId="0" applyNumberFormat="1" applyBorder="1" applyAlignment="1">
      <alignment horizontal="center"/>
    </xf>
    <xf numFmtId="164" fontId="50" fillId="0" borderId="34" xfId="26" applyNumberFormat="1" applyFont="1" applyBorder="1" applyAlignment="1">
      <alignment horizontal="center"/>
    </xf>
    <xf numFmtId="41" fontId="0" fillId="0" borderId="34" xfId="0" applyNumberFormat="1" applyBorder="1"/>
    <xf numFmtId="0" fontId="0" fillId="0" borderId="34" xfId="0" applyBorder="1"/>
    <xf numFmtId="3" fontId="0" fillId="0" borderId="34" xfId="0" applyNumberFormat="1" applyBorder="1" applyAlignment="1">
      <alignment horizontal="center"/>
    </xf>
    <xf numFmtId="170" fontId="50" fillId="0" borderId="10" xfId="26" applyNumberFormat="1" applyFont="1" applyBorder="1"/>
    <xf numFmtId="3" fontId="0" fillId="0" borderId="35" xfId="0" applyNumberFormat="1" applyBorder="1" applyAlignment="1">
      <alignment horizontal="center"/>
    </xf>
    <xf numFmtId="9" fontId="50" fillId="0" borderId="35" xfId="26" applyFont="1" applyBorder="1" applyAlignment="1">
      <alignment horizontal="center"/>
    </xf>
    <xf numFmtId="10" fontId="50" fillId="0" borderId="21" xfId="26" applyNumberFormat="1" applyFont="1" applyBorder="1"/>
    <xf numFmtId="0" fontId="0" fillId="0" borderId="34" xfId="0" applyNumberFormat="1" applyBorder="1"/>
    <xf numFmtId="171" fontId="0" fillId="0" borderId="34" xfId="0" applyNumberFormat="1" applyBorder="1"/>
    <xf numFmtId="10" fontId="50" fillId="14" borderId="21" xfId="26" applyNumberFormat="1" applyFont="1" applyFill="1" applyBorder="1"/>
    <xf numFmtId="10" fontId="50" fillId="0" borderId="10" xfId="26" applyNumberFormat="1" applyFont="1" applyBorder="1"/>
    <xf numFmtId="0" fontId="0" fillId="0" borderId="21" xfId="0" applyBorder="1" applyAlignment="1">
      <alignment horizontal="left"/>
    </xf>
    <xf numFmtId="2" fontId="0" fillId="0" borderId="21" xfId="0" applyNumberFormat="1" applyBorder="1" applyAlignment="1">
      <alignment horizontal="center"/>
    </xf>
    <xf numFmtId="2" fontId="0" fillId="14" borderId="21" xfId="0" applyNumberFormat="1" applyFill="1" applyBorder="1" applyAlignment="1">
      <alignment horizontal="center"/>
    </xf>
    <xf numFmtId="0" fontId="54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8" fontId="54" fillId="0" borderId="5" xfId="0" applyNumberFormat="1" applyFont="1" applyBorder="1" applyAlignment="1">
      <alignment horizontal="center"/>
    </xf>
    <xf numFmtId="165" fontId="54" fillId="0" borderId="14" xfId="6" applyNumberFormat="1" applyFont="1" applyBorder="1" applyAlignment="1">
      <alignment horizontal="center"/>
    </xf>
    <xf numFmtId="165" fontId="50" fillId="0" borderId="0" xfId="6" applyNumberFormat="1" applyFont="1" applyAlignment="1">
      <alignment horizontal="center"/>
    </xf>
    <xf numFmtId="165" fontId="50" fillId="0" borderId="0" xfId="6" applyNumberFormat="1" applyFont="1"/>
    <xf numFmtId="165" fontId="54" fillId="0" borderId="0" xfId="6" applyNumberFormat="1" applyFont="1" applyBorder="1" applyAlignment="1">
      <alignment horizontal="center"/>
    </xf>
    <xf numFmtId="0" fontId="54" fillId="23" borderId="0" xfId="0" applyFont="1" applyFill="1"/>
    <xf numFmtId="0" fontId="0" fillId="23" borderId="0" xfId="0" applyFill="1"/>
    <xf numFmtId="0" fontId="54" fillId="24" borderId="0" xfId="0" applyFont="1" applyFill="1"/>
    <xf numFmtId="0" fontId="0" fillId="24" borderId="0" xfId="0" applyFill="1"/>
    <xf numFmtId="0" fontId="54" fillId="25" borderId="0" xfId="0" applyFont="1" applyFill="1"/>
    <xf numFmtId="0" fontId="0" fillId="25" borderId="0" xfId="0" applyFill="1"/>
    <xf numFmtId="165" fontId="50" fillId="25" borderId="0" xfId="6" applyNumberFormat="1" applyFont="1" applyFill="1" applyAlignment="1">
      <alignment horizontal="center"/>
    </xf>
    <xf numFmtId="165" fontId="50" fillId="24" borderId="0" xfId="6" applyNumberFormat="1" applyFont="1" applyFill="1"/>
    <xf numFmtId="0" fontId="54" fillId="26" borderId="0" xfId="0" applyFont="1" applyFill="1"/>
    <xf numFmtId="0" fontId="0" fillId="26" borderId="0" xfId="0" applyFill="1"/>
    <xf numFmtId="10" fontId="54" fillId="24" borderId="0" xfId="26" applyNumberFormat="1" applyFont="1" applyFill="1"/>
    <xf numFmtId="170" fontId="50" fillId="0" borderId="0" xfId="26" applyNumberFormat="1" applyFont="1"/>
    <xf numFmtId="165" fontId="54" fillId="26" borderId="5" xfId="0" applyNumberFormat="1" applyFont="1" applyFill="1" applyBorder="1"/>
    <xf numFmtId="0" fontId="54" fillId="26" borderId="5" xfId="0" applyFont="1" applyFill="1" applyBorder="1"/>
    <xf numFmtId="165" fontId="54" fillId="23" borderId="5" xfId="0" applyNumberFormat="1" applyFont="1" applyFill="1" applyBorder="1"/>
    <xf numFmtId="0" fontId="54" fillId="23" borderId="5" xfId="0" applyFont="1" applyFill="1" applyBorder="1"/>
    <xf numFmtId="44" fontId="54" fillId="11" borderId="5" xfId="7" applyFont="1" applyFill="1" applyBorder="1"/>
    <xf numFmtId="43" fontId="54" fillId="25" borderId="0" xfId="6" applyFont="1" applyFill="1"/>
    <xf numFmtId="0" fontId="54" fillId="0" borderId="0" xfId="0" applyFont="1" applyAlignment="1">
      <alignment horizontal="center"/>
    </xf>
    <xf numFmtId="0" fontId="54" fillId="0" borderId="24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165" fontId="50" fillId="0" borderId="0" xfId="6" applyNumberFormat="1" applyFont="1"/>
    <xf numFmtId="0" fontId="54" fillId="0" borderId="0" xfId="0" applyFont="1" applyBorder="1" applyAlignment="1"/>
    <xf numFmtId="0" fontId="75" fillId="0" borderId="0" xfId="0" applyFont="1" applyBorder="1" applyAlignment="1"/>
    <xf numFmtId="0" fontId="54" fillId="0" borderId="24" xfId="0" applyFont="1" applyBorder="1" applyAlignment="1"/>
    <xf numFmtId="0" fontId="0" fillId="20" borderId="21" xfId="0" applyFill="1" applyBorder="1"/>
    <xf numFmtId="0" fontId="54" fillId="0" borderId="5" xfId="0" applyFont="1" applyBorder="1"/>
    <xf numFmtId="43" fontId="54" fillId="0" borderId="5" xfId="6" applyFont="1" applyBorder="1"/>
    <xf numFmtId="0" fontId="0" fillId="0" borderId="14" xfId="0" applyBorder="1"/>
    <xf numFmtId="0" fontId="54" fillId="0" borderId="0" xfId="0" applyFont="1" applyFill="1" applyBorder="1"/>
    <xf numFmtId="164" fontId="0" fillId="0" borderId="0" xfId="0" applyNumberFormat="1" applyBorder="1"/>
    <xf numFmtId="0" fontId="54" fillId="0" borderId="36" xfId="0" applyFont="1" applyBorder="1"/>
    <xf numFmtId="0" fontId="54" fillId="0" borderId="5" xfId="0" applyFont="1" applyFill="1" applyBorder="1"/>
    <xf numFmtId="43" fontId="50" fillId="0" borderId="14" xfId="6" applyFont="1" applyBorder="1"/>
    <xf numFmtId="9" fontId="54" fillId="0" borderId="24" xfId="26" applyFont="1" applyBorder="1" applyAlignment="1"/>
    <xf numFmtId="165" fontId="50" fillId="0" borderId="0" xfId="6" applyNumberFormat="1" applyFont="1" applyFill="1" applyBorder="1" applyAlignment="1">
      <alignment horizontal="center"/>
    </xf>
    <xf numFmtId="165" fontId="50" fillId="0" borderId="14" xfId="6" applyNumberFormat="1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0" xfId="0"/>
    <xf numFmtId="164" fontId="50" fillId="0" borderId="0" xfId="26" applyNumberFormat="1" applyFont="1" applyBorder="1"/>
    <xf numFmtId="0" fontId="0" fillId="0" borderId="11" xfId="0" applyBorder="1"/>
    <xf numFmtId="164" fontId="50" fillId="0" borderId="14" xfId="26" applyNumberFormat="1" applyFont="1" applyBorder="1"/>
    <xf numFmtId="0" fontId="54" fillId="14" borderId="37" xfId="0" applyFont="1" applyFill="1" applyBorder="1"/>
    <xf numFmtId="0" fontId="0" fillId="14" borderId="38" xfId="0" applyFill="1" applyBorder="1"/>
    <xf numFmtId="0" fontId="0" fillId="14" borderId="39" xfId="0" applyFill="1" applyBorder="1"/>
    <xf numFmtId="172" fontId="50" fillId="0" borderId="0" xfId="26" applyNumberFormat="1" applyFont="1" applyBorder="1"/>
    <xf numFmtId="172" fontId="50" fillId="0" borderId="12" xfId="26" applyNumberFormat="1" applyFont="1" applyBorder="1"/>
    <xf numFmtId="164" fontId="50" fillId="14" borderId="0" xfId="26" applyNumberFormat="1" applyFont="1" applyFill="1" applyBorder="1"/>
    <xf numFmtId="172" fontId="50" fillId="14" borderId="0" xfId="26" applyNumberFormat="1" applyFont="1" applyFill="1" applyBorder="1"/>
    <xf numFmtId="172" fontId="50" fillId="14" borderId="12" xfId="26" applyNumberFormat="1" applyFont="1" applyFill="1" applyBorder="1"/>
    <xf numFmtId="0" fontId="0" fillId="0" borderId="13" xfId="0" applyBorder="1"/>
    <xf numFmtId="172" fontId="50" fillId="0" borderId="15" xfId="26" applyNumberFormat="1" applyFont="1" applyBorder="1"/>
    <xf numFmtId="0" fontId="0" fillId="0" borderId="11" xfId="0" applyBorder="1"/>
    <xf numFmtId="0" fontId="54" fillId="14" borderId="11" xfId="0" applyFont="1" applyFill="1" applyBorder="1"/>
    <xf numFmtId="172" fontId="50" fillId="0" borderId="14" xfId="26" applyNumberFormat="1" applyFont="1" applyBorder="1"/>
    <xf numFmtId="0" fontId="0" fillId="0" borderId="0" xfId="0" applyAlignment="1">
      <alignment horizontal="center"/>
    </xf>
    <xf numFmtId="165" fontId="50" fillId="11" borderId="0" xfId="6" applyNumberFormat="1" applyFont="1" applyFill="1" applyAlignment="1">
      <alignment horizontal="center"/>
    </xf>
    <xf numFmtId="0" fontId="0" fillId="27" borderId="21" xfId="0" applyFill="1" applyBorder="1"/>
    <xf numFmtId="0" fontId="55" fillId="0" borderId="0" xfId="21" applyFont="1"/>
    <xf numFmtId="0" fontId="51" fillId="0" borderId="0" xfId="21"/>
    <xf numFmtId="0" fontId="51" fillId="0" borderId="0" xfId="21" applyAlignment="1">
      <alignment horizontal="center"/>
    </xf>
    <xf numFmtId="0" fontId="0" fillId="20" borderId="21" xfId="0" applyFill="1" applyBorder="1"/>
    <xf numFmtId="0" fontId="0" fillId="0" borderId="24" xfId="0" applyFont="1" applyFill="1" applyBorder="1"/>
    <xf numFmtId="0" fontId="0" fillId="16" borderId="0" xfId="0" applyFill="1" applyAlignment="1"/>
    <xf numFmtId="0" fontId="54" fillId="0" borderId="0" xfId="0" applyFont="1" applyAlignment="1">
      <alignment horizontal="center"/>
    </xf>
    <xf numFmtId="0" fontId="71" fillId="0" borderId="0" xfId="0" applyFont="1" applyBorder="1" applyAlignment="1">
      <alignment horizontal="center"/>
    </xf>
    <xf numFmtId="8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50" fillId="0" borderId="0" xfId="6" applyNumberFormat="1" applyFont="1" applyFill="1" applyAlignment="1">
      <alignment horizontal="center"/>
    </xf>
    <xf numFmtId="10" fontId="50" fillId="0" borderId="0" xfId="26" applyNumberFormat="1" applyFont="1" applyFill="1" applyAlignment="1"/>
    <xf numFmtId="0" fontId="71" fillId="0" borderId="0" xfId="0" applyFont="1" applyBorder="1" applyAlignment="1">
      <alignment horizontal="center"/>
    </xf>
    <xf numFmtId="43" fontId="50" fillId="0" borderId="0" xfId="6" applyNumberFormat="1" applyFont="1" applyFill="1" applyAlignment="1"/>
    <xf numFmtId="43" fontId="50" fillId="0" borderId="0" xfId="6" applyNumberFormat="1" applyFont="1" applyAlignment="1"/>
    <xf numFmtId="0" fontId="54" fillId="0" borderId="0" xfId="0" applyFont="1" applyAlignment="1">
      <alignment horizontal="center"/>
    </xf>
    <xf numFmtId="10" fontId="50" fillId="0" borderId="0" xfId="26" applyNumberFormat="1" applyFont="1" applyAlignment="1"/>
    <xf numFmtId="166" fontId="50" fillId="0" borderId="0" xfId="6" applyNumberFormat="1" applyFont="1" applyAlignment="1"/>
    <xf numFmtId="0" fontId="54" fillId="2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7" fillId="0" borderId="0" xfId="0" applyFont="1" applyFill="1" applyBorder="1"/>
    <xf numFmtId="0" fontId="54" fillId="0" borderId="0" xfId="0" applyFont="1"/>
    <xf numFmtId="165" fontId="55" fillId="11" borderId="0" xfId="6" applyNumberFormat="1" applyFont="1" applyFill="1"/>
    <xf numFmtId="0" fontId="0" fillId="0" borderId="0" xfId="0" applyFill="1" applyBorder="1" applyAlignment="1">
      <alignment horizontal="center"/>
    </xf>
    <xf numFmtId="0" fontId="17" fillId="0" borderId="9" xfId="0" applyFont="1" applyBorder="1"/>
    <xf numFmtId="0" fontId="17" fillId="0" borderId="7" xfId="0" applyFont="1" applyBorder="1"/>
    <xf numFmtId="165" fontId="17" fillId="0" borderId="10" xfId="6" applyNumberFormat="1" applyFont="1" applyBorder="1"/>
    <xf numFmtId="165" fontId="54" fillId="0" borderId="37" xfId="6" applyNumberFormat="1" applyFont="1" applyFill="1" applyBorder="1"/>
    <xf numFmtId="0" fontId="0" fillId="0" borderId="38" xfId="0" applyBorder="1"/>
    <xf numFmtId="0" fontId="0" fillId="0" borderId="39" xfId="0" applyBorder="1"/>
    <xf numFmtId="0" fontId="0" fillId="0" borderId="12" xfId="0" applyBorder="1"/>
    <xf numFmtId="43" fontId="50" fillId="0" borderId="12" xfId="6" applyFont="1" applyBorder="1"/>
    <xf numFmtId="164" fontId="50" fillId="0" borderId="21" xfId="26" applyNumberFormat="1" applyFont="1" applyBorder="1"/>
    <xf numFmtId="0" fontId="0" fillId="0" borderId="11" xfId="0" applyFill="1" applyBorder="1"/>
    <xf numFmtId="0" fontId="0" fillId="0" borderId="12" xfId="0" applyFill="1" applyBorder="1"/>
    <xf numFmtId="43" fontId="50" fillId="0" borderId="12" xfId="6" applyFont="1" applyFill="1" applyBorder="1"/>
    <xf numFmtId="0" fontId="54" fillId="0" borderId="13" xfId="0" applyFont="1" applyFill="1" applyBorder="1"/>
    <xf numFmtId="0" fontId="54" fillId="0" borderId="14" xfId="0" applyFont="1" applyFill="1" applyBorder="1"/>
    <xf numFmtId="43" fontId="54" fillId="0" borderId="15" xfId="0" applyNumberFormat="1" applyFont="1" applyFill="1" applyBorder="1" applyAlignment="1">
      <alignment horizontal="center"/>
    </xf>
    <xf numFmtId="165" fontId="50" fillId="0" borderId="0" xfId="6" applyNumberFormat="1" applyFont="1" applyFill="1" applyBorder="1"/>
    <xf numFmtId="43" fontId="0" fillId="0" borderId="0" xfId="0" applyNumberFormat="1" applyFill="1" applyBorder="1"/>
    <xf numFmtId="43" fontId="50" fillId="0" borderId="21" xfId="6" applyFont="1" applyBorder="1"/>
    <xf numFmtId="43" fontId="0" fillId="0" borderId="39" xfId="0" applyNumberFormat="1" applyBorder="1"/>
    <xf numFmtId="0" fontId="0" fillId="0" borderId="12" xfId="0" applyFill="1" applyBorder="1" applyAlignment="1">
      <alignment horizontal="center"/>
    </xf>
    <xf numFmtId="0" fontId="0" fillId="0" borderId="11" xfId="0" quotePrefix="1" applyBorder="1"/>
    <xf numFmtId="0" fontId="54" fillId="0" borderId="13" xfId="0" applyFont="1" applyBorder="1"/>
    <xf numFmtId="0" fontId="54" fillId="0" borderId="14" xfId="0" applyFont="1" applyBorder="1"/>
    <xf numFmtId="165" fontId="54" fillId="0" borderId="15" xfId="6" applyNumberFormat="1" applyFont="1" applyBorder="1"/>
    <xf numFmtId="0" fontId="54" fillId="0" borderId="0" xfId="0" applyFont="1" applyFill="1" applyAlignment="1">
      <alignment horizontal="center"/>
    </xf>
    <xf numFmtId="0" fontId="54" fillId="0" borderId="0" xfId="0" applyFont="1" applyFill="1" applyBorder="1" applyAlignment="1">
      <alignment horizontal="center"/>
    </xf>
    <xf numFmtId="9" fontId="54" fillId="0" borderId="0" xfId="0" applyNumberFormat="1" applyFont="1" applyFill="1" applyBorder="1" applyAlignment="1">
      <alignment horizontal="center"/>
    </xf>
    <xf numFmtId="164" fontId="54" fillId="0" borderId="0" xfId="0" applyNumberFormat="1" applyFont="1" applyFill="1" applyBorder="1" applyAlignment="1">
      <alignment horizontal="center"/>
    </xf>
    <xf numFmtId="8" fontId="0" fillId="0" borderId="0" xfId="0" applyNumberFormat="1" applyFill="1" applyBorder="1"/>
    <xf numFmtId="164" fontId="50" fillId="0" borderId="0" xfId="26" applyNumberFormat="1" applyFont="1" applyFill="1" applyBorder="1"/>
    <xf numFmtId="0" fontId="51" fillId="0" borderId="0" xfId="0" applyFont="1"/>
    <xf numFmtId="9" fontId="65" fillId="0" borderId="0" xfId="26" applyFont="1" applyFill="1" applyAlignment="1">
      <alignment horizontal="left"/>
    </xf>
    <xf numFmtId="44" fontId="0" fillId="0" borderId="0" xfId="0" applyNumberFormat="1"/>
    <xf numFmtId="165" fontId="54" fillId="24" borderId="0" xfId="6" applyNumberFormat="1" applyFont="1" applyFill="1" applyBorder="1" applyAlignment="1">
      <alignment horizontal="center"/>
    </xf>
    <xf numFmtId="8" fontId="54" fillId="0" borderId="0" xfId="0" applyNumberFormat="1" applyFont="1" applyBorder="1" applyAlignment="1">
      <alignment horizontal="center"/>
    </xf>
    <xf numFmtId="0" fontId="54" fillId="0" borderId="0" xfId="0" applyFont="1" applyFill="1"/>
    <xf numFmtId="165" fontId="54" fillId="0" borderId="0" xfId="6" applyNumberFormat="1" applyFont="1" applyFill="1" applyBorder="1" applyAlignment="1">
      <alignment horizontal="center"/>
    </xf>
    <xf numFmtId="43" fontId="54" fillId="24" borderId="0" xfId="6" applyNumberFormat="1" applyFont="1" applyFill="1" applyBorder="1" applyAlignment="1">
      <alignment horizontal="center"/>
    </xf>
    <xf numFmtId="43" fontId="54" fillId="24" borderId="0" xfId="6" applyFont="1" applyFill="1"/>
    <xf numFmtId="10" fontId="54" fillId="28" borderId="0" xfId="26" applyNumberFormat="1" applyFont="1" applyFill="1"/>
    <xf numFmtId="9" fontId="65" fillId="11" borderId="0" xfId="26" applyFont="1" applyFill="1"/>
    <xf numFmtId="165" fontId="65" fillId="0" borderId="0" xfId="6" applyNumberFormat="1" applyFont="1" applyFill="1"/>
    <xf numFmtId="0" fontId="42" fillId="0" borderId="0" xfId="0" applyFont="1"/>
    <xf numFmtId="44" fontId="54" fillId="0" borderId="0" xfId="0" applyNumberFormat="1" applyFont="1"/>
    <xf numFmtId="0" fontId="0" fillId="0" borderId="0" xfId="0" applyFill="1" applyBorder="1" applyAlignment="1"/>
    <xf numFmtId="38" fontId="13" fillId="0" borderId="0" xfId="0" applyNumberFormat="1" applyFont="1" applyFill="1" applyBorder="1" applyAlignment="1"/>
    <xf numFmtId="0" fontId="54" fillId="0" borderId="0" xfId="0" applyFont="1" applyFill="1" applyBorder="1" applyAlignment="1"/>
    <xf numFmtId="0" fontId="0" fillId="0" borderId="0" xfId="0" applyFont="1"/>
    <xf numFmtId="0" fontId="50" fillId="0" borderId="0" xfId="21" applyFont="1"/>
    <xf numFmtId="0" fontId="50" fillId="0" borderId="0" xfId="21" applyFont="1" applyFill="1"/>
    <xf numFmtId="9" fontId="64" fillId="0" borderId="0" xfId="26" applyFont="1" applyFill="1"/>
    <xf numFmtId="0" fontId="50" fillId="0" borderId="0" xfId="21" applyFont="1"/>
    <xf numFmtId="0" fontId="0" fillId="0" borderId="0" xfId="0" applyFont="1" applyFill="1"/>
    <xf numFmtId="0" fontId="50" fillId="0" borderId="0" xfId="21" applyFont="1" applyFill="1"/>
    <xf numFmtId="165" fontId="50" fillId="0" borderId="0" xfId="6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164" fontId="50" fillId="0" borderId="0" xfId="26" applyNumberFormat="1" applyFont="1" applyFill="1" applyAlignment="1">
      <alignment horizontal="right"/>
    </xf>
    <xf numFmtId="10" fontId="50" fillId="0" borderId="0" xfId="26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16" borderId="0" xfId="0" applyFill="1"/>
    <xf numFmtId="165" fontId="50" fillId="0" borderId="0" xfId="6" applyNumberFormat="1" applyFont="1" applyFill="1"/>
    <xf numFmtId="165" fontId="50" fillId="0" borderId="0" xfId="6" applyNumberFormat="1" applyFont="1" applyFill="1" applyAlignment="1">
      <alignment horizontal="right"/>
    </xf>
    <xf numFmtId="9" fontId="50" fillId="0" borderId="0" xfId="26" applyFont="1" applyAlignment="1">
      <alignment horizontal="right"/>
    </xf>
    <xf numFmtId="164" fontId="51" fillId="0" borderId="0" xfId="26" applyNumberFormat="1" applyFont="1"/>
    <xf numFmtId="0" fontId="55" fillId="29" borderId="0" xfId="21" applyFont="1" applyFill="1"/>
    <xf numFmtId="0" fontId="55" fillId="30" borderId="0" xfId="21" applyFont="1" applyFill="1" applyAlignment="1">
      <alignment horizontal="center"/>
    </xf>
    <xf numFmtId="16" fontId="55" fillId="30" borderId="0" xfId="21" quotePrefix="1" applyNumberFormat="1" applyFont="1" applyFill="1" applyAlignment="1">
      <alignment horizontal="center"/>
    </xf>
    <xf numFmtId="0" fontId="55" fillId="30" borderId="0" xfId="21" quotePrefix="1" applyFont="1" applyFill="1" applyAlignment="1">
      <alignment horizontal="center"/>
    </xf>
    <xf numFmtId="0" fontId="55" fillId="29" borderId="0" xfId="21" applyFont="1" applyFill="1" applyAlignment="1">
      <alignment horizontal="center"/>
    </xf>
    <xf numFmtId="164" fontId="51" fillId="0" borderId="0" xfId="26" applyNumberFormat="1" applyFont="1" applyAlignment="1">
      <alignment horizontal="center"/>
    </xf>
    <xf numFmtId="164" fontId="51" fillId="0" borderId="0" xfId="26" quotePrefix="1" applyNumberFormat="1" applyFont="1" applyAlignment="1">
      <alignment horizontal="center"/>
    </xf>
    <xf numFmtId="9" fontId="51" fillId="0" borderId="0" xfId="26" applyFont="1" applyAlignment="1">
      <alignment horizontal="center"/>
    </xf>
    <xf numFmtId="0" fontId="55" fillId="0" borderId="0" xfId="21" applyFont="1" applyAlignment="1">
      <alignment horizontal="left"/>
    </xf>
    <xf numFmtId="0" fontId="51" fillId="0" borderId="0" xfId="21" applyAlignment="1">
      <alignment horizontal="left"/>
    </xf>
    <xf numFmtId="164" fontId="51" fillId="0" borderId="0" xfId="21" applyNumberFormat="1"/>
    <xf numFmtId="43" fontId="51" fillId="0" borderId="0" xfId="6" applyFont="1"/>
    <xf numFmtId="10" fontId="51" fillId="0" borderId="0" xfId="21" applyNumberFormat="1"/>
    <xf numFmtId="165" fontId="51" fillId="0" borderId="0" xfId="6" applyNumberFormat="1" applyFont="1"/>
    <xf numFmtId="165" fontId="51" fillId="0" borderId="0" xfId="6" applyNumberFormat="1" applyFont="1" applyAlignment="1">
      <alignment horizontal="right"/>
    </xf>
    <xf numFmtId="10" fontId="51" fillId="0" borderId="0" xfId="26" applyNumberFormat="1" applyFont="1"/>
    <xf numFmtId="0" fontId="54" fillId="0" borderId="5" xfId="0" applyFont="1" applyFill="1" applyBorder="1"/>
    <xf numFmtId="165" fontId="76" fillId="0" borderId="0" xfId="6" applyNumberFormat="1" applyFont="1" applyFill="1"/>
    <xf numFmtId="0" fontId="76" fillId="0" borderId="0" xfId="0" applyFont="1" applyFill="1"/>
    <xf numFmtId="164" fontId="50" fillId="0" borderId="0" xfId="26" applyNumberFormat="1" applyFont="1" applyBorder="1" applyAlignment="1">
      <alignment horizontal="center"/>
    </xf>
    <xf numFmtId="0" fontId="77" fillId="16" borderId="0" xfId="0" applyFont="1" applyFill="1"/>
    <xf numFmtId="43" fontId="77" fillId="16" borderId="0" xfId="6" applyFont="1" applyFill="1"/>
    <xf numFmtId="165" fontId="50" fillId="0" borderId="23" xfId="6" applyNumberFormat="1" applyFont="1" applyFill="1" applyBorder="1"/>
    <xf numFmtId="165" fontId="50" fillId="0" borderId="16" xfId="6" applyNumberFormat="1" applyFont="1" applyFill="1" applyBorder="1"/>
    <xf numFmtId="43" fontId="0" fillId="0" borderId="25" xfId="0" applyNumberFormat="1" applyBorder="1"/>
    <xf numFmtId="43" fontId="0" fillId="0" borderId="17" xfId="0" applyNumberFormat="1" applyBorder="1"/>
    <xf numFmtId="0" fontId="51" fillId="0" borderId="0" xfId="0" applyFont="1" applyFill="1"/>
    <xf numFmtId="9" fontId="65" fillId="0" borderId="0" xfId="26" applyFont="1" applyFill="1"/>
    <xf numFmtId="0" fontId="56" fillId="0" borderId="0" xfId="0" applyFont="1" applyFill="1"/>
    <xf numFmtId="0" fontId="0" fillId="11" borderId="21" xfId="0" applyFont="1" applyFill="1" applyBorder="1" applyAlignment="1">
      <alignment horizontal="right"/>
    </xf>
    <xf numFmtId="165" fontId="50" fillId="11" borderId="21" xfId="6" applyNumberFormat="1" applyFont="1" applyFill="1" applyBorder="1"/>
    <xf numFmtId="0" fontId="0" fillId="11" borderId="21" xfId="0" applyFont="1" applyFill="1" applyBorder="1"/>
    <xf numFmtId="0" fontId="51" fillId="0" borderId="0" xfId="6" applyNumberFormat="1" applyFont="1"/>
    <xf numFmtId="165" fontId="50" fillId="0" borderId="14" xfId="6" applyNumberFormat="1" applyFont="1" applyFill="1" applyBorder="1" applyAlignment="1">
      <alignment horizontal="center"/>
    </xf>
    <xf numFmtId="0" fontId="54" fillId="0" borderId="8" xfId="0" applyFont="1" applyFill="1" applyBorder="1"/>
    <xf numFmtId="0" fontId="0" fillId="20" borderId="21" xfId="0" applyFill="1" applyBorder="1"/>
    <xf numFmtId="165" fontId="50" fillId="20" borderId="21" xfId="6" applyNumberFormat="1" applyFont="1" applyFill="1" applyBorder="1" applyAlignment="1">
      <alignment horizontal="center"/>
    </xf>
    <xf numFmtId="0" fontId="71" fillId="0" borderId="0" xfId="0" applyFont="1" applyBorder="1" applyAlignment="1"/>
    <xf numFmtId="0" fontId="0" fillId="20" borderId="9" xfId="0" applyFill="1" applyBorder="1"/>
    <xf numFmtId="0" fontId="0" fillId="16" borderId="0" xfId="0" applyFill="1" applyBorder="1"/>
    <xf numFmtId="165" fontId="50" fillId="20" borderId="10" xfId="6" applyNumberFormat="1" applyFont="1" applyFill="1" applyBorder="1" applyAlignment="1">
      <alignment horizontal="center"/>
    </xf>
    <xf numFmtId="9" fontId="50" fillId="0" borderId="0" xfId="26" applyNumberFormat="1" applyFont="1" applyBorder="1" applyAlignment="1">
      <alignment horizontal="center"/>
    </xf>
    <xf numFmtId="10" fontId="54" fillId="0" borderId="0" xfId="26" applyNumberFormat="1" applyFont="1" applyFill="1"/>
    <xf numFmtId="43" fontId="54" fillId="0" borderId="0" xfId="6" applyFont="1" applyFill="1"/>
    <xf numFmtId="0" fontId="54" fillId="0" borderId="0" xfId="6" applyNumberFormat="1" applyFont="1" applyFill="1"/>
    <xf numFmtId="43" fontId="54" fillId="0" borderId="0" xfId="6" applyNumberFormat="1" applyFont="1" applyFill="1"/>
    <xf numFmtId="0" fontId="54" fillId="0" borderId="0" xfId="0" applyFont="1" applyAlignment="1">
      <alignment horizontal="right"/>
    </xf>
    <xf numFmtId="38" fontId="78" fillId="0" borderId="0" xfId="0" applyNumberFormat="1" applyFont="1"/>
    <xf numFmtId="0" fontId="79" fillId="0" borderId="0" xfId="0" applyFont="1"/>
    <xf numFmtId="38" fontId="79" fillId="0" borderId="0" xfId="0" applyNumberFormat="1" applyFont="1"/>
    <xf numFmtId="165" fontId="79" fillId="0" borderId="0" xfId="6" applyNumberFormat="1" applyFont="1"/>
    <xf numFmtId="0" fontId="0" fillId="0" borderId="0" xfId="0" applyFont="1" applyAlignment="1">
      <alignment horizontal="center"/>
    </xf>
    <xf numFmtId="0" fontId="13" fillId="0" borderId="11" xfId="0" applyFont="1" applyBorder="1" applyAlignment="1">
      <alignment horizontal="right"/>
    </xf>
    <xf numFmtId="10" fontId="13" fillId="0" borderId="0" xfId="0" applyNumberFormat="1" applyFont="1" applyBorder="1"/>
    <xf numFmtId="0" fontId="13" fillId="0" borderId="12" xfId="0" applyFont="1" applyBorder="1"/>
    <xf numFmtId="10" fontId="13" fillId="0" borderId="12" xfId="0" applyNumberFormat="1" applyFont="1" applyBorder="1"/>
    <xf numFmtId="0" fontId="13" fillId="0" borderId="13" xfId="0" applyFont="1" applyBorder="1" applyAlignment="1">
      <alignment horizontal="right"/>
    </xf>
    <xf numFmtId="6" fontId="14" fillId="0" borderId="14" xfId="0" applyNumberFormat="1" applyFont="1" applyBorder="1"/>
    <xf numFmtId="0" fontId="13" fillId="0" borderId="15" xfId="0" applyFont="1" applyBorder="1"/>
    <xf numFmtId="9" fontId="50" fillId="0" borderId="0" xfId="26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165" fontId="50" fillId="0" borderId="0" xfId="6" applyNumberFormat="1" applyFont="1" applyFill="1" applyBorder="1"/>
    <xf numFmtId="0" fontId="0" fillId="0" borderId="0" xfId="0" applyFont="1" applyFill="1" applyBorder="1"/>
    <xf numFmtId="0" fontId="54" fillId="0" borderId="0" xfId="0" applyFont="1" applyFill="1" applyBorder="1" applyAlignment="1">
      <alignment horizontal="right"/>
    </xf>
    <xf numFmtId="0" fontId="54" fillId="0" borderId="0" xfId="21" applyFont="1" applyFill="1"/>
    <xf numFmtId="164" fontId="51" fillId="12" borderId="21" xfId="26" applyNumberFormat="1" applyFont="1" applyFill="1" applyBorder="1"/>
    <xf numFmtId="0" fontId="65" fillId="0" borderId="27" xfId="21" applyFont="1" applyBorder="1"/>
    <xf numFmtId="43" fontId="65" fillId="0" borderId="28" xfId="21" applyNumberFormat="1" applyFont="1" applyBorder="1"/>
    <xf numFmtId="10" fontId="50" fillId="20" borderId="21" xfId="26" applyNumberFormat="1" applyFont="1" applyFill="1" applyBorder="1"/>
    <xf numFmtId="10" fontId="50" fillId="20" borderId="40" xfId="26" applyNumberFormat="1" applyFont="1" applyFill="1" applyBorder="1"/>
    <xf numFmtId="164" fontId="50" fillId="0" borderId="19" xfId="26" applyNumberFormat="1" applyFont="1" applyBorder="1"/>
    <xf numFmtId="0" fontId="54" fillId="0" borderId="0" xfId="0" applyFont="1" applyBorder="1" applyAlignment="1">
      <alignment horizontal="right" indent="1"/>
    </xf>
    <xf numFmtId="164" fontId="50" fillId="21" borderId="0" xfId="26" applyNumberFormat="1" applyFont="1" applyFill="1" applyBorder="1"/>
    <xf numFmtId="165" fontId="0" fillId="21" borderId="0" xfId="0" applyNumberFormat="1" applyFill="1" applyBorder="1"/>
    <xf numFmtId="165" fontId="50" fillId="21" borderId="0" xfId="6" applyNumberFormat="1" applyFont="1" applyFill="1" applyBorder="1"/>
    <xf numFmtId="164" fontId="0" fillId="21" borderId="0" xfId="0" applyNumberFormat="1" applyFill="1" applyBorder="1"/>
    <xf numFmtId="165" fontId="0" fillId="31" borderId="0" xfId="0" applyNumberFormat="1" applyFill="1" applyBorder="1"/>
    <xf numFmtId="165" fontId="50" fillId="31" borderId="0" xfId="6" applyNumberFormat="1" applyFont="1" applyFill="1" applyBorder="1"/>
    <xf numFmtId="164" fontId="50" fillId="31" borderId="0" xfId="26" applyNumberFormat="1" applyFont="1" applyFill="1" applyBorder="1"/>
    <xf numFmtId="164" fontId="0" fillId="31" borderId="0" xfId="0" applyNumberFormat="1" applyFill="1" applyBorder="1"/>
    <xf numFmtId="165" fontId="0" fillId="32" borderId="0" xfId="0" applyNumberFormat="1" applyFill="1" applyBorder="1"/>
    <xf numFmtId="165" fontId="50" fillId="32" borderId="0" xfId="6" applyNumberFormat="1" applyFont="1" applyFill="1" applyBorder="1"/>
    <xf numFmtId="164" fontId="50" fillId="32" borderId="0" xfId="26" applyNumberFormat="1" applyFont="1" applyFill="1" applyBorder="1"/>
    <xf numFmtId="164" fontId="0" fillId="32" borderId="0" xfId="0" applyNumberFormat="1" applyFill="1" applyBorder="1"/>
    <xf numFmtId="165" fontId="0" fillId="33" borderId="0" xfId="0" applyNumberFormat="1" applyFill="1" applyBorder="1"/>
    <xf numFmtId="165" fontId="50" fillId="33" borderId="0" xfId="6" applyNumberFormat="1" applyFont="1" applyFill="1" applyBorder="1"/>
    <xf numFmtId="164" fontId="50" fillId="33" borderId="0" xfId="26" applyNumberFormat="1" applyFont="1" applyFill="1" applyBorder="1"/>
    <xf numFmtId="164" fontId="0" fillId="33" borderId="0" xfId="0" applyNumberFormat="1" applyFill="1" applyBorder="1"/>
    <xf numFmtId="165" fontId="0" fillId="26" borderId="19" xfId="0" applyNumberFormat="1" applyFill="1" applyBorder="1"/>
    <xf numFmtId="165" fontId="50" fillId="26" borderId="19" xfId="6" applyNumberFormat="1" applyFont="1" applyFill="1" applyBorder="1"/>
    <xf numFmtId="164" fontId="50" fillId="26" borderId="19" xfId="26" applyNumberFormat="1" applyFont="1" applyFill="1" applyBorder="1"/>
    <xf numFmtId="164" fontId="0" fillId="26" borderId="19" xfId="0" applyNumberFormat="1" applyFill="1" applyBorder="1"/>
    <xf numFmtId="0" fontId="71" fillId="0" borderId="16" xfId="0" applyFont="1" applyBorder="1" applyAlignment="1">
      <alignment horizontal="center"/>
    </xf>
    <xf numFmtId="0" fontId="70" fillId="0" borderId="16" xfId="0" applyFont="1" applyFill="1" applyBorder="1"/>
    <xf numFmtId="0" fontId="0" fillId="0" borderId="18" xfId="0" applyFont="1" applyBorder="1"/>
    <xf numFmtId="164" fontId="50" fillId="0" borderId="0" xfId="26" applyNumberFormat="1" applyFont="1" applyFill="1" applyAlignment="1">
      <alignment horizontal="center"/>
    </xf>
    <xf numFmtId="10" fontId="50" fillId="0" borderId="0" xfId="26" applyNumberFormat="1" applyFont="1" applyFill="1" applyAlignment="1">
      <alignment horizontal="center"/>
    </xf>
    <xf numFmtId="0" fontId="0" fillId="0" borderId="11" xfId="0" applyBorder="1"/>
    <xf numFmtId="0" fontId="80" fillId="0" borderId="0" xfId="0" applyFont="1" applyFill="1"/>
    <xf numFmtId="165" fontId="54" fillId="20" borderId="0" xfId="6" applyNumberFormat="1" applyFont="1" applyFill="1" applyAlignment="1">
      <alignment horizontal="center"/>
    </xf>
    <xf numFmtId="0" fontId="0" fillId="11" borderId="9" xfId="0" applyFont="1" applyFill="1" applyBorder="1"/>
    <xf numFmtId="0" fontId="54" fillId="21" borderId="16" xfId="0" applyFont="1" applyFill="1" applyBorder="1" applyAlignment="1">
      <alignment horizontal="left"/>
    </xf>
    <xf numFmtId="0" fontId="81" fillId="0" borderId="0" xfId="0" applyFont="1"/>
    <xf numFmtId="0" fontId="81" fillId="0" borderId="0" xfId="21" applyFont="1"/>
    <xf numFmtId="0" fontId="53" fillId="0" borderId="0" xfId="21" applyFont="1" applyAlignment="1">
      <alignment horizontal="left"/>
    </xf>
    <xf numFmtId="0" fontId="53" fillId="0" borderId="0" xfId="21" applyFont="1"/>
    <xf numFmtId="0" fontId="54" fillId="0" borderId="7" xfId="0" applyFont="1" applyBorder="1"/>
    <xf numFmtId="165" fontId="54" fillId="0" borderId="7" xfId="6" applyNumberFormat="1" applyFont="1" applyBorder="1"/>
    <xf numFmtId="165" fontId="50" fillId="34" borderId="6" xfId="6" applyNumberFormat="1" applyFont="1" applyFill="1" applyBorder="1"/>
    <xf numFmtId="165" fontId="50" fillId="21" borderId="21" xfId="6" applyNumberFormat="1" applyFont="1" applyFill="1" applyBorder="1" applyAlignment="1">
      <alignment horizontal="center"/>
    </xf>
    <xf numFmtId="165" fontId="50" fillId="31" borderId="21" xfId="6" applyNumberFormat="1" applyFont="1" applyFill="1" applyBorder="1" applyAlignment="1">
      <alignment horizontal="center"/>
    </xf>
    <xf numFmtId="165" fontId="50" fillId="32" borderId="21" xfId="6" applyNumberFormat="1" applyFont="1" applyFill="1" applyBorder="1" applyAlignment="1">
      <alignment horizontal="center"/>
    </xf>
    <xf numFmtId="0" fontId="0" fillId="21" borderId="0" xfId="0" applyFill="1" applyBorder="1" applyAlignment="1">
      <alignment horizontal="left"/>
    </xf>
    <xf numFmtId="0" fontId="0" fillId="21" borderId="17" xfId="0" applyFill="1" applyBorder="1" applyAlignment="1">
      <alignment horizontal="left"/>
    </xf>
    <xf numFmtId="0" fontId="0" fillId="21" borderId="16" xfId="0" applyFill="1" applyBorder="1" applyAlignment="1">
      <alignment horizontal="left"/>
    </xf>
    <xf numFmtId="0" fontId="82" fillId="21" borderId="16" xfId="0" applyFont="1" applyFill="1" applyBorder="1" applyAlignment="1">
      <alignment horizontal="left"/>
    </xf>
    <xf numFmtId="0" fontId="82" fillId="21" borderId="17" xfId="0" applyFont="1" applyFill="1" applyBorder="1" applyAlignment="1">
      <alignment horizontal="left"/>
    </xf>
    <xf numFmtId="0" fontId="54" fillId="21" borderId="17" xfId="0" applyFont="1" applyFill="1" applyBorder="1" applyAlignment="1">
      <alignment horizontal="left"/>
    </xf>
    <xf numFmtId="0" fontId="54" fillId="21" borderId="18" xfId="0" applyFont="1" applyFill="1" applyBorder="1" applyAlignment="1">
      <alignment horizontal="left"/>
    </xf>
    <xf numFmtId="0" fontId="0" fillId="21" borderId="19" xfId="0" applyFill="1" applyBorder="1" applyAlignment="1">
      <alignment horizontal="left"/>
    </xf>
    <xf numFmtId="0" fontId="54" fillId="21" borderId="20" xfId="0" applyFont="1" applyFill="1" applyBorder="1" applyAlignment="1">
      <alignment horizontal="left"/>
    </xf>
    <xf numFmtId="43" fontId="50" fillId="0" borderId="0" xfId="6" applyNumberFormat="1" applyFont="1" applyFill="1"/>
    <xf numFmtId="165" fontId="54" fillId="0" borderId="5" xfId="0" applyNumberFormat="1" applyFont="1" applyBorder="1"/>
    <xf numFmtId="165" fontId="55" fillId="0" borderId="18" xfId="6" applyNumberFormat="1" applyFont="1" applyFill="1" applyBorder="1"/>
    <xf numFmtId="0" fontId="55" fillId="0" borderId="19" xfId="0" applyFont="1" applyBorder="1"/>
    <xf numFmtId="43" fontId="55" fillId="0" borderId="19" xfId="6" applyFont="1" applyBorder="1"/>
    <xf numFmtId="10" fontId="55" fillId="0" borderId="6" xfId="0" applyNumberFormat="1" applyFont="1" applyBorder="1"/>
    <xf numFmtId="43" fontId="0" fillId="11" borderId="21" xfId="0" applyNumberFormat="1" applyFont="1" applyFill="1" applyBorder="1" applyAlignment="1">
      <alignment horizontal="right"/>
    </xf>
    <xf numFmtId="165" fontId="0" fillId="11" borderId="21" xfId="0" applyNumberFormat="1" applyFont="1" applyFill="1" applyBorder="1" applyAlignment="1">
      <alignment horizontal="right"/>
    </xf>
    <xf numFmtId="14" fontId="0" fillId="11" borderId="21" xfId="0" applyNumberFormat="1" applyFont="1" applyFill="1" applyBorder="1" applyAlignment="1">
      <alignment horizontal="right"/>
    </xf>
    <xf numFmtId="0" fontId="71" fillId="0" borderId="0" xfId="0" applyFont="1" applyBorder="1" applyAlignment="1">
      <alignment horizontal="center"/>
    </xf>
    <xf numFmtId="43" fontId="54" fillId="0" borderId="5" xfId="6" applyFont="1" applyBorder="1"/>
    <xf numFmtId="0" fontId="71" fillId="0" borderId="0" xfId="0" applyFont="1" applyAlignment="1"/>
    <xf numFmtId="0" fontId="0" fillId="0" borderId="0" xfId="0" applyNumberFormat="1"/>
    <xf numFmtId="165" fontId="50" fillId="21" borderId="9" xfId="6" applyNumberFormat="1" applyFont="1" applyFill="1" applyBorder="1" applyAlignment="1">
      <alignment horizontal="center"/>
    </xf>
    <xf numFmtId="165" fontId="50" fillId="31" borderId="9" xfId="6" applyNumberFormat="1" applyFont="1" applyFill="1" applyBorder="1" applyAlignment="1">
      <alignment horizontal="center"/>
    </xf>
    <xf numFmtId="165" fontId="50" fillId="32" borderId="9" xfId="6" applyNumberFormat="1" applyFont="1" applyFill="1" applyBorder="1" applyAlignment="1">
      <alignment horizontal="center"/>
    </xf>
    <xf numFmtId="165" fontId="50" fillId="21" borderId="21" xfId="6" applyNumberFormat="1" applyFont="1" applyFill="1" applyBorder="1" applyAlignment="1">
      <alignment horizontal="center"/>
    </xf>
    <xf numFmtId="165" fontId="50" fillId="31" borderId="21" xfId="6" applyNumberFormat="1" applyFont="1" applyFill="1" applyBorder="1" applyAlignment="1">
      <alignment horizontal="center"/>
    </xf>
    <xf numFmtId="165" fontId="50" fillId="32" borderId="21" xfId="6" applyNumberFormat="1" applyFont="1" applyFill="1" applyBorder="1" applyAlignment="1">
      <alignment horizontal="center"/>
    </xf>
    <xf numFmtId="43" fontId="50" fillId="0" borderId="0" xfId="6" applyNumberFormat="1" applyFont="1" applyBorder="1"/>
    <xf numFmtId="43" fontId="71" fillId="0" borderId="0" xfId="6" applyFont="1" applyBorder="1" applyAlignment="1">
      <alignment horizontal="center"/>
    </xf>
    <xf numFmtId="43" fontId="71" fillId="0" borderId="0" xfId="6" applyFont="1" applyFill="1" applyBorder="1" applyAlignment="1">
      <alignment horizontal="center"/>
    </xf>
    <xf numFmtId="43" fontId="54" fillId="0" borderId="5" xfId="6" applyFont="1" applyFill="1" applyBorder="1"/>
    <xf numFmtId="9" fontId="50" fillId="21" borderId="21" xfId="26" applyFont="1" applyFill="1" applyBorder="1" applyAlignment="1">
      <alignment horizontal="center"/>
    </xf>
    <xf numFmtId="9" fontId="50" fillId="31" borderId="21" xfId="26" applyFont="1" applyFill="1" applyBorder="1" applyAlignment="1">
      <alignment horizontal="center"/>
    </xf>
    <xf numFmtId="9" fontId="50" fillId="32" borderId="21" xfId="26" applyFont="1" applyFill="1" applyBorder="1" applyAlignment="1">
      <alignment horizontal="center"/>
    </xf>
    <xf numFmtId="165" fontId="50" fillId="26" borderId="21" xfId="6" applyNumberFormat="1" applyFont="1" applyFill="1" applyBorder="1" applyAlignment="1">
      <alignment horizontal="center"/>
    </xf>
    <xf numFmtId="165" fontId="50" fillId="26" borderId="9" xfId="6" applyNumberFormat="1" applyFont="1" applyFill="1" applyBorder="1" applyAlignment="1">
      <alignment horizontal="center"/>
    </xf>
    <xf numFmtId="165" fontId="50" fillId="26" borderId="21" xfId="6" applyNumberFormat="1" applyFont="1" applyFill="1" applyBorder="1" applyAlignment="1">
      <alignment horizontal="center"/>
    </xf>
    <xf numFmtId="9" fontId="50" fillId="26" borderId="21" xfId="26" applyFont="1" applyFill="1" applyBorder="1" applyAlignment="1">
      <alignment horizontal="center"/>
    </xf>
    <xf numFmtId="165" fontId="50" fillId="35" borderId="21" xfId="6" applyNumberFormat="1" applyFont="1" applyFill="1" applyBorder="1" applyAlignment="1">
      <alignment horizontal="center"/>
    </xf>
    <xf numFmtId="165" fontId="50" fillId="35" borderId="9" xfId="6" applyNumberFormat="1" applyFont="1" applyFill="1" applyBorder="1" applyAlignment="1">
      <alignment horizontal="center"/>
    </xf>
    <xf numFmtId="165" fontId="50" fillId="35" borderId="21" xfId="6" applyNumberFormat="1" applyFont="1" applyFill="1" applyBorder="1" applyAlignment="1">
      <alignment horizontal="center"/>
    </xf>
    <xf numFmtId="9" fontId="50" fillId="35" borderId="21" xfId="26" applyFont="1" applyFill="1" applyBorder="1" applyAlignment="1">
      <alignment horizontal="center"/>
    </xf>
    <xf numFmtId="0" fontId="0" fillId="0" borderId="19" xfId="0" applyFill="1" applyBorder="1"/>
    <xf numFmtId="164" fontId="50" fillId="0" borderId="19" xfId="26" applyNumberFormat="1" applyFont="1" applyFill="1" applyBorder="1"/>
    <xf numFmtId="165" fontId="54" fillId="0" borderId="0" xfId="6" applyNumberFormat="1" applyFont="1" applyFill="1"/>
    <xf numFmtId="164" fontId="54" fillId="0" borderId="0" xfId="26" applyNumberFormat="1" applyFont="1" applyFill="1"/>
    <xf numFmtId="10" fontId="50" fillId="0" borderId="0" xfId="26" applyNumberFormat="1" applyFont="1" applyFill="1"/>
    <xf numFmtId="170" fontId="57" fillId="0" borderId="0" xfId="26" applyNumberFormat="1" applyFont="1"/>
    <xf numFmtId="0" fontId="72" fillId="36" borderId="0" xfId="0" applyFont="1" applyFill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11" borderId="21" xfId="0" applyFont="1" applyFill="1" applyBorder="1" applyAlignment="1">
      <alignment horizontal="right"/>
    </xf>
    <xf numFmtId="165" fontId="50" fillId="11" borderId="21" xfId="6" applyNumberFormat="1" applyFont="1" applyFill="1" applyBorder="1"/>
    <xf numFmtId="165" fontId="0" fillId="37" borderId="21" xfId="0" applyNumberFormat="1" applyFill="1" applyBorder="1"/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2" fillId="0" borderId="0" xfId="13" applyAlignment="1">
      <alignment horizontal="left" vertical="center"/>
    </xf>
    <xf numFmtId="0" fontId="54" fillId="0" borderId="21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70" fillId="0" borderId="0" xfId="0" applyFont="1" applyBorder="1"/>
    <xf numFmtId="0" fontId="54" fillId="0" borderId="33" xfId="0" applyFont="1" applyBorder="1" applyAlignment="1">
      <alignment horizontal="center"/>
    </xf>
    <xf numFmtId="0" fontId="70" fillId="0" borderId="12" xfId="0" applyFont="1" applyBorder="1"/>
    <xf numFmtId="0" fontId="70" fillId="0" borderId="15" xfId="0" applyFont="1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16" fontId="0" fillId="0" borderId="35" xfId="0" applyNumberFormat="1" applyBorder="1" applyAlignment="1">
      <alignment horizontal="center"/>
    </xf>
    <xf numFmtId="0" fontId="59" fillId="19" borderId="0" xfId="0" applyFont="1" applyFill="1" applyAlignment="1"/>
    <xf numFmtId="3" fontId="0" fillId="0" borderId="0" xfId="0" applyNumberFormat="1" applyAlignment="1">
      <alignment horizontal="left"/>
    </xf>
    <xf numFmtId="0" fontId="67" fillId="0" borderId="0" xfId="0" applyFont="1"/>
    <xf numFmtId="0" fontId="0" fillId="4" borderId="0" xfId="0" applyFill="1" applyBorder="1"/>
    <xf numFmtId="0" fontId="0" fillId="4" borderId="0" xfId="0" applyFill="1"/>
    <xf numFmtId="0" fontId="0" fillId="0" borderId="43" xfId="0" applyFill="1" applyBorder="1"/>
    <xf numFmtId="169" fontId="0" fillId="0" borderId="44" xfId="0" applyNumberFormat="1" applyBorder="1"/>
    <xf numFmtId="169" fontId="0" fillId="0" borderId="45" xfId="0" applyNumberFormat="1" applyBorder="1"/>
    <xf numFmtId="169" fontId="0" fillId="4" borderId="43" xfId="0" applyNumberFormat="1" applyFill="1" applyBorder="1"/>
    <xf numFmtId="169" fontId="0" fillId="0" borderId="0" xfId="0" applyNumberFormat="1" applyBorder="1"/>
    <xf numFmtId="169" fontId="0" fillId="0" borderId="0" xfId="0" applyNumberFormat="1" applyBorder="1" applyAlignment="1"/>
    <xf numFmtId="169" fontId="0" fillId="0" borderId="46" xfId="0" applyNumberFormat="1" applyBorder="1" applyAlignment="1"/>
    <xf numFmtId="169" fontId="0" fillId="2" borderId="47" xfId="0" applyNumberFormat="1" applyFill="1" applyBorder="1"/>
    <xf numFmtId="169" fontId="0" fillId="2" borderId="46" xfId="0" applyNumberFormat="1" applyFill="1" applyBorder="1"/>
    <xf numFmtId="169" fontId="0" fillId="2" borderId="0" xfId="0" applyNumberFormat="1" applyFill="1" applyBorder="1"/>
    <xf numFmtId="169" fontId="0" fillId="2" borderId="0" xfId="0" applyNumberFormat="1" applyFill="1" applyBorder="1" applyAlignment="1"/>
    <xf numFmtId="169" fontId="0" fillId="2" borderId="46" xfId="0" applyNumberFormat="1" applyFill="1" applyBorder="1" applyAlignment="1"/>
    <xf numFmtId="169" fontId="0" fillId="0" borderId="47" xfId="0" applyNumberFormat="1" applyBorder="1"/>
    <xf numFmtId="169" fontId="0" fillId="0" borderId="46" xfId="0" applyNumberFormat="1" applyBorder="1"/>
    <xf numFmtId="169" fontId="0" fillId="0" borderId="2" xfId="0" applyNumberFormat="1" applyFill="1" applyBorder="1"/>
    <xf numFmtId="169" fontId="0" fillId="0" borderId="0" xfId="0" applyNumberFormat="1" applyFill="1" applyBorder="1"/>
    <xf numFmtId="39" fontId="0" fillId="0" borderId="44" xfId="0" applyNumberFormat="1" applyBorder="1"/>
    <xf numFmtId="169" fontId="0" fillId="0" borderId="48" xfId="0" applyNumberFormat="1" applyBorder="1" applyAlignment="1"/>
    <xf numFmtId="169" fontId="0" fillId="0" borderId="45" xfId="0" applyNumberFormat="1" applyBorder="1" applyAlignment="1"/>
    <xf numFmtId="39" fontId="0" fillId="2" borderId="47" xfId="0" applyNumberFormat="1" applyFill="1" applyBorder="1"/>
    <xf numFmtId="39" fontId="0" fillId="0" borderId="47" xfId="0" applyNumberFormat="1" applyBorder="1"/>
    <xf numFmtId="0" fontId="0" fillId="2" borderId="48" xfId="0" applyFill="1" applyBorder="1" applyAlignment="1"/>
    <xf numFmtId="0" fontId="0" fillId="2" borderId="48" xfId="0" applyFill="1" applyBorder="1"/>
    <xf numFmtId="1" fontId="0" fillId="2" borderId="1" xfId="0" applyNumberFormat="1" applyFill="1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Continuous"/>
    </xf>
    <xf numFmtId="0" fontId="0" fillId="0" borderId="0" xfId="0" applyFill="1" applyAlignment="1">
      <alignment horizontal="right" vertical="center"/>
    </xf>
    <xf numFmtId="164" fontId="0" fillId="0" borderId="0" xfId="0" applyNumberFormat="1" applyFill="1" applyAlignment="1"/>
    <xf numFmtId="0" fontId="0" fillId="2" borderId="0" xfId="0" applyFill="1"/>
    <xf numFmtId="0" fontId="0" fillId="0" borderId="0" xfId="0" applyAlignment="1"/>
    <xf numFmtId="165" fontId="50" fillId="0" borderId="0" xfId="6" applyNumberFormat="1" applyFont="1" applyAlignment="1"/>
    <xf numFmtId="43" fontId="50" fillId="0" borderId="0" xfId="6" applyNumberFormat="1" applyFont="1" applyAlignment="1"/>
    <xf numFmtId="165" fontId="50" fillId="0" borderId="0" xfId="6" applyNumberFormat="1" applyFont="1" applyAlignment="1">
      <alignment horizontal="center"/>
    </xf>
    <xf numFmtId="0" fontId="0" fillId="0" borderId="0" xfId="0" applyAlignment="1">
      <alignment horizontal="center"/>
    </xf>
    <xf numFmtId="0" fontId="83" fillId="0" borderId="0" xfId="0" applyFont="1"/>
    <xf numFmtId="0" fontId="0" fillId="34" borderId="0" xfId="0" applyFill="1"/>
    <xf numFmtId="0" fontId="84" fillId="0" borderId="0" xfId="0" applyFont="1"/>
    <xf numFmtId="8" fontId="0" fillId="0" borderId="0" xfId="0" applyNumberFormat="1" applyAlignment="1">
      <alignment horizontal="center"/>
    </xf>
    <xf numFmtId="10" fontId="50" fillId="16" borderId="21" xfId="26" applyNumberFormat="1" applyFont="1" applyFill="1" applyBorder="1"/>
    <xf numFmtId="10" fontId="50" fillId="20" borderId="21" xfId="26" applyNumberFormat="1" applyFont="1" applyFill="1" applyBorder="1"/>
    <xf numFmtId="165" fontId="50" fillId="0" borderId="0" xfId="6" applyNumberFormat="1" applyFont="1" applyFill="1" applyBorder="1" applyAlignment="1">
      <alignment horizontal="center"/>
    </xf>
    <xf numFmtId="0" fontId="54" fillId="0" borderId="0" xfId="6" applyNumberFormat="1" applyFont="1" applyFill="1" applyAlignment="1">
      <alignment horizontal="left" vertical="center"/>
    </xf>
    <xf numFmtId="0" fontId="0" fillId="27" borderId="0" xfId="0" applyFill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11" borderId="21" xfId="0" applyFont="1" applyFill="1" applyBorder="1" applyAlignment="1">
      <alignment horizontal="right"/>
    </xf>
    <xf numFmtId="0" fontId="0" fillId="11" borderId="21" xfId="0" applyFont="1" applyFill="1" applyBorder="1" applyAlignment="1">
      <alignment horizontal="right"/>
    </xf>
    <xf numFmtId="0" fontId="0" fillId="0" borderId="0" xfId="0" applyFont="1" applyAlignment="1">
      <alignment horizontal="left"/>
    </xf>
    <xf numFmtId="165" fontId="0" fillId="11" borderId="21" xfId="0" applyNumberFormat="1" applyFont="1" applyFill="1" applyBorder="1" applyAlignment="1">
      <alignment horizontal="right"/>
    </xf>
    <xf numFmtId="165" fontId="0" fillId="11" borderId="21" xfId="0" applyNumberFormat="1" applyFont="1" applyFill="1" applyBorder="1" applyAlignment="1">
      <alignment horizontal="right"/>
    </xf>
    <xf numFmtId="165" fontId="50" fillId="11" borderId="21" xfId="6" applyNumberFormat="1" applyFont="1" applyFill="1" applyBorder="1"/>
    <xf numFmtId="10" fontId="50" fillId="11" borderId="21" xfId="26" applyNumberFormat="1" applyFont="1" applyFill="1" applyBorder="1"/>
    <xf numFmtId="3" fontId="0" fillId="11" borderId="21" xfId="0" applyNumberFormat="1" applyFont="1" applyFill="1" applyBorder="1"/>
    <xf numFmtId="0" fontId="0" fillId="11" borderId="21" xfId="0" applyFont="1" applyFill="1" applyBorder="1"/>
    <xf numFmtId="0" fontId="0" fillId="11" borderId="21" xfId="0" applyFont="1" applyFill="1" applyBorder="1"/>
    <xf numFmtId="0" fontId="70" fillId="0" borderId="0" xfId="0" quotePrefix="1" applyFont="1"/>
    <xf numFmtId="0" fontId="70" fillId="0" borderId="0" xfId="0" applyFont="1" applyAlignment="1">
      <alignment horizontal="left" indent="2"/>
    </xf>
    <xf numFmtId="41" fontId="70" fillId="0" borderId="0" xfId="0" applyNumberFormat="1" applyFont="1"/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7" xfId="0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70" fillId="0" borderId="39" xfId="0" applyFont="1" applyBorder="1"/>
    <xf numFmtId="49" fontId="0" fillId="0" borderId="34" xfId="0" applyNumberFormat="1" applyBorder="1" applyAlignment="1">
      <alignment horizontal="center"/>
    </xf>
    <xf numFmtId="0" fontId="70" fillId="0" borderId="12" xfId="0" applyFont="1" applyBorder="1"/>
    <xf numFmtId="0" fontId="52" fillId="0" borderId="0" xfId="13" applyAlignment="1">
      <alignment vertical="center"/>
    </xf>
    <xf numFmtId="0" fontId="15" fillId="0" borderId="49" xfId="15" applyFont="1" applyFill="1" applyBorder="1" applyAlignment="1">
      <alignment horizontal="center"/>
    </xf>
    <xf numFmtId="0" fontId="15" fillId="0" borderId="50" xfId="15" applyFont="1" applyFill="1" applyBorder="1" applyAlignment="1">
      <alignment horizontal="center"/>
    </xf>
    <xf numFmtId="2" fontId="16" fillId="0" borderId="51" xfId="4" applyNumberFormat="1" applyFont="1" applyFill="1" applyBorder="1" applyAlignment="1">
      <alignment horizontal="center"/>
    </xf>
    <xf numFmtId="2" fontId="16" fillId="0" borderId="52" xfId="4" applyNumberFormat="1" applyFont="1" applyFill="1" applyBorder="1" applyAlignment="1">
      <alignment horizontal="center"/>
    </xf>
    <xf numFmtId="2" fontId="16" fillId="0" borderId="48" xfId="2" applyNumberFormat="1" applyFont="1" applyFill="1" applyBorder="1" applyAlignment="1">
      <alignment horizontal="center"/>
    </xf>
    <xf numFmtId="2" fontId="16" fillId="0" borderId="45" xfId="2" applyNumberFormat="1" applyFont="1" applyFill="1" applyBorder="1" applyAlignment="1">
      <alignment horizontal="center"/>
    </xf>
    <xf numFmtId="2" fontId="16" fillId="0" borderId="48" xfId="15" applyNumberFormat="1" applyFont="1" applyFill="1" applyBorder="1" applyAlignment="1">
      <alignment horizontal="center"/>
    </xf>
    <xf numFmtId="2" fontId="16" fillId="0" borderId="45" xfId="15" applyNumberFormat="1" applyFont="1" applyFill="1" applyBorder="1" applyAlignment="1">
      <alignment horizontal="center"/>
    </xf>
    <xf numFmtId="2" fontId="14" fillId="0" borderId="45" xfId="0" applyNumberFormat="1" applyFont="1" applyFill="1" applyBorder="1" applyAlignment="1">
      <alignment horizontal="center"/>
    </xf>
    <xf numFmtId="2" fontId="16" fillId="0" borderId="0" xfId="4" applyNumberFormat="1" applyFont="1" applyFill="1" applyBorder="1" applyAlignment="1">
      <alignment horizontal="center"/>
    </xf>
    <xf numFmtId="2" fontId="16" fillId="0" borderId="53" xfId="4" applyNumberFormat="1" applyFont="1" applyFill="1" applyBorder="1" applyAlignment="1">
      <alignment horizontal="center"/>
    </xf>
    <xf numFmtId="2" fontId="16" fillId="0" borderId="0" xfId="2" applyNumberFormat="1" applyFont="1" applyFill="1" applyBorder="1" applyAlignment="1">
      <alignment horizontal="center"/>
    </xf>
    <xf numFmtId="2" fontId="16" fillId="0" borderId="46" xfId="2" applyNumberFormat="1" applyFont="1" applyFill="1" applyBorder="1" applyAlignment="1">
      <alignment horizontal="center"/>
    </xf>
    <xf numFmtId="2" fontId="16" fillId="0" borderId="0" xfId="15" applyNumberFormat="1" applyFont="1" applyFill="1" applyBorder="1" applyAlignment="1">
      <alignment horizontal="center"/>
    </xf>
    <xf numFmtId="2" fontId="16" fillId="0" borderId="46" xfId="15" applyNumberFormat="1" applyFont="1" applyFill="1" applyBorder="1" applyAlignment="1">
      <alignment horizontal="center"/>
    </xf>
    <xf numFmtId="169" fontId="16" fillId="0" borderId="0" xfId="4" applyNumberFormat="1" applyFont="1" applyFill="1" applyBorder="1" applyAlignment="1">
      <alignment horizontal="center"/>
    </xf>
    <xf numFmtId="169" fontId="16" fillId="0" borderId="53" xfId="4" applyNumberFormat="1" applyFont="1" applyFill="1" applyBorder="1" applyAlignment="1">
      <alignment horizontal="center"/>
    </xf>
    <xf numFmtId="169" fontId="16" fillId="0" borderId="0" xfId="2" applyNumberFormat="1" applyFont="1" applyFill="1" applyBorder="1" applyAlignment="1">
      <alignment horizontal="center"/>
    </xf>
    <xf numFmtId="169" fontId="16" fillId="0" borderId="46" xfId="2" applyNumberFormat="1" applyFont="1" applyFill="1" applyBorder="1" applyAlignment="1">
      <alignment horizontal="center"/>
    </xf>
    <xf numFmtId="169" fontId="16" fillId="0" borderId="0" xfId="104" applyNumberFormat="1" applyFont="1" applyFill="1" applyBorder="1" applyAlignment="1">
      <alignment horizontal="center"/>
    </xf>
    <xf numFmtId="169" fontId="16" fillId="0" borderId="46" xfId="104" applyNumberFormat="1" applyFont="1" applyFill="1" applyBorder="1" applyAlignment="1">
      <alignment horizontal="center"/>
    </xf>
    <xf numFmtId="169" fontId="16" fillId="4" borderId="0" xfId="15" applyNumberFormat="1" applyFont="1" applyFill="1" applyBorder="1" applyAlignment="1">
      <alignment horizontal="center"/>
    </xf>
    <xf numFmtId="169" fontId="16" fillId="4" borderId="46" xfId="15" applyNumberFormat="1" applyFont="1" applyFill="1" applyBorder="1" applyAlignment="1">
      <alignment horizontal="center"/>
    </xf>
    <xf numFmtId="169" fontId="14" fillId="0" borderId="46" xfId="0" applyNumberFormat="1" applyFont="1" applyFill="1" applyBorder="1" applyAlignment="1">
      <alignment horizontal="center"/>
    </xf>
    <xf numFmtId="0" fontId="0" fillId="20" borderId="9" xfId="0" applyFill="1" applyBorder="1"/>
    <xf numFmtId="0" fontId="0" fillId="20" borderId="21" xfId="0" applyFill="1" applyBorder="1"/>
    <xf numFmtId="165" fontId="50" fillId="20" borderId="10" xfId="6" applyNumberFormat="1" applyFont="1" applyFill="1" applyBorder="1" applyAlignment="1">
      <alignment horizontal="center"/>
    </xf>
    <xf numFmtId="165" fontId="50" fillId="20" borderId="21" xfId="6" applyNumberFormat="1" applyFont="1" applyFill="1" applyBorder="1" applyAlignment="1">
      <alignment horizontal="center"/>
    </xf>
    <xf numFmtId="41" fontId="0" fillId="0" borderId="33" xfId="0" applyNumberFormat="1" applyBorder="1"/>
    <xf numFmtId="0" fontId="0" fillId="0" borderId="33" xfId="0" applyBorder="1"/>
    <xf numFmtId="0" fontId="0" fillId="0" borderId="10" xfId="0" applyBorder="1"/>
    <xf numFmtId="0" fontId="0" fillId="0" borderId="21" xfId="0" applyBorder="1"/>
    <xf numFmtId="10" fontId="50" fillId="14" borderId="21" xfId="26" applyNumberFormat="1" applyFont="1" applyFill="1" applyBorder="1"/>
    <xf numFmtId="0" fontId="54" fillId="38" borderId="21" xfId="0" applyFont="1" applyFill="1" applyBorder="1" applyAlignment="1">
      <alignment horizontal="left"/>
    </xf>
    <xf numFmtId="0" fontId="52" fillId="0" borderId="0" xfId="13" applyAlignment="1">
      <alignment horizontal="left"/>
    </xf>
    <xf numFmtId="164" fontId="50" fillId="0" borderId="0" xfId="26" applyNumberFormat="1" applyFont="1" applyAlignment="1">
      <alignment horizontal="left"/>
    </xf>
    <xf numFmtId="0" fontId="0" fillId="0" borderId="0" xfId="0" applyAlignment="1"/>
    <xf numFmtId="0" fontId="54" fillId="0" borderId="0" xfId="0" applyFont="1" applyAlignment="1">
      <alignment horizontal="center"/>
    </xf>
    <xf numFmtId="43" fontId="50" fillId="0" borderId="0" xfId="6" applyNumberFormat="1" applyFont="1" applyAlignment="1"/>
    <xf numFmtId="165" fontId="50" fillId="0" borderId="0" xfId="6" applyNumberFormat="1" applyFont="1" applyAlignment="1"/>
    <xf numFmtId="0" fontId="0" fillId="0" borderId="0" xfId="0" applyAlignment="1">
      <alignment horizontal="right"/>
    </xf>
    <xf numFmtId="165" fontId="50" fillId="0" borderId="0" xfId="6" applyNumberFormat="1" applyFont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50" fillId="0" borderId="0" xfId="26" applyFont="1" applyBorder="1" applyAlignment="1"/>
    <xf numFmtId="0" fontId="0" fillId="21" borderId="0" xfId="0" applyFill="1" applyBorder="1" applyAlignment="1"/>
    <xf numFmtId="0" fontId="0" fillId="21" borderId="0" xfId="0" applyFill="1" applyBorder="1" applyAlignment="1">
      <alignment horizontal="right"/>
    </xf>
    <xf numFmtId="165" fontId="0" fillId="0" borderId="0" xfId="6" applyNumberFormat="1" applyFont="1" applyFill="1" applyBorder="1" applyAlignment="1"/>
    <xf numFmtId="177" fontId="0" fillId="21" borderId="0" xfId="0" applyNumberFormat="1" applyFill="1" applyBorder="1" applyAlignment="1"/>
    <xf numFmtId="0" fontId="70" fillId="0" borderId="0" xfId="0" applyFont="1" applyAlignment="1">
      <alignment horizontal="right"/>
    </xf>
    <xf numFmtId="165" fontId="70" fillId="0" borderId="0" xfId="0" applyNumberFormat="1" applyFont="1"/>
    <xf numFmtId="43" fontId="70" fillId="0" borderId="0" xfId="0" applyNumberFormat="1" applyFont="1"/>
    <xf numFmtId="49" fontId="0" fillId="34" borderId="0" xfId="0" applyNumberFormat="1" applyFill="1" applyAlignment="1">
      <alignment horizontal="center"/>
    </xf>
    <xf numFmtId="0" fontId="0" fillId="41" borderId="0" xfId="0" applyFill="1" applyBorder="1" applyAlignment="1"/>
    <xf numFmtId="0" fontId="0" fillId="41" borderId="0" xfId="0" applyFill="1" applyAlignment="1"/>
    <xf numFmtId="0" fontId="0" fillId="41" borderId="0" xfId="0" applyFill="1"/>
    <xf numFmtId="0" fontId="70" fillId="42" borderId="0" xfId="0" applyFont="1" applyFill="1"/>
    <xf numFmtId="10" fontId="0" fillId="41" borderId="0" xfId="0" applyNumberFormat="1" applyFill="1" applyBorder="1" applyAlignment="1"/>
    <xf numFmtId="49" fontId="64" fillId="34" borderId="19" xfId="0" applyNumberFormat="1" applyFont="1" applyFill="1" applyBorder="1" applyAlignment="1">
      <alignment horizontal="center"/>
    </xf>
    <xf numFmtId="0" fontId="0" fillId="27" borderId="0" xfId="0" applyFill="1" applyAlignment="1">
      <alignment horizontal="right"/>
    </xf>
    <xf numFmtId="49" fontId="0" fillId="21" borderId="0" xfId="0" applyNumberFormat="1" applyFill="1" applyBorder="1" applyAlignment="1">
      <alignment horizontal="right"/>
    </xf>
    <xf numFmtId="1" fontId="0" fillId="21" borderId="0" xfId="0" applyNumberFormat="1" applyFill="1" applyBorder="1" applyAlignment="1"/>
    <xf numFmtId="3" fontId="50" fillId="21" borderId="0" xfId="6" applyNumberFormat="1" applyFont="1" applyFill="1" applyBorder="1" applyAlignment="1"/>
    <xf numFmtId="10" fontId="0" fillId="21" borderId="0" xfId="0" applyNumberFormat="1" applyFill="1" applyBorder="1" applyAlignment="1">
      <alignment horizontal="right"/>
    </xf>
    <xf numFmtId="10" fontId="50" fillId="23" borderId="0" xfId="26" applyNumberFormat="1" applyFont="1" applyFill="1" applyBorder="1" applyAlignment="1"/>
    <xf numFmtId="3" fontId="50" fillId="23" borderId="0" xfId="6" applyNumberFormat="1" applyFont="1" applyFill="1" applyBorder="1" applyAlignment="1"/>
    <xf numFmtId="49" fontId="65" fillId="34" borderId="19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21" applyFont="1"/>
    <xf numFmtId="0" fontId="0" fillId="11" borderId="13" xfId="0" applyFill="1" applyBorder="1" applyAlignment="1"/>
    <xf numFmtId="0" fontId="0" fillId="11" borderId="15" xfId="0" applyFill="1" applyBorder="1" applyAlignment="1"/>
    <xf numFmtId="0" fontId="0" fillId="11" borderId="37" xfId="0" applyFill="1" applyBorder="1" applyAlignment="1"/>
    <xf numFmtId="0" fontId="0" fillId="11" borderId="39" xfId="0" applyFill="1" applyBorder="1" applyAlignment="1"/>
    <xf numFmtId="177" fontId="0" fillId="11" borderId="21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left"/>
    </xf>
    <xf numFmtId="10" fontId="0" fillId="11" borderId="21" xfId="0" applyNumberFormat="1" applyFont="1" applyFill="1" applyBorder="1" applyAlignment="1">
      <alignment horizontal="right"/>
    </xf>
    <xf numFmtId="177" fontId="50" fillId="23" borderId="0" xfId="6" applyNumberFormat="1" applyFont="1" applyFill="1" applyBorder="1" applyAlignment="1"/>
    <xf numFmtId="0" fontId="90" fillId="0" borderId="0" xfId="172" applyFont="1"/>
    <xf numFmtId="14" fontId="90" fillId="0" borderId="0" xfId="172" applyNumberFormat="1" applyFont="1" applyAlignment="1">
      <alignment horizontal="left"/>
    </xf>
    <xf numFmtId="0" fontId="79" fillId="0" borderId="0" xfId="172"/>
    <xf numFmtId="0" fontId="92" fillId="0" borderId="0" xfId="172" applyFont="1"/>
    <xf numFmtId="0" fontId="91" fillId="0" borderId="66" xfId="173">
      <alignment horizontal="center"/>
    </xf>
    <xf numFmtId="15" fontId="91" fillId="0" borderId="67" xfId="174" applyNumberFormat="1" applyBorder="1" applyAlignment="1">
      <alignment horizontal="center"/>
    </xf>
    <xf numFmtId="170" fontId="93" fillId="0" borderId="67" xfId="175" applyNumberFormat="1" applyAlignment="1">
      <alignment horizontal="center"/>
    </xf>
    <xf numFmtId="10" fontId="93" fillId="0" borderId="67" xfId="175" applyNumberFormat="1" applyAlignment="1">
      <alignment horizontal="center"/>
    </xf>
    <xf numFmtId="15" fontId="94" fillId="0" borderId="67" xfId="174" applyNumberFormat="1" applyFont="1" applyBorder="1" applyAlignment="1">
      <alignment horizontal="center"/>
    </xf>
    <xf numFmtId="170" fontId="95" fillId="0" borderId="67" xfId="175" applyNumberFormat="1" applyFont="1" applyAlignment="1">
      <alignment horizontal="center"/>
    </xf>
    <xf numFmtId="178" fontId="0" fillId="0" borderId="0" xfId="0" applyNumberFormat="1"/>
    <xf numFmtId="0" fontId="0" fillId="43" borderId="0" xfId="0" applyFill="1"/>
    <xf numFmtId="0" fontId="54" fillId="43" borderId="0" xfId="0" applyFont="1" applyFill="1" applyAlignment="1">
      <alignment horizontal="center"/>
    </xf>
    <xf numFmtId="49" fontId="65" fillId="34" borderId="19" xfId="0" applyNumberFormat="1" applyFont="1" applyFill="1" applyBorder="1" applyAlignment="1"/>
    <xf numFmtId="178" fontId="0" fillId="0" borderId="0" xfId="0" applyNumberFormat="1" applyAlignment="1">
      <alignment horizontal="center"/>
    </xf>
    <xf numFmtId="178" fontId="0" fillId="21" borderId="0" xfId="0" applyNumberFormat="1" applyFill="1"/>
    <xf numFmtId="10" fontId="0" fillId="21" borderId="0" xfId="0" applyNumberFormat="1" applyFill="1"/>
    <xf numFmtId="3" fontId="0" fillId="21" borderId="0" xfId="0" applyNumberFormat="1" applyFill="1"/>
    <xf numFmtId="178" fontId="0" fillId="21" borderId="0" xfId="0" applyNumberFormat="1" applyFill="1" applyAlignment="1">
      <alignment horizontal="center"/>
    </xf>
    <xf numFmtId="0" fontId="54" fillId="43" borderId="0" xfId="0" applyFont="1" applyFill="1" applyAlignment="1">
      <alignment horizontal="right"/>
    </xf>
    <xf numFmtId="0" fontId="54" fillId="31" borderId="0" xfId="0" applyFont="1" applyFill="1" applyAlignment="1">
      <alignment horizontal="center"/>
    </xf>
    <xf numFmtId="0" fontId="0" fillId="21" borderId="0" xfId="0" applyFill="1" applyAlignment="1">
      <alignment horizontal="left"/>
    </xf>
    <xf numFmtId="3" fontId="0" fillId="0" borderId="0" xfId="0" applyNumberFormat="1" applyBorder="1" applyAlignment="1">
      <alignment horizontal="right"/>
    </xf>
    <xf numFmtId="164" fontId="50" fillId="23" borderId="0" xfId="26" applyNumberFormat="1" applyFont="1" applyFill="1" applyBorder="1" applyAlignment="1"/>
    <xf numFmtId="164" fontId="50" fillId="23" borderId="0" xfId="6" applyNumberFormat="1" applyFont="1" applyFill="1" applyBorder="1" applyAlignment="1"/>
    <xf numFmtId="0" fontId="54" fillId="34" borderId="19" xfId="0" applyFont="1" applyFill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0" fontId="0" fillId="0" borderId="0" xfId="0" applyFont="1" applyAlignment="1">
      <alignment vertical="center"/>
    </xf>
    <xf numFmtId="180" fontId="0" fillId="0" borderId="0" xfId="0" applyNumberFormat="1" applyBorder="1" applyAlignment="1">
      <alignment horizontal="right"/>
    </xf>
    <xf numFmtId="181" fontId="0" fillId="0" borderId="0" xfId="0" applyNumberFormat="1" applyBorder="1" applyAlignment="1">
      <alignment horizontal="right"/>
    </xf>
    <xf numFmtId="10" fontId="0" fillId="44" borderId="0" xfId="26" applyNumberFormat="1" applyFont="1" applyFill="1" applyBorder="1" applyAlignment="1">
      <alignment horizontal="right"/>
    </xf>
    <xf numFmtId="0" fontId="0" fillId="44" borderId="0" xfId="0" applyFill="1" applyBorder="1" applyAlignment="1">
      <alignment horizontal="right" wrapText="1"/>
    </xf>
    <xf numFmtId="0" fontId="0" fillId="34" borderId="0" xfId="0" applyFill="1" applyBorder="1"/>
    <xf numFmtId="0" fontId="0" fillId="34" borderId="19" xfId="0" applyFill="1" applyBorder="1"/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78" fontId="0" fillId="0" borderId="0" xfId="0" applyNumberFormat="1" applyAlignment="1">
      <alignment horizontal="center" vertical="center"/>
    </xf>
    <xf numFmtId="49" fontId="65" fillId="34" borderId="19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0" fillId="21" borderId="0" xfId="6" applyNumberFormat="1" applyFont="1" applyFill="1" applyBorder="1" applyAlignment="1"/>
    <xf numFmtId="2" fontId="0" fillId="21" borderId="0" xfId="0" applyNumberFormat="1" applyFill="1" applyBorder="1" applyAlignment="1">
      <alignment horizontal="right"/>
    </xf>
    <xf numFmtId="49" fontId="0" fillId="41" borderId="0" xfId="0" applyNumberFormat="1" applyFill="1" applyAlignment="1">
      <alignment vertical="center" wrapText="1"/>
    </xf>
    <xf numFmtId="10" fontId="0" fillId="21" borderId="68" xfId="0" applyNumberFormat="1" applyFill="1" applyBorder="1" applyAlignment="1">
      <alignment horizontal="right"/>
    </xf>
    <xf numFmtId="0" fontId="0" fillId="27" borderId="68" xfId="0" applyFill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34" borderId="24" xfId="0" applyFill="1" applyBorder="1"/>
    <xf numFmtId="3" fontId="0" fillId="21" borderId="0" xfId="0" applyNumberFormat="1" applyFill="1" applyBorder="1" applyAlignment="1"/>
    <xf numFmtId="0" fontId="1" fillId="0" borderId="0" xfId="0" applyFont="1"/>
    <xf numFmtId="0" fontId="97" fillId="0" borderId="0" xfId="386" applyFont="1"/>
    <xf numFmtId="0" fontId="96" fillId="0" borderId="0" xfId="386"/>
    <xf numFmtId="0" fontId="96" fillId="45" borderId="0" xfId="386" applyFill="1"/>
    <xf numFmtId="0" fontId="97" fillId="45" borderId="19" xfId="386" applyFont="1" applyFill="1" applyBorder="1" applyAlignment="1">
      <alignment horizontal="center"/>
    </xf>
    <xf numFmtId="0" fontId="97" fillId="0" borderId="14" xfId="386" applyFont="1" applyBorder="1" applyAlignment="1">
      <alignment horizontal="center"/>
    </xf>
    <xf numFmtId="10" fontId="0" fillId="0" borderId="0" xfId="387" applyNumberFormat="1" applyFont="1"/>
    <xf numFmtId="43" fontId="0" fillId="0" borderId="0" xfId="388" applyFont="1"/>
    <xf numFmtId="0" fontId="96" fillId="0" borderId="0" xfId="386" applyAlignment="1">
      <alignment horizontal="left"/>
    </xf>
    <xf numFmtId="44" fontId="0" fillId="0" borderId="0" xfId="389" applyFont="1"/>
    <xf numFmtId="14" fontId="96" fillId="0" borderId="0" xfId="386" applyNumberFormat="1" applyFill="1" applyAlignment="1">
      <alignment horizontal="left"/>
    </xf>
    <xf numFmtId="14" fontId="96" fillId="0" borderId="0" xfId="386" applyNumberFormat="1" applyAlignment="1">
      <alignment horizontal="left"/>
    </xf>
    <xf numFmtId="44" fontId="0" fillId="45" borderId="0" xfId="389" applyFont="1" applyFill="1"/>
    <xf numFmtId="43" fontId="0" fillId="45" borderId="0" xfId="388" applyFont="1" applyFill="1"/>
    <xf numFmtId="0" fontId="96" fillId="0" borderId="0" xfId="386" applyAlignment="1">
      <alignment horizontal="right"/>
    </xf>
    <xf numFmtId="16" fontId="96" fillId="0" borderId="0" xfId="386" applyNumberFormat="1"/>
    <xf numFmtId="167" fontId="0" fillId="0" borderId="0" xfId="389" applyNumberFormat="1" applyFont="1"/>
    <xf numFmtId="165" fontId="0" fillId="45" borderId="0" xfId="388" applyNumberFormat="1" applyFont="1" applyFill="1"/>
    <xf numFmtId="167" fontId="0" fillId="0" borderId="0" xfId="389" applyNumberFormat="1" applyFont="1" applyAlignment="1">
      <alignment horizontal="right"/>
    </xf>
    <xf numFmtId="165" fontId="0" fillId="45" borderId="5" xfId="388" applyNumberFormat="1" applyFont="1" applyFill="1" applyBorder="1"/>
    <xf numFmtId="165" fontId="0" fillId="0" borderId="0" xfId="388" applyNumberFormat="1" applyFont="1"/>
    <xf numFmtId="165" fontId="0" fillId="0" borderId="8" xfId="388" applyNumberFormat="1" applyFont="1" applyBorder="1"/>
    <xf numFmtId="165" fontId="0" fillId="45" borderId="8" xfId="388" applyNumberFormat="1" applyFont="1" applyFill="1" applyBorder="1"/>
    <xf numFmtId="165" fontId="96" fillId="0" borderId="0" xfId="386" applyNumberFormat="1"/>
    <xf numFmtId="2" fontId="96" fillId="0" borderId="0" xfId="386" applyNumberFormat="1"/>
    <xf numFmtId="165" fontId="98" fillId="45" borderId="0" xfId="386" applyNumberFormat="1" applyFont="1" applyFill="1"/>
    <xf numFmtId="165" fontId="0" fillId="0" borderId="0" xfId="388" applyNumberFormat="1" applyFont="1" applyBorder="1"/>
    <xf numFmtId="165" fontId="98" fillId="0" borderId="0" xfId="386" applyNumberFormat="1" applyFont="1"/>
    <xf numFmtId="41" fontId="96" fillId="0" borderId="0" xfId="386" applyNumberFormat="1"/>
    <xf numFmtId="43" fontId="96" fillId="0" borderId="0" xfId="386" applyNumberFormat="1"/>
    <xf numFmtId="43" fontId="0" fillId="45" borderId="0" xfId="388" applyNumberFormat="1" applyFont="1" applyFill="1"/>
    <xf numFmtId="0" fontId="96" fillId="0" borderId="0" xfId="386" applyFont="1"/>
    <xf numFmtId="43" fontId="0" fillId="0" borderId="0" xfId="388" applyNumberFormat="1" applyFont="1"/>
    <xf numFmtId="182" fontId="96" fillId="0" borderId="0" xfId="386" applyNumberFormat="1"/>
    <xf numFmtId="14" fontId="0" fillId="0" borderId="0" xfId="387" applyNumberFormat="1" applyFont="1"/>
    <xf numFmtId="10" fontId="0" fillId="0" borderId="0" xfId="387" applyNumberFormat="1" applyFont="1" applyAlignment="1">
      <alignment horizontal="right"/>
    </xf>
    <xf numFmtId="164" fontId="0" fillId="45" borderId="0" xfId="387" applyNumberFormat="1" applyFont="1" applyFill="1" applyAlignment="1">
      <alignment horizontal="right"/>
    </xf>
    <xf numFmtId="183" fontId="0" fillId="0" borderId="0" xfId="388" applyNumberFormat="1" applyFont="1"/>
    <xf numFmtId="164" fontId="0" fillId="0" borderId="0" xfId="387" applyNumberFormat="1" applyFont="1"/>
    <xf numFmtId="49" fontId="0" fillId="0" borderId="0" xfId="387" applyNumberFormat="1" applyFont="1" applyAlignment="1">
      <alignment horizontal="center"/>
    </xf>
    <xf numFmtId="0" fontId="96" fillId="0" borderId="0" xfId="386" quotePrefix="1"/>
    <xf numFmtId="0" fontId="70" fillId="0" borderId="0" xfId="0" applyFont="1" applyFill="1"/>
    <xf numFmtId="0" fontId="102" fillId="4" borderId="0" xfId="0" applyFont="1" applyFill="1" applyBorder="1" applyAlignment="1"/>
    <xf numFmtId="0" fontId="102" fillId="4" borderId="0" xfId="0" applyFont="1" applyFill="1" applyBorder="1" applyAlignment="1">
      <alignment horizontal="center"/>
    </xf>
    <xf numFmtId="0" fontId="103" fillId="0" borderId="41" xfId="0" applyFont="1" applyBorder="1" applyAlignment="1">
      <alignment horizontal="right"/>
    </xf>
    <xf numFmtId="165" fontId="0" fillId="17" borderId="23" xfId="54" applyNumberFormat="1" applyFont="1" applyFill="1" applyBorder="1" applyAlignment="1">
      <alignment horizontal="center"/>
    </xf>
    <xf numFmtId="165" fontId="0" fillId="17" borderId="29" xfId="54" applyNumberFormat="1" applyFont="1" applyFill="1" applyBorder="1" applyAlignment="1">
      <alignment horizontal="center"/>
    </xf>
    <xf numFmtId="165" fontId="0" fillId="17" borderId="24" xfId="54" applyNumberFormat="1" applyFont="1" applyFill="1" applyBorder="1" applyAlignment="1">
      <alignment horizontal="center"/>
    </xf>
    <xf numFmtId="165" fontId="0" fillId="17" borderId="0" xfId="54" applyNumberFormat="1" applyFont="1" applyFill="1" applyBorder="1" applyAlignment="1">
      <alignment horizontal="center"/>
    </xf>
    <xf numFmtId="0" fontId="103" fillId="2" borderId="41" xfId="0" applyFont="1" applyFill="1" applyBorder="1" applyAlignment="1">
      <alignment horizontal="right"/>
    </xf>
    <xf numFmtId="165" fontId="0" fillId="2" borderId="25" xfId="54" applyNumberFormat="1" applyFont="1" applyFill="1" applyBorder="1" applyAlignment="1">
      <alignment horizontal="center"/>
    </xf>
    <xf numFmtId="165" fontId="0" fillId="2" borderId="0" xfId="54" applyNumberFormat="1" applyFont="1" applyFill="1" applyBorder="1" applyAlignment="1">
      <alignment horizontal="center"/>
    </xf>
    <xf numFmtId="165" fontId="0" fillId="2" borderId="26" xfId="54" applyNumberFormat="1" applyFont="1" applyFill="1" applyBorder="1" applyAlignment="1">
      <alignment horizontal="center"/>
    </xf>
    <xf numFmtId="165" fontId="0" fillId="17" borderId="25" xfId="54" applyNumberFormat="1" applyFont="1" applyFill="1" applyBorder="1" applyAlignment="1">
      <alignment horizontal="center"/>
    </xf>
    <xf numFmtId="165" fontId="0" fillId="17" borderId="26" xfId="54" applyNumberFormat="1" applyFont="1" applyFill="1" applyBorder="1" applyAlignment="1">
      <alignment horizontal="center"/>
    </xf>
    <xf numFmtId="165" fontId="0" fillId="2" borderId="27" xfId="54" applyNumberFormat="1" applyFont="1" applyFill="1" applyBorder="1" applyAlignment="1">
      <alignment horizontal="center"/>
    </xf>
    <xf numFmtId="165" fontId="0" fillId="2" borderId="30" xfId="54" applyNumberFormat="1" applyFont="1" applyFill="1" applyBorder="1" applyAlignment="1">
      <alignment horizontal="center"/>
    </xf>
    <xf numFmtId="165" fontId="0" fillId="2" borderId="28" xfId="54" applyNumberFormat="1" applyFont="1" applyFill="1" applyBorder="1" applyAlignment="1">
      <alignment horizontal="center"/>
    </xf>
    <xf numFmtId="0" fontId="104" fillId="0" borderId="0" xfId="0" applyFont="1"/>
    <xf numFmtId="0" fontId="103" fillId="0" borderId="42" xfId="0" applyFont="1" applyBorder="1" applyAlignment="1">
      <alignment horizontal="right"/>
    </xf>
    <xf numFmtId="0" fontId="105" fillId="0" borderId="0" xfId="0" applyFont="1" applyFill="1" applyBorder="1" applyAlignment="1">
      <alignment horizontal="center"/>
    </xf>
    <xf numFmtId="0" fontId="105" fillId="4" borderId="0" xfId="0" applyFont="1" applyFill="1" applyBorder="1" applyAlignment="1">
      <alignment horizontal="center"/>
    </xf>
    <xf numFmtId="2" fontId="0" fillId="17" borderId="23" xfId="54" applyNumberFormat="1" applyFont="1" applyFill="1" applyBorder="1" applyAlignment="1">
      <alignment horizontal="center"/>
    </xf>
    <xf numFmtId="2" fontId="0" fillId="17" borderId="29" xfId="54" applyNumberFormat="1" applyFont="1" applyFill="1" applyBorder="1" applyAlignment="1">
      <alignment horizontal="center"/>
    </xf>
    <xf numFmtId="2" fontId="0" fillId="17" borderId="24" xfId="54" applyNumberFormat="1" applyFont="1" applyFill="1" applyBorder="1" applyAlignment="1">
      <alignment horizontal="center"/>
    </xf>
    <xf numFmtId="2" fontId="0" fillId="2" borderId="25" xfId="54" applyNumberFormat="1" applyFont="1" applyFill="1" applyBorder="1" applyAlignment="1">
      <alignment horizontal="center"/>
    </xf>
    <xf numFmtId="2" fontId="0" fillId="2" borderId="0" xfId="54" applyNumberFormat="1" applyFont="1" applyFill="1" applyBorder="1" applyAlignment="1">
      <alignment horizontal="center"/>
    </xf>
    <xf numFmtId="2" fontId="0" fillId="2" borderId="26" xfId="54" applyNumberFormat="1" applyFont="1" applyFill="1" applyBorder="1" applyAlignment="1">
      <alignment horizontal="center"/>
    </xf>
    <xf numFmtId="0" fontId="106" fillId="4" borderId="0" xfId="0" applyFont="1" applyFill="1" applyAlignment="1">
      <alignment horizontal="left"/>
    </xf>
    <xf numFmtId="0" fontId="107" fillId="4" borderId="0" xfId="0" applyFont="1" applyFill="1" applyAlignment="1">
      <alignment horizontal="left"/>
    </xf>
    <xf numFmtId="0" fontId="100" fillId="4" borderId="0" xfId="0" applyFont="1" applyFill="1" applyBorder="1"/>
    <xf numFmtId="0" fontId="108" fillId="0" borderId="0" xfId="0" applyFont="1" applyFill="1" applyBorder="1" applyAlignment="1">
      <alignment vertical="center"/>
    </xf>
    <xf numFmtId="0" fontId="110" fillId="4" borderId="43" xfId="0" applyFont="1" applyFill="1" applyBorder="1" applyAlignment="1">
      <alignment vertical="center"/>
    </xf>
    <xf numFmtId="0" fontId="100" fillId="4" borderId="43" xfId="0" applyFont="1" applyFill="1" applyBorder="1" applyAlignment="1">
      <alignment horizontal="center" wrapText="1"/>
    </xf>
    <xf numFmtId="0" fontId="100" fillId="4" borderId="43" xfId="0" applyFont="1" applyFill="1" applyBorder="1" applyAlignment="1">
      <alignment horizontal="center"/>
    </xf>
    <xf numFmtId="0" fontId="112" fillId="4" borderId="0" xfId="0" applyFont="1" applyFill="1" applyBorder="1" applyAlignment="1">
      <alignment horizontal="right" vertical="center"/>
    </xf>
    <xf numFmtId="0" fontId="112" fillId="0" borderId="0" xfId="0" applyFont="1" applyFill="1" applyBorder="1" applyAlignment="1">
      <alignment horizontal="right" vertical="center"/>
    </xf>
    <xf numFmtId="0" fontId="100" fillId="0" borderId="1" xfId="0" applyFont="1" applyBorder="1" applyAlignment="1">
      <alignment horizontal="center" wrapText="1"/>
    </xf>
    <xf numFmtId="0" fontId="100" fillId="0" borderId="1" xfId="0" applyFont="1" applyBorder="1" applyAlignment="1">
      <alignment horizontal="center"/>
    </xf>
    <xf numFmtId="0" fontId="114" fillId="0" borderId="0" xfId="0" applyFont="1" applyFill="1" applyAlignment="1">
      <alignment horizontal="center"/>
    </xf>
    <xf numFmtId="0" fontId="115" fillId="4" borderId="0" xfId="0" applyFont="1" applyFill="1" applyAlignment="1">
      <alignment horizontal="right"/>
    </xf>
    <xf numFmtId="0" fontId="115" fillId="0" borderId="0" xfId="0" applyFont="1" applyFill="1" applyAlignment="1">
      <alignment horizontal="right"/>
    </xf>
    <xf numFmtId="0" fontId="112" fillId="0" borderId="0" xfId="0" applyFont="1" applyFill="1" applyAlignment="1">
      <alignment horizontal="right"/>
    </xf>
    <xf numFmtId="0" fontId="105" fillId="0" borderId="0" xfId="0" applyFont="1" applyFill="1"/>
    <xf numFmtId="0" fontId="106" fillId="0" borderId="0" xfId="0" applyFont="1" applyFill="1" applyAlignment="1">
      <alignment horizontal="right" vertical="center"/>
    </xf>
    <xf numFmtId="169" fontId="112" fillId="0" borderId="0" xfId="0" applyNumberFormat="1" applyFont="1" applyFill="1"/>
    <xf numFmtId="169" fontId="105" fillId="0" borderId="0" xfId="0" applyNumberFormat="1" applyFont="1" applyFill="1" applyAlignment="1">
      <alignment horizontal="right"/>
    </xf>
    <xf numFmtId="0" fontId="104" fillId="4" borderId="0" xfId="0" applyFont="1" applyFill="1" applyAlignment="1">
      <alignment horizontal="right"/>
    </xf>
    <xf numFmtId="0" fontId="112" fillId="4" borderId="0" xfId="0" applyFont="1" applyFill="1" applyAlignment="1">
      <alignment horizontal="right"/>
    </xf>
    <xf numFmtId="169" fontId="105" fillId="0" borderId="0" xfId="0" applyNumberFormat="1" applyFont="1" applyFill="1" applyAlignment="1">
      <alignment horizontal="center" vertical="center"/>
    </xf>
    <xf numFmtId="0" fontId="105" fillId="0" borderId="0" xfId="0" applyFont="1" applyFill="1" applyAlignment="1">
      <alignment horizontal="left"/>
    </xf>
    <xf numFmtId="0" fontId="104" fillId="2" borderId="0" xfId="0" applyFont="1" applyFill="1" applyAlignment="1">
      <alignment horizontal="right"/>
    </xf>
    <xf numFmtId="0" fontId="112" fillId="2" borderId="0" xfId="0" applyFont="1" applyFill="1" applyAlignment="1">
      <alignment horizontal="right"/>
    </xf>
    <xf numFmtId="0" fontId="105" fillId="2" borderId="0" xfId="0" applyFont="1" applyFill="1" applyAlignment="1">
      <alignment horizontal="right"/>
    </xf>
    <xf numFmtId="169" fontId="105" fillId="2" borderId="0" xfId="0" applyNumberFormat="1" applyFont="1" applyFill="1" applyAlignment="1">
      <alignment horizontal="center" vertical="center"/>
    </xf>
    <xf numFmtId="0" fontId="105" fillId="2" borderId="0" xfId="0" applyFont="1" applyFill="1" applyAlignment="1">
      <alignment horizontal="left"/>
    </xf>
    <xf numFmtId="0" fontId="105" fillId="0" borderId="0" xfId="0" applyFont="1" applyFill="1" applyAlignment="1">
      <alignment horizontal="right"/>
    </xf>
    <xf numFmtId="0" fontId="0" fillId="0" borderId="34" xfId="0" applyBorder="1" applyAlignment="1">
      <alignment horizontal="left"/>
    </xf>
    <xf numFmtId="17" fontId="0" fillId="0" borderId="12" xfId="0" applyNumberForma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1" xfId="0" applyBorder="1" applyAlignment="1">
      <alignment horizontal="left"/>
    </xf>
    <xf numFmtId="164" fontId="50" fillId="46" borderId="0" xfId="26" applyNumberFormat="1" applyFont="1" applyFill="1"/>
    <xf numFmtId="0" fontId="108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02" fillId="0" borderId="74" xfId="0" applyFont="1" applyFill="1" applyBorder="1" applyAlignment="1">
      <alignment horizontal="center"/>
    </xf>
    <xf numFmtId="0" fontId="102" fillId="0" borderId="75" xfId="0" applyFont="1" applyFill="1" applyBorder="1" applyAlignment="1">
      <alignment horizontal="center"/>
    </xf>
    <xf numFmtId="0" fontId="102" fillId="0" borderId="76" xfId="0" applyFont="1" applyFill="1" applyBorder="1" applyAlignment="1">
      <alignment horizontal="center"/>
    </xf>
    <xf numFmtId="0" fontId="103" fillId="0" borderId="77" xfId="0" applyFont="1" applyFill="1" applyBorder="1" applyAlignment="1">
      <alignment horizontal="right"/>
    </xf>
    <xf numFmtId="0" fontId="103" fillId="2" borderId="77" xfId="0" applyFont="1" applyFill="1" applyBorder="1" applyAlignment="1">
      <alignment horizontal="right"/>
    </xf>
    <xf numFmtId="169" fontId="0" fillId="2" borderId="76" xfId="0" applyNumberFormat="1" applyFill="1" applyBorder="1"/>
    <xf numFmtId="169" fontId="0" fillId="2" borderId="75" xfId="0" applyNumberFormat="1" applyFill="1" applyBorder="1"/>
    <xf numFmtId="169" fontId="0" fillId="2" borderId="74" xfId="0" applyNumberFormat="1" applyFill="1" applyBorder="1"/>
    <xf numFmtId="169" fontId="0" fillId="2" borderId="74" xfId="0" applyNumberFormat="1" applyFill="1" applyBorder="1" applyAlignment="1"/>
    <xf numFmtId="169" fontId="0" fillId="2" borderId="75" xfId="0" applyNumberFormat="1" applyFill="1" applyBorder="1" applyAlignment="1"/>
    <xf numFmtId="39" fontId="0" fillId="2" borderId="76" xfId="0" applyNumberFormat="1" applyFill="1" applyBorder="1"/>
    <xf numFmtId="0" fontId="0" fillId="2" borderId="74" xfId="0" applyFill="1" applyBorder="1"/>
    <xf numFmtId="0" fontId="18" fillId="7" borderId="9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7" borderId="23" xfId="0" applyFont="1" applyFill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9" fillId="0" borderId="24" xfId="0" applyFont="1" applyBorder="1" applyAlignment="1"/>
    <xf numFmtId="0" fontId="19" fillId="0" borderId="25" xfId="0" applyFont="1" applyBorder="1" applyAlignment="1"/>
    <xf numFmtId="0" fontId="15" fillId="7" borderId="9" xfId="0" applyFont="1" applyFill="1" applyBorder="1" applyAlignment="1">
      <alignment horizontal="center"/>
    </xf>
    <xf numFmtId="0" fontId="15" fillId="7" borderId="7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38" fontId="13" fillId="0" borderId="0" xfId="0" applyNumberFormat="1" applyFont="1" applyBorder="1"/>
    <xf numFmtId="0" fontId="11" fillId="39" borderId="14" xfId="0" applyFont="1" applyFill="1" applyBorder="1" applyAlignment="1"/>
    <xf numFmtId="0" fontId="12" fillId="39" borderId="14" xfId="0" applyFont="1" applyFill="1" applyBorder="1" applyAlignment="1"/>
    <xf numFmtId="0" fontId="10" fillId="0" borderId="0" xfId="0" applyFont="1" applyFill="1" applyAlignment="1">
      <alignment horizontal="left"/>
    </xf>
    <xf numFmtId="0" fontId="15" fillId="0" borderId="7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0" fillId="0" borderId="0" xfId="0" applyAlignment="1"/>
    <xf numFmtId="0" fontId="0" fillId="0" borderId="0" xfId="0" applyBorder="1" applyAlignment="1"/>
    <xf numFmtId="0" fontId="0" fillId="0" borderId="1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40" borderId="21" xfId="0" applyFill="1" applyBorder="1" applyAlignment="1">
      <alignment horizontal="center"/>
    </xf>
    <xf numFmtId="0" fontId="55" fillId="21" borderId="23" xfId="0" applyFont="1" applyFill="1" applyBorder="1" applyAlignment="1">
      <alignment horizontal="center"/>
    </xf>
    <xf numFmtId="0" fontId="55" fillId="21" borderId="24" xfId="0" applyFont="1" applyFill="1" applyBorder="1" applyAlignment="1">
      <alignment horizontal="center"/>
    </xf>
    <xf numFmtId="0" fontId="55" fillId="21" borderId="25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0" fillId="11" borderId="9" xfId="0" applyFont="1" applyFill="1" applyBorder="1" applyAlignment="1">
      <alignment horizontal="left"/>
    </xf>
    <xf numFmtId="0" fontId="0" fillId="11" borderId="7" xfId="0" applyFont="1" applyFill="1" applyBorder="1" applyAlignment="1">
      <alignment horizontal="left"/>
    </xf>
    <xf numFmtId="0" fontId="0" fillId="11" borderId="10" xfId="0" applyFont="1" applyFill="1" applyBorder="1" applyAlignment="1">
      <alignment horizontal="left"/>
    </xf>
    <xf numFmtId="0" fontId="55" fillId="29" borderId="0" xfId="21" applyFont="1" applyFill="1" applyAlignment="1">
      <alignment horizontal="left"/>
    </xf>
    <xf numFmtId="0" fontId="0" fillId="11" borderId="9" xfId="0" applyFont="1" applyFill="1" applyBorder="1" applyAlignment="1">
      <alignment horizontal="right"/>
    </xf>
    <xf numFmtId="0" fontId="0" fillId="11" borderId="10" xfId="0" applyFont="1" applyFill="1" applyBorder="1" applyAlignment="1">
      <alignment horizontal="right"/>
    </xf>
    <xf numFmtId="0" fontId="55" fillId="29" borderId="0" xfId="21" applyFont="1" applyFill="1" applyAlignment="1">
      <alignment horizontal="center"/>
    </xf>
    <xf numFmtId="0" fontId="72" fillId="36" borderId="11" xfId="0" applyFont="1" applyFill="1" applyBorder="1" applyAlignment="1">
      <alignment horizontal="center"/>
    </xf>
    <xf numFmtId="0" fontId="72" fillId="36" borderId="0" xfId="0" applyFont="1" applyFill="1" applyBorder="1" applyAlignment="1">
      <alignment horizontal="center"/>
    </xf>
    <xf numFmtId="0" fontId="72" fillId="36" borderId="13" xfId="0" applyFont="1" applyFill="1" applyBorder="1" applyAlignment="1">
      <alignment horizontal="center"/>
    </xf>
    <xf numFmtId="0" fontId="72" fillId="36" borderId="14" xfId="0" applyFont="1" applyFill="1" applyBorder="1" applyAlignment="1">
      <alignment horizontal="center"/>
    </xf>
    <xf numFmtId="43" fontId="50" fillId="0" borderId="0" xfId="6" applyNumberFormat="1" applyFont="1" applyAlignment="1"/>
    <xf numFmtId="164" fontId="50" fillId="0" borderId="0" xfId="26" applyNumberFormat="1" applyFont="1" applyFill="1" applyAlignment="1"/>
    <xf numFmtId="43" fontId="50" fillId="0" borderId="0" xfId="6" applyNumberFormat="1" applyFont="1" applyFill="1" applyAlignment="1"/>
    <xf numFmtId="43" fontId="50" fillId="20" borderId="21" xfId="6" applyNumberFormat="1" applyFont="1" applyFill="1" applyBorder="1" applyAlignment="1"/>
    <xf numFmtId="165" fontId="50" fillId="0" borderId="0" xfId="6" applyNumberFormat="1" applyFont="1" applyAlignment="1"/>
    <xf numFmtId="10" fontId="50" fillId="0" borderId="0" xfId="26" applyNumberFormat="1" applyFont="1" applyFill="1" applyAlignment="1"/>
    <xf numFmtId="0" fontId="85" fillId="10" borderId="60" xfId="25" applyFont="1" applyAlignment="1">
      <alignment horizontal="center" wrapText="1"/>
    </xf>
    <xf numFmtId="10" fontId="50" fillId="20" borderId="21" xfId="26" applyNumberFormat="1" applyFont="1" applyFill="1" applyBorder="1" applyAlignment="1"/>
    <xf numFmtId="10" fontId="50" fillId="20" borderId="21" xfId="26" applyNumberFormat="1" applyFont="1" applyFill="1" applyBorder="1" applyAlignment="1">
      <alignment horizontal="center"/>
    </xf>
    <xf numFmtId="164" fontId="50" fillId="20" borderId="9" xfId="26" applyNumberFormat="1" applyFont="1" applyFill="1" applyBorder="1" applyAlignment="1">
      <alignment horizontal="center"/>
    </xf>
    <xf numFmtId="164" fontId="50" fillId="20" borderId="10" xfId="26" applyNumberFormat="1" applyFont="1" applyFill="1" applyBorder="1" applyAlignment="1">
      <alignment horizontal="center"/>
    </xf>
    <xf numFmtId="43" fontId="50" fillId="11" borderId="0" xfId="6" applyFont="1" applyFill="1" applyAlignment="1"/>
    <xf numFmtId="43" fontId="50" fillId="40" borderId="0" xfId="6" applyFont="1" applyFill="1" applyAlignment="1"/>
    <xf numFmtId="0" fontId="0" fillId="16" borderId="0" xfId="0" applyFill="1" applyAlignment="1"/>
    <xf numFmtId="164" fontId="50" fillId="0" borderId="0" xfId="26" applyNumberFormat="1" applyFont="1" applyAlignment="1"/>
    <xf numFmtId="43" fontId="50" fillId="0" borderId="0" xfId="6" applyFont="1" applyAlignment="1"/>
    <xf numFmtId="43" fontId="50" fillId="0" borderId="0" xfId="6" applyFont="1" applyAlignment="1">
      <alignment horizontal="center"/>
    </xf>
    <xf numFmtId="17" fontId="54" fillId="20" borderId="21" xfId="0" applyNumberFormat="1" applyFont="1" applyFill="1" applyBorder="1" applyAlignment="1">
      <alignment horizontal="center"/>
    </xf>
    <xf numFmtId="0" fontId="54" fillId="20" borderId="21" xfId="0" applyFont="1" applyFill="1" applyBorder="1" applyAlignment="1">
      <alignment horizontal="center"/>
    </xf>
    <xf numFmtId="164" fontId="50" fillId="20" borderId="33" xfId="26" applyNumberFormat="1" applyFont="1" applyFill="1" applyBorder="1" applyAlignment="1">
      <alignment horizontal="center"/>
    </xf>
    <xf numFmtId="10" fontId="50" fillId="0" borderId="0" xfId="26" applyNumberFormat="1" applyFont="1" applyFill="1" applyBorder="1" applyAlignment="1">
      <alignment horizontal="center"/>
    </xf>
    <xf numFmtId="164" fontId="50" fillId="0" borderId="0" xfId="26" applyNumberFormat="1" applyFont="1" applyAlignment="1">
      <alignment horizontal="center"/>
    </xf>
    <xf numFmtId="164" fontId="50" fillId="20" borderId="21" xfId="26" applyNumberFormat="1" applyFont="1" applyFill="1" applyBorder="1" applyAlignment="1">
      <alignment horizontal="center"/>
    </xf>
    <xf numFmtId="164" fontId="0" fillId="0" borderId="0" xfId="0" applyNumberFormat="1" applyAlignment="1"/>
    <xf numFmtId="9" fontId="50" fillId="0" borderId="0" xfId="26" applyNumberFormat="1" applyFont="1" applyAlignment="1"/>
    <xf numFmtId="9" fontId="50" fillId="0" borderId="0" xfId="26" applyFont="1" applyAlignment="1"/>
    <xf numFmtId="10" fontId="50" fillId="0" borderId="0" xfId="26" applyNumberFormat="1" applyFont="1" applyAlignment="1"/>
    <xf numFmtId="166" fontId="50" fillId="0" borderId="0" xfId="6" applyNumberFormat="1" applyFont="1" applyAlignment="1"/>
    <xf numFmtId="0" fontId="54" fillId="0" borderId="0" xfId="0" applyFont="1" applyAlignment="1">
      <alignment horizontal="left"/>
    </xf>
    <xf numFmtId="0" fontId="86" fillId="0" borderId="0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86" fillId="0" borderId="24" xfId="0" applyFont="1" applyBorder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165" fontId="50" fillId="0" borderId="0" xfId="6" applyNumberFormat="1" applyFont="1" applyAlignment="1">
      <alignment horizontal="center"/>
    </xf>
    <xf numFmtId="165" fontId="54" fillId="0" borderId="14" xfId="6" applyNumberFormat="1" applyFont="1" applyBorder="1" applyAlignment="1">
      <alignment horizontal="center"/>
    </xf>
    <xf numFmtId="165" fontId="50" fillId="0" borderId="14" xfId="6" applyNumberFormat="1" applyFont="1" applyBorder="1" applyAlignment="1">
      <alignment horizontal="center"/>
    </xf>
    <xf numFmtId="165" fontId="54" fillId="0" borderId="5" xfId="6" applyNumberFormat="1" applyFont="1" applyBorder="1" applyAlignment="1">
      <alignment horizontal="center"/>
    </xf>
    <xf numFmtId="0" fontId="54" fillId="30" borderId="0" xfId="0" applyFont="1" applyFill="1" applyAlignment="1">
      <alignment horizontal="center"/>
    </xf>
    <xf numFmtId="8" fontId="0" fillId="0" borderId="0" xfId="0" applyNumberFormat="1" applyFont="1" applyAlignment="1">
      <alignment horizontal="center"/>
    </xf>
    <xf numFmtId="8" fontId="0" fillId="0" borderId="14" xfId="0" applyNumberFormat="1" applyBorder="1" applyAlignment="1">
      <alignment horizontal="center"/>
    </xf>
    <xf numFmtId="165" fontId="50" fillId="30" borderId="14" xfId="6" applyNumberFormat="1" applyFont="1" applyFill="1" applyBorder="1" applyAlignment="1">
      <alignment horizontal="center"/>
    </xf>
    <xf numFmtId="8" fontId="54" fillId="0" borderId="5" xfId="0" applyNumberFormat="1" applyFont="1" applyBorder="1" applyAlignment="1">
      <alignment horizontal="center"/>
    </xf>
    <xf numFmtId="165" fontId="87" fillId="30" borderId="38" xfId="6" applyNumberFormat="1" applyFont="1" applyFill="1" applyBorder="1" applyAlignment="1">
      <alignment horizontal="center"/>
    </xf>
    <xf numFmtId="43" fontId="50" fillId="0" borderId="0" xfId="6" applyFont="1" applyAlignment="1">
      <alignment horizontal="right"/>
    </xf>
    <xf numFmtId="10" fontId="50" fillId="0" borderId="0" xfId="26" applyNumberFormat="1" applyFont="1" applyAlignment="1">
      <alignment horizontal="right"/>
    </xf>
    <xf numFmtId="0" fontId="54" fillId="38" borderId="0" xfId="0" applyFont="1" applyFill="1" applyAlignment="1">
      <alignment horizontal="center"/>
    </xf>
    <xf numFmtId="0" fontId="50" fillId="10" borderId="60" xfId="25" applyFont="1" applyAlignment="1">
      <alignment horizontal="center" wrapText="1"/>
    </xf>
    <xf numFmtId="0" fontId="50" fillId="10" borderId="62" xfId="25" applyFont="1" applyBorder="1" applyAlignment="1">
      <alignment horizontal="center" wrapText="1"/>
    </xf>
    <xf numFmtId="0" fontId="50" fillId="10" borderId="63" xfId="25" applyFont="1" applyBorder="1" applyAlignment="1">
      <alignment horizontal="center" wrapText="1"/>
    </xf>
    <xf numFmtId="0" fontId="50" fillId="10" borderId="64" xfId="25" applyFont="1" applyBorder="1" applyAlignment="1">
      <alignment horizontal="center" wrapText="1"/>
    </xf>
    <xf numFmtId="0" fontId="50" fillId="10" borderId="65" xfId="25" applyFont="1" applyBorder="1" applyAlignment="1">
      <alignment horizontal="center" wrapText="1"/>
    </xf>
    <xf numFmtId="0" fontId="54" fillId="10" borderId="60" xfId="25" applyFont="1" applyAlignment="1">
      <alignment horizontal="center" wrapText="1"/>
    </xf>
    <xf numFmtId="165" fontId="12" fillId="17" borderId="13" xfId="54" applyNumberFormat="1" applyFont="1" applyFill="1" applyBorder="1" applyAlignment="1">
      <alignment horizontal="center"/>
    </xf>
    <xf numFmtId="165" fontId="12" fillId="17" borderId="12" xfId="54" applyNumberFormat="1" applyFont="1" applyFill="1" applyBorder="1" applyAlignment="1">
      <alignment horizontal="center"/>
    </xf>
    <xf numFmtId="165" fontId="12" fillId="17" borderId="14" xfId="54" applyNumberFormat="1" applyFont="1" applyFill="1" applyBorder="1" applyAlignment="1">
      <alignment horizontal="center"/>
    </xf>
    <xf numFmtId="49" fontId="113" fillId="8" borderId="3" xfId="0" applyNumberFormat="1" applyFont="1" applyFill="1" applyBorder="1" applyAlignment="1">
      <alignment horizontal="center"/>
    </xf>
    <xf numFmtId="0" fontId="0" fillId="8" borderId="2" xfId="0" applyFont="1" applyFill="1" applyBorder="1" applyAlignment="1"/>
    <xf numFmtId="0" fontId="0" fillId="8" borderId="4" xfId="0" applyFont="1" applyFill="1" applyBorder="1" applyAlignment="1"/>
    <xf numFmtId="0" fontId="99" fillId="8" borderId="56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102" fillId="0" borderId="44" xfId="0" applyFont="1" applyFill="1" applyBorder="1" applyAlignment="1">
      <alignment horizontal="center" vertical="center"/>
    </xf>
    <xf numFmtId="0" fontId="102" fillId="0" borderId="48" xfId="0" applyFont="1" applyFill="1" applyBorder="1" applyAlignment="1">
      <alignment horizontal="center" vertical="center"/>
    </xf>
    <xf numFmtId="0" fontId="102" fillId="0" borderId="45" xfId="0" applyFont="1" applyFill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100" fillId="0" borderId="44" xfId="0" applyFont="1" applyBorder="1" applyAlignment="1">
      <alignment horizontal="center" vertical="center" wrapText="1"/>
    </xf>
    <xf numFmtId="0" fontId="100" fillId="0" borderId="45" xfId="0" applyFont="1" applyBorder="1" applyAlignment="1">
      <alignment horizontal="center" vertical="center" wrapText="1"/>
    </xf>
    <xf numFmtId="0" fontId="100" fillId="0" borderId="76" xfId="0" applyFont="1" applyBorder="1" applyAlignment="1">
      <alignment horizontal="center" vertical="center" wrapText="1"/>
    </xf>
    <xf numFmtId="0" fontId="100" fillId="0" borderId="75" xfId="0" applyFont="1" applyBorder="1" applyAlignment="1">
      <alignment horizontal="center" vertical="center" wrapText="1"/>
    </xf>
    <xf numFmtId="0" fontId="0" fillId="0" borderId="44" xfId="0" applyBorder="1"/>
    <xf numFmtId="0" fontId="0" fillId="0" borderId="45" xfId="0" applyBorder="1"/>
    <xf numFmtId="0" fontId="109" fillId="8" borderId="44" xfId="0" applyFont="1" applyFill="1" applyBorder="1" applyAlignment="1">
      <alignment horizontal="center" vertical="center"/>
    </xf>
    <xf numFmtId="0" fontId="109" fillId="8" borderId="48" xfId="0" applyFont="1" applyFill="1" applyBorder="1" applyAlignment="1">
      <alignment horizontal="center" vertical="center"/>
    </xf>
    <xf numFmtId="0" fontId="109" fillId="8" borderId="45" xfId="0" applyFont="1" applyFill="1" applyBorder="1" applyAlignment="1">
      <alignment horizontal="center" vertical="center"/>
    </xf>
    <xf numFmtId="0" fontId="100" fillId="0" borderId="56" xfId="0" applyFont="1" applyBorder="1" applyAlignment="1">
      <alignment horizontal="center" vertical="center" wrapText="1"/>
    </xf>
    <xf numFmtId="0" fontId="100" fillId="0" borderId="73" xfId="0" applyFont="1" applyBorder="1" applyAlignment="1">
      <alignment horizontal="center" vertical="center" wrapText="1"/>
    </xf>
    <xf numFmtId="0" fontId="111" fillId="0" borderId="0" xfId="0" applyFont="1" applyBorder="1" applyAlignment="1">
      <alignment horizontal="center"/>
    </xf>
    <xf numFmtId="0" fontId="100" fillId="0" borderId="0" xfId="0" applyFont="1" applyBorder="1" applyAlignment="1">
      <alignment horizontal="center"/>
    </xf>
    <xf numFmtId="0" fontId="0" fillId="0" borderId="44" xfId="0" applyFont="1" applyBorder="1"/>
    <xf numFmtId="0" fontId="0" fillId="0" borderId="45" xfId="0" applyFont="1" applyBorder="1"/>
    <xf numFmtId="0" fontId="0" fillId="0" borderId="44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169" fontId="0" fillId="0" borderId="0" xfId="0" applyNumberFormat="1" applyFill="1" applyBorder="1" applyAlignment="1">
      <alignment horizontal="right" indent="2"/>
    </xf>
    <xf numFmtId="169" fontId="0" fillId="0" borderId="46" xfId="0" applyNumberFormat="1" applyFill="1" applyBorder="1" applyAlignment="1">
      <alignment horizontal="right" indent="2"/>
    </xf>
    <xf numFmtId="0" fontId="100" fillId="0" borderId="57" xfId="0" applyFont="1" applyBorder="1" applyAlignment="1">
      <alignment horizontal="center" wrapText="1"/>
    </xf>
    <xf numFmtId="0" fontId="100" fillId="0" borderId="58" xfId="0" applyFont="1" applyBorder="1" applyAlignment="1">
      <alignment horizontal="center" wrapText="1"/>
    </xf>
    <xf numFmtId="169" fontId="0" fillId="2" borderId="0" xfId="0" applyNumberFormat="1" applyFill="1" applyBorder="1" applyAlignment="1">
      <alignment horizontal="right" indent="2"/>
    </xf>
    <xf numFmtId="169" fontId="0" fillId="2" borderId="46" xfId="0" applyNumberFormat="1" applyFill="1" applyBorder="1" applyAlignment="1">
      <alignment horizontal="right" indent="2"/>
    </xf>
    <xf numFmtId="169" fontId="0" fillId="2" borderId="48" xfId="0" applyNumberFormat="1" applyFill="1" applyBorder="1" applyAlignment="1">
      <alignment horizontal="right" indent="2"/>
    </xf>
    <xf numFmtId="169" fontId="0" fillId="2" borderId="45" xfId="0" applyNumberFormat="1" applyFill="1" applyBorder="1" applyAlignment="1">
      <alignment horizontal="right" indent="2"/>
    </xf>
    <xf numFmtId="1" fontId="0" fillId="2" borderId="13" xfId="54" applyNumberFormat="1" applyFont="1" applyFill="1" applyBorder="1" applyAlignment="1"/>
    <xf numFmtId="1" fontId="0" fillId="2" borderId="14" xfId="54" applyNumberFormat="1" applyFont="1" applyFill="1" applyBorder="1" applyAlignment="1"/>
    <xf numFmtId="169" fontId="0" fillId="2" borderId="74" xfId="0" applyNumberFormat="1" applyFill="1" applyBorder="1" applyAlignment="1">
      <alignment horizontal="right" indent="2"/>
    </xf>
    <xf numFmtId="169" fontId="0" fillId="2" borderId="75" xfId="0" applyNumberFormat="1" applyFill="1" applyBorder="1" applyAlignment="1">
      <alignment horizontal="right" indent="2"/>
    </xf>
    <xf numFmtId="0" fontId="100" fillId="0" borderId="3" xfId="0" applyFont="1" applyBorder="1" applyAlignment="1">
      <alignment horizontal="center"/>
    </xf>
    <xf numFmtId="0" fontId="100" fillId="0" borderId="4" xfId="0" applyFont="1" applyBorder="1" applyAlignment="1">
      <alignment horizontal="center"/>
    </xf>
    <xf numFmtId="0" fontId="0" fillId="2" borderId="74" xfId="0" applyFill="1" applyBorder="1" applyAlignment="1">
      <alignment horizontal="right" indent="2"/>
    </xf>
    <xf numFmtId="0" fontId="0" fillId="0" borderId="0" xfId="0" applyFill="1" applyBorder="1" applyAlignment="1">
      <alignment horizontal="right" indent="2"/>
    </xf>
    <xf numFmtId="0" fontId="0" fillId="2" borderId="0" xfId="0" applyFill="1" applyBorder="1" applyAlignment="1">
      <alignment horizontal="right" indent="2"/>
    </xf>
    <xf numFmtId="0" fontId="0" fillId="2" borderId="48" xfId="0" applyFill="1" applyBorder="1" applyAlignment="1">
      <alignment horizontal="right" indent="2"/>
    </xf>
    <xf numFmtId="0" fontId="0" fillId="2" borderId="76" xfId="0" applyFill="1" applyBorder="1" applyAlignment="1"/>
    <xf numFmtId="0" fontId="0" fillId="2" borderId="75" xfId="0" applyFill="1" applyBorder="1" applyAlignment="1"/>
    <xf numFmtId="0" fontId="0" fillId="0" borderId="47" xfId="0" applyFill="1" applyBorder="1" applyAlignment="1"/>
    <xf numFmtId="0" fontId="0" fillId="0" borderId="46" xfId="0" applyFill="1" applyBorder="1" applyAlignment="1"/>
    <xf numFmtId="0" fontId="0" fillId="2" borderId="47" xfId="0" applyFill="1" applyBorder="1" applyAlignment="1"/>
    <xf numFmtId="0" fontId="0" fillId="2" borderId="46" xfId="0" applyFill="1" applyBorder="1" applyAlignment="1"/>
    <xf numFmtId="0" fontId="0" fillId="2" borderId="44" xfId="0" applyFill="1" applyBorder="1" applyAlignment="1"/>
    <xf numFmtId="0" fontId="0" fillId="2" borderId="45" xfId="0" applyFill="1" applyBorder="1" applyAlignment="1"/>
    <xf numFmtId="0" fontId="0" fillId="2" borderId="76" xfId="0" applyFill="1" applyBorder="1" applyAlignment="1">
      <alignment horizontal="right" indent="2"/>
    </xf>
    <xf numFmtId="0" fontId="0" fillId="2" borderId="44" xfId="0" applyFill="1" applyBorder="1" applyAlignment="1">
      <alignment horizontal="right" indent="2"/>
    </xf>
    <xf numFmtId="0" fontId="0" fillId="2" borderId="47" xfId="0" applyFill="1" applyBorder="1" applyAlignment="1">
      <alignment horizontal="right" indent="2"/>
    </xf>
    <xf numFmtId="0" fontId="0" fillId="0" borderId="47" xfId="0" applyFill="1" applyBorder="1" applyAlignment="1">
      <alignment horizontal="right" indent="2"/>
    </xf>
    <xf numFmtId="0" fontId="100" fillId="0" borderId="59" xfId="0" applyFont="1" applyBorder="1" applyAlignment="1">
      <alignment horizontal="center" wrapText="1"/>
    </xf>
    <xf numFmtId="0" fontId="0" fillId="0" borderId="47" xfId="0" applyBorder="1" applyAlignment="1"/>
    <xf numFmtId="0" fontId="0" fillId="0" borderId="46" xfId="0" applyBorder="1" applyAlignment="1"/>
    <xf numFmtId="0" fontId="0" fillId="0" borderId="58" xfId="0" applyBorder="1" applyAlignment="1">
      <alignment horizontal="center" wrapText="1"/>
    </xf>
    <xf numFmtId="0" fontId="100" fillId="0" borderId="55" xfId="0" applyFont="1" applyBorder="1" applyAlignment="1">
      <alignment horizontal="center" vertical="center" wrapText="1"/>
    </xf>
    <xf numFmtId="0" fontId="100" fillId="0" borderId="78" xfId="0" applyFont="1" applyBorder="1" applyAlignment="1">
      <alignment horizontal="center" vertical="center" wrapText="1"/>
    </xf>
    <xf numFmtId="0" fontId="0" fillId="0" borderId="58" xfId="0" applyBorder="1" applyAlignment="1"/>
    <xf numFmtId="0" fontId="0" fillId="4" borderId="0" xfId="0" applyFont="1" applyFill="1" applyAlignment="1">
      <alignment vertical="center"/>
    </xf>
    <xf numFmtId="0" fontId="108" fillId="0" borderId="0" xfId="0" applyFont="1" applyBorder="1" applyAlignment="1">
      <alignment vertical="center"/>
    </xf>
    <xf numFmtId="0" fontId="100" fillId="4" borderId="55" xfId="0" applyFont="1" applyFill="1" applyBorder="1" applyAlignment="1">
      <alignment horizontal="center" vertical="center" wrapText="1"/>
    </xf>
    <xf numFmtId="0" fontId="100" fillId="4" borderId="78" xfId="0" applyFont="1" applyFill="1" applyBorder="1" applyAlignment="1">
      <alignment horizontal="center" vertical="center" wrapText="1"/>
    </xf>
    <xf numFmtId="0" fontId="100" fillId="4" borderId="45" xfId="0" applyFont="1" applyFill="1" applyBorder="1" applyAlignment="1">
      <alignment horizontal="center" vertical="center" wrapText="1"/>
    </xf>
    <xf numFmtId="0" fontId="100" fillId="4" borderId="75" xfId="0" applyFont="1" applyFill="1" applyBorder="1" applyAlignment="1">
      <alignment horizontal="center" vertical="center" wrapText="1"/>
    </xf>
    <xf numFmtId="0" fontId="109" fillId="8" borderId="0" xfId="0" applyFont="1" applyFill="1" applyBorder="1" applyAlignment="1">
      <alignment horizontal="center" vertical="center"/>
    </xf>
    <xf numFmtId="0" fontId="109" fillId="8" borderId="70" xfId="0" applyFont="1" applyFill="1" applyBorder="1" applyAlignment="1">
      <alignment horizontal="center" vertical="center"/>
    </xf>
    <xf numFmtId="0" fontId="0" fillId="0" borderId="47" xfId="0" applyFont="1" applyBorder="1" applyAlignment="1"/>
    <xf numFmtId="0" fontId="0" fillId="0" borderId="46" xfId="0" applyFont="1" applyBorder="1" applyAlignment="1"/>
    <xf numFmtId="0" fontId="0" fillId="2" borderId="47" xfId="0" applyFont="1" applyFill="1" applyBorder="1" applyAlignment="1"/>
    <xf numFmtId="0" fontId="0" fillId="2" borderId="46" xfId="0" applyFont="1" applyFill="1" applyBorder="1" applyAlignment="1"/>
    <xf numFmtId="0" fontId="0" fillId="2" borderId="76" xfId="0" applyFont="1" applyFill="1" applyBorder="1" applyAlignment="1"/>
    <xf numFmtId="0" fontId="0" fillId="2" borderId="75" xfId="0" applyFont="1" applyFill="1" applyBorder="1" applyAlignment="1"/>
    <xf numFmtId="0" fontId="109" fillId="8" borderId="2" xfId="0" applyFont="1" applyFill="1" applyBorder="1" applyAlignment="1">
      <alignment horizontal="center" vertical="center"/>
    </xf>
    <xf numFmtId="0" fontId="109" fillId="8" borderId="4" xfId="0" applyFont="1" applyFill="1" applyBorder="1" applyAlignment="1">
      <alignment horizontal="center" vertical="center"/>
    </xf>
    <xf numFmtId="0" fontId="0" fillId="0" borderId="44" xfId="0" applyBorder="1" applyAlignment="1"/>
    <xf numFmtId="0" fontId="0" fillId="0" borderId="45" xfId="0" applyBorder="1" applyAlignment="1"/>
    <xf numFmtId="0" fontId="112" fillId="4" borderId="0" xfId="0" applyFont="1" applyFill="1" applyAlignment="1">
      <alignment horizontal="center"/>
    </xf>
    <xf numFmtId="0" fontId="102" fillId="0" borderId="44" xfId="0" applyFont="1" applyFill="1" applyBorder="1" applyAlignment="1">
      <alignment horizontal="center" vertical="center" wrapText="1"/>
    </xf>
    <xf numFmtId="0" fontId="102" fillId="0" borderId="48" xfId="0" applyFont="1" applyFill="1" applyBorder="1" applyAlignment="1">
      <alignment horizontal="center" vertical="center" wrapText="1"/>
    </xf>
    <xf numFmtId="0" fontId="102" fillId="0" borderId="45" xfId="0" applyFont="1" applyFill="1" applyBorder="1" applyAlignment="1">
      <alignment horizontal="center" vertical="center" wrapText="1"/>
    </xf>
    <xf numFmtId="176" fontId="0" fillId="4" borderId="0" xfId="0" applyNumberFormat="1" applyFont="1" applyFill="1" applyAlignment="1">
      <alignment vertical="center"/>
    </xf>
    <xf numFmtId="0" fontId="100" fillId="0" borderId="48" xfId="0" applyFont="1" applyFill="1" applyBorder="1" applyAlignment="1">
      <alignment horizontal="center" vertical="center"/>
    </xf>
    <xf numFmtId="0" fontId="101" fillId="0" borderId="48" xfId="0" applyFont="1" applyFill="1" applyBorder="1" applyAlignment="1">
      <alignment vertical="center"/>
    </xf>
    <xf numFmtId="0" fontId="101" fillId="0" borderId="45" xfId="0" applyFont="1" applyFill="1" applyBorder="1" applyAlignment="1">
      <alignment vertical="center"/>
    </xf>
    <xf numFmtId="0" fontId="100" fillId="0" borderId="48" xfId="0" applyFont="1" applyBorder="1" applyAlignment="1">
      <alignment horizontal="center" vertical="center"/>
    </xf>
    <xf numFmtId="0" fontId="0" fillId="0" borderId="48" xfId="0" applyFont="1" applyBorder="1" applyAlignment="1">
      <alignment vertical="center"/>
    </xf>
    <xf numFmtId="0" fontId="0" fillId="0" borderId="45" xfId="0" applyFont="1" applyBorder="1" applyAlignment="1">
      <alignment vertical="center"/>
    </xf>
    <xf numFmtId="0" fontId="63" fillId="0" borderId="44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47" xfId="0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49" fontId="59" fillId="19" borderId="37" xfId="0" applyNumberFormat="1" applyFont="1" applyFill="1" applyBorder="1" applyAlignment="1">
      <alignment horizontal="center"/>
    </xf>
    <xf numFmtId="0" fontId="59" fillId="19" borderId="38" xfId="0" applyNumberFormat="1" applyFont="1" applyFill="1" applyBorder="1" applyAlignment="1">
      <alignment horizontal="center"/>
    </xf>
    <xf numFmtId="0" fontId="59" fillId="19" borderId="39" xfId="0" applyNumberFormat="1" applyFont="1" applyFill="1" applyBorder="1" applyAlignment="1">
      <alignment horizontal="center"/>
    </xf>
    <xf numFmtId="1" fontId="50" fillId="14" borderId="3" xfId="1" applyNumberFormat="1" applyFont="1" applyFill="1" applyBorder="1" applyAlignment="1"/>
    <xf numFmtId="1" fontId="50" fillId="14" borderId="4" xfId="1" applyNumberFormat="1" applyFont="1" applyFill="1" applyBorder="1" applyAlignment="1"/>
    <xf numFmtId="0" fontId="63" fillId="0" borderId="45" xfId="0" applyFont="1" applyBorder="1" applyAlignment="1">
      <alignment horizontal="center" vertical="center" wrapText="1"/>
    </xf>
    <xf numFmtId="0" fontId="63" fillId="0" borderId="46" xfId="0" applyFont="1" applyBorder="1" applyAlignment="1">
      <alignment horizontal="center" vertical="center" wrapText="1"/>
    </xf>
    <xf numFmtId="169" fontId="14" fillId="4" borderId="3" xfId="1" applyNumberFormat="1" applyFont="1" applyFill="1" applyBorder="1" applyAlignment="1">
      <alignment horizontal="center"/>
    </xf>
    <xf numFmtId="169" fontId="14" fillId="4" borderId="2" xfId="1" applyNumberFormat="1" applyFont="1" applyFill="1" applyBorder="1" applyAlignment="1">
      <alignment horizontal="center"/>
    </xf>
    <xf numFmtId="169" fontId="14" fillId="4" borderId="4" xfId="1" applyNumberFormat="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54" fillId="38" borderId="9" xfId="0" applyFont="1" applyFill="1" applyBorder="1" applyAlignment="1">
      <alignment horizontal="center"/>
    </xf>
    <xf numFmtId="0" fontId="54" fillId="38" borderId="7" xfId="0" applyFont="1" applyFill="1" applyBorder="1" applyAlignment="1">
      <alignment horizontal="center"/>
    </xf>
    <xf numFmtId="0" fontId="54" fillId="38" borderId="10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10" fontId="50" fillId="0" borderId="9" xfId="26" applyNumberFormat="1" applyFont="1" applyBorder="1" applyAlignment="1">
      <alignment horizontal="center"/>
    </xf>
    <xf numFmtId="10" fontId="50" fillId="0" borderId="7" xfId="26" applyNumberFormat="1" applyFont="1" applyBorder="1" applyAlignment="1">
      <alignment horizontal="center"/>
    </xf>
    <xf numFmtId="0" fontId="0" fillId="0" borderId="0" xfId="0" applyAlignment="1">
      <alignment horizontal="left"/>
    </xf>
    <xf numFmtId="44" fontId="50" fillId="0" borderId="0" xfId="7" applyFont="1" applyAlignment="1">
      <alignment horizontal="center"/>
    </xf>
    <xf numFmtId="164" fontId="54" fillId="0" borderId="14" xfId="26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50" fillId="0" borderId="0" xfId="7" applyFont="1" applyAlignment="1"/>
    <xf numFmtId="164" fontId="54" fillId="36" borderId="30" xfId="26" applyNumberFormat="1" applyFont="1" applyFill="1" applyBorder="1" applyAlignment="1"/>
    <xf numFmtId="164" fontId="54" fillId="36" borderId="32" xfId="26" applyNumberFormat="1" applyFont="1" applyFill="1" applyBorder="1" applyAlignment="1"/>
    <xf numFmtId="0" fontId="54" fillId="0" borderId="0" xfId="0" applyFont="1" applyFill="1" applyBorder="1" applyAlignment="1">
      <alignment horizontal="left"/>
    </xf>
    <xf numFmtId="0" fontId="54" fillId="39" borderId="0" xfId="0" applyFont="1" applyFill="1" applyAlignment="1">
      <alignment horizontal="center"/>
    </xf>
    <xf numFmtId="165" fontId="50" fillId="25" borderId="19" xfId="6" applyNumberFormat="1" applyFont="1" applyFill="1" applyBorder="1"/>
    <xf numFmtId="165" fontId="54" fillId="24" borderId="5" xfId="6" applyNumberFormat="1" applyFont="1" applyFill="1" applyBorder="1" applyAlignment="1">
      <alignment horizontal="center"/>
    </xf>
    <xf numFmtId="165" fontId="87" fillId="0" borderId="0" xfId="6" applyNumberFormat="1" applyFont="1" applyFill="1" applyBorder="1" applyAlignment="1">
      <alignment horizontal="center"/>
    </xf>
    <xf numFmtId="43" fontId="54" fillId="25" borderId="19" xfId="6" applyFont="1" applyFill="1" applyBorder="1" applyAlignment="1">
      <alignment horizontal="center"/>
    </xf>
    <xf numFmtId="165" fontId="50" fillId="0" borderId="0" xfId="6" applyNumberFormat="1" applyFont="1" applyFill="1" applyAlignment="1">
      <alignment horizontal="center"/>
    </xf>
    <xf numFmtId="164" fontId="50" fillId="0" borderId="0" xfId="26" applyNumberFormat="1" applyFont="1" applyAlignment="1">
      <alignment horizontal="right"/>
    </xf>
    <xf numFmtId="0" fontId="50" fillId="0" borderId="0" xfId="26" applyNumberFormat="1" applyFont="1" applyAlignment="1">
      <alignment horizontal="right"/>
    </xf>
    <xf numFmtId="49" fontId="55" fillId="34" borderId="19" xfId="0" applyNumberFormat="1" applyFont="1" applyFill="1" applyBorder="1" applyAlignment="1">
      <alignment horizontal="center"/>
    </xf>
    <xf numFmtId="49" fontId="64" fillId="34" borderId="24" xfId="0" applyNumberFormat="1" applyFont="1" applyFill="1" applyBorder="1" applyAlignment="1">
      <alignment horizontal="center"/>
    </xf>
    <xf numFmtId="49" fontId="64" fillId="34" borderId="0" xfId="0" applyNumberFormat="1" applyFont="1" applyFill="1" applyAlignment="1">
      <alignment horizontal="center"/>
    </xf>
    <xf numFmtId="0" fontId="0" fillId="44" borderId="0" xfId="0" applyFill="1" applyBorder="1" applyAlignment="1">
      <alignment horizontal="right" wrapText="1"/>
    </xf>
    <xf numFmtId="0" fontId="53" fillId="34" borderId="19" xfId="0" applyFont="1" applyFill="1" applyBorder="1" applyAlignment="1">
      <alignment horizontal="center"/>
    </xf>
    <xf numFmtId="0" fontId="0" fillId="21" borderId="0" xfId="0" applyFill="1" applyBorder="1" applyAlignment="1">
      <alignment horizontal="right" vertical="center" wrapText="1"/>
    </xf>
    <xf numFmtId="10" fontId="0" fillId="21" borderId="0" xfId="0" applyNumberFormat="1" applyFill="1" applyBorder="1" applyAlignment="1">
      <alignment horizontal="right"/>
    </xf>
    <xf numFmtId="49" fontId="0" fillId="21" borderId="0" xfId="0" applyNumberFormat="1" applyFill="1" applyBorder="1" applyAlignment="1">
      <alignment horizontal="right" vertical="center" wrapText="1"/>
    </xf>
    <xf numFmtId="0" fontId="0" fillId="21" borderId="69" xfId="0" applyFill="1" applyBorder="1" applyAlignment="1">
      <alignment horizontal="right" vertical="center" wrapText="1"/>
    </xf>
    <xf numFmtId="49" fontId="0" fillId="23" borderId="0" xfId="0" applyNumberFormat="1" applyFill="1" applyBorder="1" applyAlignment="1">
      <alignment horizontal="center"/>
    </xf>
    <xf numFmtId="49" fontId="65" fillId="34" borderId="19" xfId="0" applyNumberFormat="1" applyFont="1" applyFill="1" applyBorder="1" applyAlignment="1">
      <alignment horizontal="center"/>
    </xf>
    <xf numFmtId="0" fontId="53" fillId="34" borderId="0" xfId="0" applyFont="1" applyFill="1" applyAlignment="1">
      <alignment horizontal="center"/>
    </xf>
    <xf numFmtId="0" fontId="0" fillId="21" borderId="0" xfId="0" applyFill="1" applyBorder="1" applyAlignment="1">
      <alignment horizontal="left"/>
    </xf>
    <xf numFmtId="0" fontId="52" fillId="21" borderId="0" xfId="13" applyFill="1" applyBorder="1" applyAlignment="1">
      <alignment horizontal="left"/>
    </xf>
    <xf numFmtId="0" fontId="0" fillId="44" borderId="68" xfId="0" applyFill="1" applyBorder="1" applyAlignment="1">
      <alignment horizontal="right" wrapText="1"/>
    </xf>
    <xf numFmtId="49" fontId="64" fillId="34" borderId="0" xfId="0" applyNumberFormat="1" applyFont="1" applyFill="1" applyBorder="1" applyAlignment="1">
      <alignment horizontal="center"/>
    </xf>
    <xf numFmtId="0" fontId="55" fillId="23" borderId="0" xfId="0" applyFont="1" applyFill="1" applyAlignment="1">
      <alignment horizontal="left"/>
    </xf>
    <xf numFmtId="0" fontId="54" fillId="31" borderId="0" xfId="0" applyFont="1" applyFill="1" applyAlignment="1">
      <alignment horizontal="center"/>
    </xf>
    <xf numFmtId="0" fontId="91" fillId="0" borderId="0" xfId="173" applyBorder="1" applyAlignment="1">
      <alignment horizontal="center" wrapText="1"/>
    </xf>
    <xf numFmtId="0" fontId="91" fillId="0" borderId="66" xfId="173" applyBorder="1" applyAlignment="1">
      <alignment horizontal="center" wrapText="1"/>
    </xf>
    <xf numFmtId="0" fontId="91" fillId="0" borderId="66" xfId="173" applyAlignment="1">
      <alignment horizontal="center" wrapText="1"/>
    </xf>
    <xf numFmtId="0" fontId="96" fillId="0" borderId="0" xfId="386" applyAlignment="1">
      <alignment horizontal="left"/>
    </xf>
    <xf numFmtId="165" fontId="0" fillId="0" borderId="0" xfId="388" applyNumberFormat="1" applyFont="1" applyAlignment="1">
      <alignment horizontal="right"/>
    </xf>
    <xf numFmtId="0" fontId="96" fillId="0" borderId="24" xfId="386" applyBorder="1" applyAlignment="1">
      <alignment horizontal="left"/>
    </xf>
    <xf numFmtId="0" fontId="96" fillId="0" borderId="0" xfId="386" applyAlignment="1">
      <alignment horizontal="center"/>
    </xf>
    <xf numFmtId="0" fontId="9" fillId="0" borderId="0" xfId="0" applyFont="1" applyAlignment="1">
      <alignment horizontal="left"/>
    </xf>
    <xf numFmtId="165" fontId="50" fillId="30" borderId="0" xfId="6" applyNumberFormat="1" applyFont="1" applyFill="1" applyAlignment="1">
      <alignment horizontal="center"/>
    </xf>
    <xf numFmtId="0" fontId="14" fillId="0" borderId="51" xfId="15" applyFont="1" applyFill="1" applyBorder="1" applyAlignment="1">
      <alignment horizontal="center" vertical="center"/>
    </xf>
    <xf numFmtId="0" fontId="16" fillId="0" borderId="51" xfId="15" applyFont="1" applyFill="1" applyBorder="1" applyAlignment="1">
      <alignment vertical="center"/>
    </xf>
    <xf numFmtId="0" fontId="16" fillId="0" borderId="52" xfId="15" applyFont="1" applyFill="1" applyBorder="1" applyAlignment="1">
      <alignment vertical="center"/>
    </xf>
    <xf numFmtId="43" fontId="50" fillId="11" borderId="0" xfId="6" applyNumberFormat="1" applyFont="1" applyFill="1" applyAlignment="1"/>
  </cellXfs>
  <cellStyles count="390">
    <cellStyle name="_Table" xfId="175" xr:uid="{00000000-0005-0000-0000-000000000000}"/>
    <cellStyle name="_TableHead" xfId="173" xr:uid="{00000000-0005-0000-0000-000001000000}"/>
    <cellStyle name="_TableRowHead" xfId="174" xr:uid="{00000000-0005-0000-0000-000002000000}"/>
    <cellStyle name="40% - Accent1" xfId="1" builtinId="31"/>
    <cellStyle name="40% - Accent1 2" xfId="2" xr:uid="{00000000-0005-0000-0000-000004000000}"/>
    <cellStyle name="40% - Accent1 3" xfId="3" xr:uid="{00000000-0005-0000-0000-000005000000}"/>
    <cellStyle name="40% - Accent1 3 2" xfId="4" xr:uid="{00000000-0005-0000-0000-000006000000}"/>
    <cellStyle name="40% - Accent1 4" xfId="5" xr:uid="{00000000-0005-0000-0000-000007000000}"/>
    <cellStyle name="Comma" xfId="6" builtinId="3"/>
    <cellStyle name="Comma 2" xfId="388" xr:uid="{F20E3983-2B57-42F9-AA7E-56AC5F942631}"/>
    <cellStyle name="Currency" xfId="7" builtinId="4"/>
    <cellStyle name="Currency 2" xfId="389" xr:uid="{66717D81-6FEB-4768-9773-09D712B3329F}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RxAmtStyle" xfId="8" xr:uid="{00000000-0005-0000-0000-0000FE000000}"/>
    <cellStyle name="FRxAmtStyle 2" xfId="9" xr:uid="{00000000-0005-0000-0000-0000FF000000}"/>
    <cellStyle name="FRxAmtStyle 3" xfId="10" xr:uid="{00000000-0005-0000-0000-000000010000}"/>
    <cellStyle name="FRxCurrStyle" xfId="11" xr:uid="{00000000-0005-0000-0000-000001010000}"/>
    <cellStyle name="FRxPcntStyle" xfId="12" xr:uid="{00000000-0005-0000-0000-000002010000}"/>
    <cellStyle name="Hyperlink" xfId="13" builtinId="8"/>
    <cellStyle name="Normal" xfId="0" builtinId="0"/>
    <cellStyle name="Normal 10" xfId="14" xr:uid="{00000000-0005-0000-0000-000005010000}"/>
    <cellStyle name="Normal 10 2" xfId="15" xr:uid="{00000000-0005-0000-0000-000006010000}"/>
    <cellStyle name="Normal 11" xfId="386" xr:uid="{5650C7ED-F31F-4BAA-9539-596278F0445A}"/>
    <cellStyle name="Normal 2" xfId="16" xr:uid="{00000000-0005-0000-0000-000007010000}"/>
    <cellStyle name="Normal 2 2" xfId="17" xr:uid="{00000000-0005-0000-0000-000008010000}"/>
    <cellStyle name="Normal 2 4" xfId="172" xr:uid="{00000000-0005-0000-0000-000009010000}"/>
    <cellStyle name="Normal 3" xfId="18" xr:uid="{00000000-0005-0000-0000-00000A010000}"/>
    <cellStyle name="Normal 4" xfId="19" xr:uid="{00000000-0005-0000-0000-00000B010000}"/>
    <cellStyle name="Normal 5" xfId="20" xr:uid="{00000000-0005-0000-0000-00000C010000}"/>
    <cellStyle name="Normal 6" xfId="21" xr:uid="{00000000-0005-0000-0000-00000D010000}"/>
    <cellStyle name="Normal 7" xfId="22" xr:uid="{00000000-0005-0000-0000-00000E010000}"/>
    <cellStyle name="Normal 8" xfId="23" xr:uid="{00000000-0005-0000-0000-00000F010000}"/>
    <cellStyle name="Normal 9" xfId="24" xr:uid="{00000000-0005-0000-0000-000010010000}"/>
    <cellStyle name="Note" xfId="25" builtinId="10"/>
    <cellStyle name="Percent" xfId="26" builtinId="5"/>
    <cellStyle name="Percent 2" xfId="27" xr:uid="{00000000-0005-0000-0000-000013010000}"/>
    <cellStyle name="Percent 3" xfId="28" xr:uid="{00000000-0005-0000-0000-000014010000}"/>
    <cellStyle name="Percent 4" xfId="387" xr:uid="{EC0F7F46-DBD4-4EBD-9AB3-531914C53961}"/>
    <cellStyle name="Style 1209" xfId="29" xr:uid="{00000000-0005-0000-0000-000015010000}"/>
    <cellStyle name="Style 1209 2" xfId="30" xr:uid="{00000000-0005-0000-0000-000016010000}"/>
    <cellStyle name="Style 1209 3" xfId="31" xr:uid="{00000000-0005-0000-0000-000017010000}"/>
    <cellStyle name="Style 1281" xfId="32" xr:uid="{00000000-0005-0000-0000-000018010000}"/>
    <cellStyle name="Style 1316" xfId="33" xr:uid="{00000000-0005-0000-0000-000019010000}"/>
    <cellStyle name="Style 1318" xfId="34" xr:uid="{00000000-0005-0000-0000-00001A010000}"/>
    <cellStyle name="Style 1318 2" xfId="35" xr:uid="{00000000-0005-0000-0000-00001B010000}"/>
    <cellStyle name="Style 1320" xfId="36" xr:uid="{00000000-0005-0000-0000-00001C010000}"/>
    <cellStyle name="Style 1320 2" xfId="37" xr:uid="{00000000-0005-0000-0000-00001D010000}"/>
    <cellStyle name="Style 1321" xfId="38" xr:uid="{00000000-0005-0000-0000-00001E010000}"/>
    <cellStyle name="Style 1322" xfId="39" xr:uid="{00000000-0005-0000-0000-00001F010000}"/>
    <cellStyle name="Style 1322 2" xfId="40" xr:uid="{00000000-0005-0000-0000-000020010000}"/>
    <cellStyle name="Style 1322 3" xfId="41" xr:uid="{00000000-0005-0000-0000-000021010000}"/>
    <cellStyle name="Style 1322 4" xfId="42" xr:uid="{00000000-0005-0000-0000-000022010000}"/>
    <cellStyle name="Style 1323" xfId="43" xr:uid="{00000000-0005-0000-0000-000023010000}"/>
    <cellStyle name="Style 1323 2" xfId="44" xr:uid="{00000000-0005-0000-0000-000024010000}"/>
    <cellStyle name="Style 1323 3" xfId="45" xr:uid="{00000000-0005-0000-0000-000025010000}"/>
    <cellStyle name="Style 1323 4" xfId="46" xr:uid="{00000000-0005-0000-0000-000026010000}"/>
    <cellStyle name="Style 1324" xfId="47" xr:uid="{00000000-0005-0000-0000-000027010000}"/>
    <cellStyle name="Style 1324 2" xfId="48" xr:uid="{00000000-0005-0000-0000-000028010000}"/>
    <cellStyle name="Style 1324 3" xfId="49" xr:uid="{00000000-0005-0000-0000-000029010000}"/>
    <cellStyle name="Style 1324 4" xfId="50" xr:uid="{00000000-0005-0000-0000-00002A010000}"/>
    <cellStyle name="Style 1325" xfId="51" xr:uid="{00000000-0005-0000-0000-00002B010000}"/>
    <cellStyle name="Style 1325 2" xfId="52" xr:uid="{00000000-0005-0000-0000-00002C010000}"/>
    <cellStyle name="Style 1325 3" xfId="53" xr:uid="{00000000-0005-0000-0000-00002D010000}"/>
    <cellStyle name="Style 1325 4" xfId="54" xr:uid="{00000000-0005-0000-0000-00002E010000}"/>
    <cellStyle name="Style 1326" xfId="55" xr:uid="{00000000-0005-0000-0000-00002F010000}"/>
    <cellStyle name="Style 1326 2" xfId="56" xr:uid="{00000000-0005-0000-0000-000030010000}"/>
    <cellStyle name="Style 1326 3" xfId="57" xr:uid="{00000000-0005-0000-0000-000031010000}"/>
    <cellStyle name="Style 1326 4" xfId="58" xr:uid="{00000000-0005-0000-0000-000032010000}"/>
    <cellStyle name="Style 1327" xfId="59" xr:uid="{00000000-0005-0000-0000-000033010000}"/>
    <cellStyle name="Style 1327 2" xfId="60" xr:uid="{00000000-0005-0000-0000-000034010000}"/>
    <cellStyle name="Style 1327 3" xfId="61" xr:uid="{00000000-0005-0000-0000-000035010000}"/>
    <cellStyle name="Style 1327 4" xfId="62" xr:uid="{00000000-0005-0000-0000-000036010000}"/>
    <cellStyle name="Style 1328" xfId="63" xr:uid="{00000000-0005-0000-0000-000037010000}"/>
    <cellStyle name="Style 1328 2" xfId="64" xr:uid="{00000000-0005-0000-0000-000038010000}"/>
    <cellStyle name="Style 1328 3" xfId="65" xr:uid="{00000000-0005-0000-0000-000039010000}"/>
    <cellStyle name="Style 1328 4" xfId="66" xr:uid="{00000000-0005-0000-0000-00003A010000}"/>
    <cellStyle name="Style 1329" xfId="67" xr:uid="{00000000-0005-0000-0000-00003B010000}"/>
    <cellStyle name="Style 1329 2" xfId="68" xr:uid="{00000000-0005-0000-0000-00003C010000}"/>
    <cellStyle name="Style 1329 3" xfId="69" xr:uid="{00000000-0005-0000-0000-00003D010000}"/>
    <cellStyle name="Style 1329 4" xfId="70" xr:uid="{00000000-0005-0000-0000-00003E010000}"/>
    <cellStyle name="Style 1330" xfId="71" xr:uid="{00000000-0005-0000-0000-00003F010000}"/>
    <cellStyle name="Style 1330 2" xfId="72" xr:uid="{00000000-0005-0000-0000-000040010000}"/>
    <cellStyle name="Style 1330 3" xfId="73" xr:uid="{00000000-0005-0000-0000-000041010000}"/>
    <cellStyle name="Style 1331" xfId="74" xr:uid="{00000000-0005-0000-0000-000042010000}"/>
    <cellStyle name="Style 1331 2" xfId="75" xr:uid="{00000000-0005-0000-0000-000043010000}"/>
    <cellStyle name="Style 1331 3" xfId="76" xr:uid="{00000000-0005-0000-0000-000044010000}"/>
    <cellStyle name="Style 1512" xfId="77" xr:uid="{00000000-0005-0000-0000-000045010000}"/>
    <cellStyle name="Style 1516" xfId="78" xr:uid="{00000000-0005-0000-0000-000046010000}"/>
    <cellStyle name="Style 1570" xfId="79" xr:uid="{00000000-0005-0000-0000-000047010000}"/>
    <cellStyle name="Style 1574" xfId="80" xr:uid="{00000000-0005-0000-0000-000048010000}"/>
    <cellStyle name="Style 1580" xfId="81" xr:uid="{00000000-0005-0000-0000-000049010000}"/>
    <cellStyle name="Style 1584" xfId="82" xr:uid="{00000000-0005-0000-0000-00004A010000}"/>
    <cellStyle name="Style 1586" xfId="83" xr:uid="{00000000-0005-0000-0000-00004B010000}"/>
    <cellStyle name="Style 1586 2" xfId="84" xr:uid="{00000000-0005-0000-0000-00004C010000}"/>
    <cellStyle name="Style 1587" xfId="85" xr:uid="{00000000-0005-0000-0000-00004D010000}"/>
    <cellStyle name="Style 1587 2" xfId="86" xr:uid="{00000000-0005-0000-0000-00004E010000}"/>
    <cellStyle name="Style 1588" xfId="87" xr:uid="{00000000-0005-0000-0000-00004F010000}"/>
    <cellStyle name="Style 1588 2" xfId="88" xr:uid="{00000000-0005-0000-0000-000050010000}"/>
    <cellStyle name="Style 1589" xfId="89" xr:uid="{00000000-0005-0000-0000-000051010000}"/>
    <cellStyle name="Style 1589 2" xfId="90" xr:uid="{00000000-0005-0000-0000-000052010000}"/>
    <cellStyle name="Style 1590" xfId="91" xr:uid="{00000000-0005-0000-0000-000053010000}"/>
    <cellStyle name="Style 1590 2" xfId="92" xr:uid="{00000000-0005-0000-0000-000054010000}"/>
    <cellStyle name="Style 1591" xfId="93" xr:uid="{00000000-0005-0000-0000-000055010000}"/>
    <cellStyle name="Style 1591 2" xfId="94" xr:uid="{00000000-0005-0000-0000-000056010000}"/>
    <cellStyle name="Style 1592" xfId="95" xr:uid="{00000000-0005-0000-0000-000057010000}"/>
    <cellStyle name="Style 1592 2" xfId="96" xr:uid="{00000000-0005-0000-0000-000058010000}"/>
    <cellStyle name="Style 1593" xfId="97" xr:uid="{00000000-0005-0000-0000-000059010000}"/>
    <cellStyle name="Style 1593 2" xfId="98" xr:uid="{00000000-0005-0000-0000-00005A010000}"/>
    <cellStyle name="Style 1594" xfId="99" xr:uid="{00000000-0005-0000-0000-00005B010000}"/>
    <cellStyle name="Style 1594 2" xfId="100" xr:uid="{00000000-0005-0000-0000-00005C010000}"/>
    <cellStyle name="Style 1595" xfId="101" xr:uid="{00000000-0005-0000-0000-00005D010000}"/>
    <cellStyle name="Style 1595 2" xfId="102" xr:uid="{00000000-0005-0000-0000-00005E010000}"/>
    <cellStyle name="Style 1788" xfId="103" xr:uid="{00000000-0005-0000-0000-00005F010000}"/>
    <cellStyle name="Style 1788 3" xfId="104" xr:uid="{00000000-0005-0000-0000-000060010000}"/>
    <cellStyle name="Style 1865" xfId="105" xr:uid="{00000000-0005-0000-0000-000061010000}"/>
    <cellStyle name="Style 1867" xfId="106" xr:uid="{00000000-0005-0000-0000-000062010000}"/>
    <cellStyle name="Style 1869" xfId="107" xr:uid="{00000000-0005-0000-0000-000063010000}"/>
    <cellStyle name="Style 1870" xfId="108" xr:uid="{00000000-0005-0000-0000-000064010000}"/>
    <cellStyle name="Style 1871" xfId="109" xr:uid="{00000000-0005-0000-0000-000065010000}"/>
    <cellStyle name="Style 1872" xfId="110" xr:uid="{00000000-0005-0000-0000-000066010000}"/>
    <cellStyle name="Style 1873" xfId="111" xr:uid="{00000000-0005-0000-0000-000067010000}"/>
    <cellStyle name="Style 1874" xfId="112" xr:uid="{00000000-0005-0000-0000-000068010000}"/>
    <cellStyle name="Style 1875" xfId="113" xr:uid="{00000000-0005-0000-0000-000069010000}"/>
    <cellStyle name="Style 1876" xfId="114" xr:uid="{00000000-0005-0000-0000-00006A010000}"/>
    <cellStyle name="Style 1877" xfId="115" xr:uid="{00000000-0005-0000-0000-00006B010000}"/>
    <cellStyle name="Style 1878" xfId="116" xr:uid="{00000000-0005-0000-0000-00006C010000}"/>
    <cellStyle name="Style 2095" xfId="117" xr:uid="{00000000-0005-0000-0000-00006D010000}"/>
    <cellStyle name="Style 2099" xfId="118" xr:uid="{00000000-0005-0000-0000-00006E010000}"/>
    <cellStyle name="Style 2101" xfId="119" xr:uid="{00000000-0005-0000-0000-00006F010000}"/>
    <cellStyle name="Style 2102" xfId="120" xr:uid="{00000000-0005-0000-0000-000070010000}"/>
    <cellStyle name="Style 2103" xfId="121" xr:uid="{00000000-0005-0000-0000-000071010000}"/>
    <cellStyle name="Style 2104" xfId="122" xr:uid="{00000000-0005-0000-0000-000072010000}"/>
    <cellStyle name="Style 2105" xfId="123" xr:uid="{00000000-0005-0000-0000-000073010000}"/>
    <cellStyle name="Style 2106" xfId="124" xr:uid="{00000000-0005-0000-0000-000074010000}"/>
    <cellStyle name="Style 2107" xfId="125" xr:uid="{00000000-0005-0000-0000-000075010000}"/>
    <cellStyle name="Style 2108" xfId="126" xr:uid="{00000000-0005-0000-0000-000076010000}"/>
    <cellStyle name="Style 2109" xfId="127" xr:uid="{00000000-0005-0000-0000-000077010000}"/>
    <cellStyle name="Style 2110" xfId="128" xr:uid="{00000000-0005-0000-0000-000078010000}"/>
    <cellStyle name="STYLE1" xfId="129" xr:uid="{00000000-0005-0000-0000-000079010000}"/>
    <cellStyle name="STYLE2" xfId="130" xr:uid="{00000000-0005-0000-0000-00007A010000}"/>
    <cellStyle name="STYLE3" xfId="131" xr:uid="{00000000-0005-0000-0000-00007B010000}"/>
    <cellStyle name="STYLE4" xfId="132" xr:uid="{00000000-0005-0000-0000-00007C010000}"/>
    <cellStyle name="STYLE5" xfId="133" xr:uid="{00000000-0005-0000-0000-00007D010000}"/>
    <cellStyle name="STYLE6" xfId="134" xr:uid="{00000000-0005-0000-0000-00007E010000}"/>
    <cellStyle name="STYLE7" xfId="135" xr:uid="{00000000-0005-0000-0000-00007F010000}"/>
    <cellStyle name="STYLE8" xfId="136" xr:uid="{00000000-0005-0000-0000-000080010000}"/>
    <cellStyle name="STYLE9" xfId="137" xr:uid="{00000000-0005-0000-0000-000081010000}"/>
  </cellStyles>
  <dxfs count="6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'Board Summary'!$A$42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'Board Summary'!$B$37:$I$37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Trailing 12</c:v>
                </c:pt>
                <c:pt idx="3">
                  <c:v>T12 2019</c:v>
                </c:pt>
                <c:pt idx="4">
                  <c:v>T12 2020</c:v>
                </c:pt>
                <c:pt idx="5">
                  <c:v>T12 2021</c:v>
                </c:pt>
                <c:pt idx="6">
                  <c:v>T12 2022</c:v>
                </c:pt>
                <c:pt idx="7">
                  <c:v>T12 2023</c:v>
                </c:pt>
              </c:strCache>
            </c:strRef>
          </c:cat>
          <c:val>
            <c:numRef>
              <c:f>'Board Summary'!$B$42:$I$42</c:f>
              <c:numCache>
                <c:formatCode>_(* #,##0_);_(* \(#,##0\);_(* "-"??_);_(@_)</c:formatCode>
                <c:ptCount val="8"/>
                <c:pt idx="0">
                  <c:v>0</c:v>
                </c:pt>
                <c:pt idx="1">
                  <c:v>3903117.98</c:v>
                </c:pt>
                <c:pt idx="2">
                  <c:v>4044844.1199999996</c:v>
                </c:pt>
                <c:pt idx="3">
                  <c:v>4204024.4657908324</c:v>
                </c:pt>
                <c:pt idx="4">
                  <c:v>4286871.7406229107</c:v>
                </c:pt>
                <c:pt idx="5">
                  <c:v>4371367.7095098114</c:v>
                </c:pt>
                <c:pt idx="6">
                  <c:v>4457545.3458403433</c:v>
                </c:pt>
                <c:pt idx="7">
                  <c:v>4500433.9446681309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E37-BEA6-5A2E77BCAAA4}"/>
            </c:ext>
          </c:extLst>
        </c:ser>
        <c:ser>
          <c:idx val="9"/>
          <c:order val="1"/>
          <c:tx>
            <c:strRef>
              <c:f>'Board Summary'!$A$47</c:f>
              <c:strCache>
                <c:ptCount val="1"/>
                <c:pt idx="0">
                  <c:v>Net Free Cash Flow</c:v>
                </c:pt>
              </c:strCache>
            </c:strRef>
          </c:tx>
          <c:marker>
            <c:symbol val="none"/>
          </c:marker>
          <c:cat>
            <c:strRef>
              <c:f>'Board Summary'!$B$37:$I$37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Trailing 12</c:v>
                </c:pt>
                <c:pt idx="3">
                  <c:v>T12 2019</c:v>
                </c:pt>
                <c:pt idx="4">
                  <c:v>T12 2020</c:v>
                </c:pt>
                <c:pt idx="5">
                  <c:v>T12 2021</c:v>
                </c:pt>
                <c:pt idx="6">
                  <c:v>T12 2022</c:v>
                </c:pt>
                <c:pt idx="7">
                  <c:v>T12 2023</c:v>
                </c:pt>
              </c:strCache>
            </c:strRef>
          </c:cat>
          <c:val>
            <c:numRef>
              <c:f>'Board Summary'!$B$47:$I$47</c:f>
              <c:numCache>
                <c:formatCode>_(* #,##0_);_(* \(#,##0\);_(* "-"??_);_(@_)</c:formatCode>
                <c:ptCount val="8"/>
                <c:pt idx="0">
                  <c:v>-792174.75888169068</c:v>
                </c:pt>
                <c:pt idx="1">
                  <c:v>978061.03251830977</c:v>
                </c:pt>
                <c:pt idx="2">
                  <c:v>1078409.862718309</c:v>
                </c:pt>
                <c:pt idx="3">
                  <c:v>977597.93317227694</c:v>
                </c:pt>
                <c:pt idx="4">
                  <c:v>1010467.420952148</c:v>
                </c:pt>
                <c:pt idx="5">
                  <c:v>1043933.6329658644</c:v>
                </c:pt>
                <c:pt idx="6">
                  <c:v>1111267.1508534115</c:v>
                </c:pt>
                <c:pt idx="7">
                  <c:v>1111459.807734269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2-4E37-BEA6-5A2E77B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6341752"/>
        <c:axId val="-1986338872"/>
      </c:lineChart>
      <c:catAx>
        <c:axId val="-198634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86338872"/>
        <c:crosses val="autoZero"/>
        <c:auto val="1"/>
        <c:lblAlgn val="ctr"/>
        <c:lblOffset val="100"/>
        <c:noMultiLvlLbl val="0"/>
      </c:catAx>
      <c:valAx>
        <c:axId val="-19863388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198634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REVPAR GROWTH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Data'!$B$15</c:f>
              <c:strCache>
                <c:ptCount val="1"/>
                <c:pt idx="0">
                  <c:v>Subject Year over Year Growth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cat>
            <c:strLit>
              <c:ptCount val="4"/>
              <c:pt idx="0">
                <c:v>_x0001_5</c:v>
              </c:pt>
              <c:pt idx="1">
                <c:v>_x0001_7</c:v>
              </c:pt>
              <c:pt idx="2">
                <c:v>_x0001_9</c:v>
              </c:pt>
              <c:pt idx="3">
                <c:v>_x0002_11</c:v>
              </c:pt>
            </c:strLit>
          </c:cat>
          <c:val>
            <c:numRef>
              <c:f>('Key Data'!$G$15,'Key Data'!$I$15,'Key Data'!$K$15,'Key Data'!$M$15)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0.39809813992212267</c:v>
                </c:pt>
                <c:pt idx="3">
                  <c:v>4.7362260864712791E-2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6-4691-AD7D-9CD83CB68217}"/>
            </c:ext>
          </c:extLst>
        </c:ser>
        <c:ser>
          <c:idx val="1"/>
          <c:order val="1"/>
          <c:tx>
            <c:strRef>
              <c:f>'Key Data'!$B$22</c:f>
              <c:strCache>
                <c:ptCount val="1"/>
                <c:pt idx="0">
                  <c:v>Comp Set Year over Year Growth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cat>
            <c:strLit>
              <c:ptCount val="4"/>
              <c:pt idx="0">
                <c:v>_x0001_5</c:v>
              </c:pt>
              <c:pt idx="1">
                <c:v>_x0001_7</c:v>
              </c:pt>
              <c:pt idx="2">
                <c:v>_x0001_9</c:v>
              </c:pt>
              <c:pt idx="3">
                <c:v>_x0002_11</c:v>
              </c:pt>
            </c:strLit>
          </c:cat>
          <c:val>
            <c:numRef>
              <c:f>('Key Data'!$G$22,'Key Data'!$I$22,'Key Data'!$K$22,'Key Data'!$M$22)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-7.8013266331897244E-2</c:v>
                </c:pt>
                <c:pt idx="3">
                  <c:v>5.7874255826087899E-2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F6-4691-AD7D-9CD83CB6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986760024"/>
        <c:axId val="-1986290712"/>
      </c:barChart>
      <c:catAx>
        <c:axId val="-19867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290712"/>
        <c:crossesAt val="0"/>
        <c:auto val="1"/>
        <c:lblAlgn val="ctr"/>
        <c:lblOffset val="100"/>
        <c:noMultiLvlLbl val="0"/>
      </c:catAx>
      <c:valAx>
        <c:axId val="-198629071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760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COMP SET REVPAR CHANGE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81146106737"/>
          <c:y val="0.101039487055761"/>
          <c:w val="0.85206401787720398"/>
          <c:h val="0.857293882832890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Overview!$C$6:$C$8</c:f>
              <c:strCache>
                <c:ptCount val="3"/>
                <c:pt idx="0">
                  <c:v>1 Month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1.7679256742587499E-2"/>
                  <c:y val="1.83796296296296E-2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FC-43B5-B1E9-3AA3B4161A50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Overview!$A$9</c:f>
              <c:strCache>
                <c:ptCount val="1"/>
                <c:pt idx="0">
                  <c:v>COMP SET REVPAR % CHANGE</c:v>
                </c:pt>
              </c:strCache>
            </c:strRef>
          </c:cat>
          <c:val>
            <c:numRef>
              <c:f>Overview!$C$9</c:f>
              <c:numCache>
                <c:formatCode>0.0</c:formatCode>
                <c:ptCount val="1"/>
                <c:pt idx="0">
                  <c:v>-0.58260227841743317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C-43B5-B1E9-3AA3B4161A50}"/>
            </c:ext>
          </c:extLst>
        </c:ser>
        <c:ser>
          <c:idx val="3"/>
          <c:order val="1"/>
          <c:tx>
            <c:strRef>
              <c:f>Overview!$E$6:$E$8</c:f>
              <c:strCache>
                <c:ptCount val="3"/>
                <c:pt idx="0">
                  <c:v>Running 3 Months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Overview!$A$9</c:f>
              <c:strCache>
                <c:ptCount val="1"/>
                <c:pt idx="0">
                  <c:v>COMP SET REVPAR % CHANGE</c:v>
                </c:pt>
              </c:strCache>
            </c:strRef>
          </c:cat>
          <c:val>
            <c:numRef>
              <c:f>Overview!$E$9</c:f>
              <c:numCache>
                <c:formatCode>0.0</c:formatCode>
                <c:ptCount val="1"/>
                <c:pt idx="0">
                  <c:v>0.15380348967969823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FC-43B5-B1E9-3AA3B4161A50}"/>
            </c:ext>
          </c:extLst>
        </c:ser>
        <c:ser>
          <c:idx val="5"/>
          <c:order val="2"/>
          <c:tx>
            <c:strRef>
              <c:f>Overview!$G$6:$G$8</c:f>
              <c:strCache>
                <c:ptCount val="3"/>
                <c:pt idx="0">
                  <c:v>YTD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4.3786775581806702E-3"/>
                  <c:y val="1.6581912980453199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4FFC-43B5-B1E9-3AA3B4161A50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Overview!$A$9</c:f>
              <c:strCache>
                <c:ptCount val="1"/>
                <c:pt idx="0">
                  <c:v>COMP SET REVPAR % CHANGE</c:v>
                </c:pt>
              </c:strCache>
            </c:strRef>
          </c:cat>
          <c:val>
            <c:numRef>
              <c:f>Overview!$G$9</c:f>
              <c:numCache>
                <c:formatCode>0.0</c:formatCode>
                <c:ptCount val="1"/>
                <c:pt idx="0">
                  <c:v>5.9087637135068256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FC-43B5-B1E9-3AA3B4161A50}"/>
            </c:ext>
          </c:extLst>
        </c:ser>
        <c:ser>
          <c:idx val="7"/>
          <c:order val="3"/>
          <c:tx>
            <c:strRef>
              <c:f>Overview!$I$6:$I$8</c:f>
              <c:strCache>
                <c:ptCount val="3"/>
                <c:pt idx="0">
                  <c:v>Running 12 Months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8846102658917496E-4"/>
                  <c:y val="4.4910335859869102E-3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FC-43B5-B1E9-3AA3B4161A50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Overview!$A$9</c:f>
              <c:strCache>
                <c:ptCount val="1"/>
                <c:pt idx="0">
                  <c:v>COMP SET REVPAR % CHANGE</c:v>
                </c:pt>
              </c:strCache>
            </c:strRef>
          </c:cat>
          <c:val>
            <c:numRef>
              <c:f>Overview!$I$9</c:f>
              <c:numCache>
                <c:formatCode>0.0</c:formatCode>
                <c:ptCount val="1"/>
                <c:pt idx="0">
                  <c:v>5.7507832047705332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FC-43B5-B1E9-3AA3B416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25289752"/>
        <c:axId val="-2025267080"/>
      </c:barChart>
      <c:catAx>
        <c:axId val="-20252897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-2025267080"/>
        <c:crosses val="autoZero"/>
        <c:auto val="1"/>
        <c:lblAlgn val="ctr"/>
        <c:lblOffset val="100"/>
        <c:noMultiLvlLbl val="0"/>
      </c:catAx>
      <c:valAx>
        <c:axId val="-20252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RevPAR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28975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'HOST Projections'!$A$44</c:f>
              <c:strCache>
                <c:ptCount val="1"/>
                <c:pt idx="0">
                  <c:v> HOUSE PROFIT 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('HOST Projections'!$D$4,'HOST Projections'!$F$4,'HOST Projections'!$H$4,'HOST Projections'!$J$4)</c:f>
              <c:strCache>
                <c:ptCount val="4"/>
                <c:pt idx="0">
                  <c:v>T12</c:v>
                </c:pt>
                <c:pt idx="1">
                  <c:v>LOCATION</c:v>
                </c:pt>
                <c:pt idx="2">
                  <c:v>TIER</c:v>
                </c:pt>
                <c:pt idx="3">
                  <c:v>AVG</c:v>
                </c:pt>
              </c:strCache>
            </c:strRef>
          </c:cat>
          <c:val>
            <c:numRef>
              <c:f>('HOST Projections'!$D$44,'HOST Projections'!$F$44,'HOST Projections'!$H$44,'HOST Projections'!$J$44)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3737926.5977500002</c:v>
                </c:pt>
                <c:pt idx="2">
                  <c:v>3737926.5977500002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A-48F5-B2EA-41AD88B8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058248"/>
        <c:axId val="-2041055080"/>
      </c:barChart>
      <c:catAx>
        <c:axId val="-204105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55080"/>
        <c:crosses val="autoZero"/>
        <c:auto val="1"/>
        <c:lblAlgn val="ctr"/>
        <c:lblOffset val="100"/>
        <c:noMultiLvlLbl val="0"/>
      </c:catAx>
      <c:valAx>
        <c:axId val="-20410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58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RevPAR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'RevPAR Analysis'!$A$4</c:f>
              <c:strCache>
                <c:ptCount val="1"/>
                <c:pt idx="0">
                  <c:v>2015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Analysis'!$B$2:$M$3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Subject</c:v>
                  </c:pt>
                </c:lvl>
              </c:multiLvlStrCache>
            </c:multiLvlStrRef>
          </c:cat>
          <c:val>
            <c:numRef>
              <c:f>'RevPAR Analysis'!$B$4:$M$4</c:f>
              <c:numCache>
                <c:formatCode>0.00</c:formatCode>
                <c:ptCount val="12"/>
                <c:pt idx="0">
                  <c:v>58.661590863554395</c:v>
                </c:pt>
                <c:pt idx="1">
                  <c:v>65.633096716947648</c:v>
                </c:pt>
                <c:pt idx="2">
                  <c:v>76.25165297535564</c:v>
                </c:pt>
                <c:pt idx="3">
                  <c:v>79.891304347826079</c:v>
                </c:pt>
                <c:pt idx="4">
                  <c:v>76.60308555399719</c:v>
                </c:pt>
                <c:pt idx="5">
                  <c:v>96.427122153209098</c:v>
                </c:pt>
                <c:pt idx="6">
                  <c:v>96.947305149268672</c:v>
                </c:pt>
                <c:pt idx="7">
                  <c:v>92.852133840913638</c:v>
                </c:pt>
                <c:pt idx="8">
                  <c:v>97.632091097308489</c:v>
                </c:pt>
                <c:pt idx="9">
                  <c:v>86.622320176317359</c:v>
                </c:pt>
                <c:pt idx="10">
                  <c:v>68.238509316770191</c:v>
                </c:pt>
                <c:pt idx="11">
                  <c:v>51.556000801442593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8-4E0D-9C32-33932C08B9DD}"/>
            </c:ext>
          </c:extLst>
        </c:ser>
        <c:ser>
          <c:idx val="1"/>
          <c:order val="1"/>
          <c:tx>
            <c:strRef>
              <c:f>'RevPAR Analysis'!$A$5</c:f>
              <c:strCache>
                <c:ptCount val="1"/>
                <c:pt idx="0">
                  <c:v>2016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Analysis'!$B$2:$M$3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Subject</c:v>
                  </c:pt>
                </c:lvl>
              </c:multiLvlStrCache>
            </c:multiLvlStrRef>
          </c:cat>
          <c:val>
            <c:numRef>
              <c:f>'RevPAR Analysis'!$B$5:$M$5</c:f>
              <c:numCache>
                <c:formatCode>0.00</c:formatCode>
                <c:ptCount val="12"/>
                <c:pt idx="0">
                  <c:v>65.69765578040473</c:v>
                </c:pt>
                <c:pt idx="1">
                  <c:v>71.722424502034698</c:v>
                </c:pt>
                <c:pt idx="2">
                  <c:v>75.214185533961128</c:v>
                </c:pt>
                <c:pt idx="3">
                  <c:v>88.332505175983442</c:v>
                </c:pt>
                <c:pt idx="4">
                  <c:v>91.144860749348823</c:v>
                </c:pt>
                <c:pt idx="5">
                  <c:v>103.62546583850931</c:v>
                </c:pt>
                <c:pt idx="6">
                  <c:v>89.228811861350422</c:v>
                </c:pt>
                <c:pt idx="7">
                  <c:v>94.101182127830086</c:v>
                </c:pt>
                <c:pt idx="8">
                  <c:v>87.495859213250512</c:v>
                </c:pt>
                <c:pt idx="9">
                  <c:v>87.663193748747744</c:v>
                </c:pt>
                <c:pt idx="10">
                  <c:v>59.864389233954448</c:v>
                </c:pt>
                <c:pt idx="11">
                  <c:v>40.31636946503707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8-4E0D-9C32-33932C08B9DD}"/>
            </c:ext>
          </c:extLst>
        </c:ser>
        <c:ser>
          <c:idx val="2"/>
          <c:order val="2"/>
          <c:tx>
            <c:strRef>
              <c:f>'RevPAR Analysis'!$A$6</c:f>
              <c:strCache>
                <c:ptCount val="1"/>
                <c:pt idx="0">
                  <c:v>2017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Analysis'!$B$2:$M$3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Subject</c:v>
                  </c:pt>
                </c:lvl>
              </c:multiLvlStrCache>
            </c:multiLvlStrRef>
          </c:cat>
          <c:val>
            <c:numRef>
              <c:f>'RevPAR Analysis'!$B$6:$M$6</c:f>
              <c:numCache>
                <c:formatCode>0.00</c:formatCode>
                <c:ptCount val="12"/>
                <c:pt idx="0">
                  <c:v>59.571027850130235</c:v>
                </c:pt>
                <c:pt idx="1">
                  <c:v>71.948757763975152</c:v>
                </c:pt>
                <c:pt idx="2">
                  <c:v>72.383690643157678</c:v>
                </c:pt>
                <c:pt idx="3">
                  <c:v>80.897722567287786</c:v>
                </c:pt>
                <c:pt idx="4">
                  <c:v>93.084952915247442</c:v>
                </c:pt>
                <c:pt idx="5">
                  <c:v>113.48757763975154</c:v>
                </c:pt>
                <c:pt idx="6">
                  <c:v>96.128631536766179</c:v>
                </c:pt>
                <c:pt idx="7">
                  <c:v>102.84952915247445</c:v>
                </c:pt>
                <c:pt idx="8">
                  <c:v>97.992753623188392</c:v>
                </c:pt>
                <c:pt idx="9">
                  <c:v>94.445401723101583</c:v>
                </c:pt>
                <c:pt idx="10">
                  <c:v>71.903519668737061</c:v>
                </c:pt>
                <c:pt idx="11">
                  <c:v>37.750951713083552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8-4E0D-9C32-33932C08B9DD}"/>
            </c:ext>
          </c:extLst>
        </c:ser>
        <c:ser>
          <c:idx val="3"/>
          <c:order val="3"/>
          <c:tx>
            <c:strRef>
              <c:f>'RevPAR Analysis'!$A$7</c:f>
              <c:strCache>
                <c:ptCount val="1"/>
                <c:pt idx="0">
                  <c:v>2018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  <a:tailEnd type="triangle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Analysis'!$B$2:$M$3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Subject</c:v>
                  </c:pt>
                </c:lvl>
              </c:multiLvlStrCache>
            </c:multiLvlStrRef>
          </c:cat>
          <c:val>
            <c:numRef>
              <c:f>'RevPAR Analysis'!$B$7:$M$7</c:f>
              <c:numCache>
                <c:formatCode>0.00</c:formatCode>
                <c:ptCount val="12"/>
                <c:pt idx="0">
                  <c:v>55.361450611099976</c:v>
                </c:pt>
                <c:pt idx="1">
                  <c:v>67.619565217391298</c:v>
                </c:pt>
                <c:pt idx="2">
                  <c:v>73.863153676617912</c:v>
                </c:pt>
                <c:pt idx="3">
                  <c:v>84.920082815734986</c:v>
                </c:pt>
                <c:pt idx="4">
                  <c:v>93.973953115608083</c:v>
                </c:pt>
                <c:pt idx="5">
                  <c:v>113.59648033126294</c:v>
                </c:pt>
                <c:pt idx="6">
                  <c:v>103.53596473652574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8-4E0D-9C32-33932C08B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8503656"/>
        <c:axId val="-2041421416"/>
      </c:lineChart>
      <c:catAx>
        <c:axId val="-196850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421416"/>
        <c:crosses val="autoZero"/>
        <c:auto val="1"/>
        <c:lblAlgn val="ctr"/>
        <c:lblOffset val="100"/>
        <c:noMultiLvlLbl val="0"/>
      </c:catAx>
      <c:valAx>
        <c:axId val="-20414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68503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RevPAR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'RevPAR Analysis'!$A$11</c:f>
              <c:strCache>
                <c:ptCount val="1"/>
                <c:pt idx="0">
                  <c:v>2015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Analysis'!$B$9:$M$10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Comp Set</c:v>
                  </c:pt>
                </c:lvl>
              </c:multiLvlStrCache>
            </c:multiLvlStrRef>
          </c:cat>
          <c:val>
            <c:numRef>
              <c:f>'RevPAR Analysis'!$B$11:$M$11</c:f>
              <c:numCache>
                <c:formatCode>0.00</c:formatCode>
                <c:ptCount val="12"/>
                <c:pt idx="0">
                  <c:v>55.837248607754539</c:v>
                </c:pt>
                <c:pt idx="1">
                  <c:v>61.885732899022805</c:v>
                </c:pt>
                <c:pt idx="2">
                  <c:v>67.018029841336556</c:v>
                </c:pt>
                <c:pt idx="3">
                  <c:v>75.258312160694885</c:v>
                </c:pt>
                <c:pt idx="4">
                  <c:v>76.90274035935694</c:v>
                </c:pt>
                <c:pt idx="5">
                  <c:v>93.28424484256243</c:v>
                </c:pt>
                <c:pt idx="6">
                  <c:v>92.645705579489331</c:v>
                </c:pt>
                <c:pt idx="7">
                  <c:v>87.245042030051479</c:v>
                </c:pt>
                <c:pt idx="8">
                  <c:v>91.245376764386535</c:v>
                </c:pt>
                <c:pt idx="9">
                  <c:v>85.262080487548602</c:v>
                </c:pt>
                <c:pt idx="10">
                  <c:v>71.253932681867539</c:v>
                </c:pt>
                <c:pt idx="11">
                  <c:v>50.935078806346539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0-42BB-81D4-94F8E29B4EDB}"/>
            </c:ext>
          </c:extLst>
        </c:ser>
        <c:ser>
          <c:idx val="1"/>
          <c:order val="1"/>
          <c:tx>
            <c:strRef>
              <c:f>'RevPAR Analysis'!$A$12</c:f>
              <c:strCache>
                <c:ptCount val="1"/>
                <c:pt idx="0">
                  <c:v>2016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Analysis'!$B$9:$M$10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Comp Set</c:v>
                  </c:pt>
                </c:lvl>
              </c:multiLvlStrCache>
            </c:multiLvlStrRef>
          </c:cat>
          <c:val>
            <c:numRef>
              <c:f>'RevPAR Analysis'!$B$12:$M$12</c:f>
              <c:numCache>
                <c:formatCode>0.00</c:formatCode>
                <c:ptCount val="12"/>
                <c:pt idx="0">
                  <c:v>54.49531312388357</c:v>
                </c:pt>
                <c:pt idx="1">
                  <c:v>62.889563068628526</c:v>
                </c:pt>
                <c:pt idx="2">
                  <c:v>62.805369864453077</c:v>
                </c:pt>
                <c:pt idx="3">
                  <c:v>80.342519001085776</c:v>
                </c:pt>
                <c:pt idx="4">
                  <c:v>86.654236629189867</c:v>
                </c:pt>
                <c:pt idx="5">
                  <c:v>97.665822475570025</c:v>
                </c:pt>
                <c:pt idx="6">
                  <c:v>97.196234107386786</c:v>
                </c:pt>
                <c:pt idx="7">
                  <c:v>93.191241988021432</c:v>
                </c:pt>
                <c:pt idx="8">
                  <c:v>88.214755700325725</c:v>
                </c:pt>
                <c:pt idx="9">
                  <c:v>86.509845539560786</c:v>
                </c:pt>
                <c:pt idx="10">
                  <c:v>74.075576547231279</c:v>
                </c:pt>
                <c:pt idx="11">
                  <c:v>52.539932226541978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0-42BB-81D4-94F8E29B4EDB}"/>
            </c:ext>
          </c:extLst>
        </c:ser>
        <c:ser>
          <c:idx val="2"/>
          <c:order val="2"/>
          <c:tx>
            <c:strRef>
              <c:f>'RevPAR Analysis'!$A$13</c:f>
              <c:strCache>
                <c:ptCount val="1"/>
                <c:pt idx="0">
                  <c:v>2017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Analysis'!$B$9:$M$10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Comp Set</c:v>
                  </c:pt>
                </c:lvl>
              </c:multiLvlStrCache>
            </c:multiLvlStrRef>
          </c:cat>
          <c:val>
            <c:numRef>
              <c:f>'RevPAR Analysis'!$B$13:$M$13</c:f>
              <c:numCache>
                <c:formatCode>0.00</c:formatCode>
                <c:ptCount val="12"/>
                <c:pt idx="0">
                  <c:v>69.991256173163805</c:v>
                </c:pt>
                <c:pt idx="1">
                  <c:v>65.003135760818992</c:v>
                </c:pt>
                <c:pt idx="2">
                  <c:v>70.151207838604606</c:v>
                </c:pt>
                <c:pt idx="3">
                  <c:v>79.387079261672099</c:v>
                </c:pt>
                <c:pt idx="4">
                  <c:v>89.018313544184082</c:v>
                </c:pt>
                <c:pt idx="5">
                  <c:v>102.54278013029314</c:v>
                </c:pt>
                <c:pt idx="6">
                  <c:v>101.90262950509613</c:v>
                </c:pt>
                <c:pt idx="7">
                  <c:v>97.029212461910262</c:v>
                </c:pt>
                <c:pt idx="8">
                  <c:v>95.384804560260591</c:v>
                </c:pt>
                <c:pt idx="9">
                  <c:v>87.61065671955447</c:v>
                </c:pt>
                <c:pt idx="10">
                  <c:v>75.200528773072747</c:v>
                </c:pt>
                <c:pt idx="11">
                  <c:v>55.573255752863297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0-42BB-81D4-94F8E29B4EDB}"/>
            </c:ext>
          </c:extLst>
        </c:ser>
        <c:ser>
          <c:idx val="3"/>
          <c:order val="3"/>
          <c:tx>
            <c:strRef>
              <c:f>'RevPAR Analysis'!$A$14</c:f>
              <c:strCache>
                <c:ptCount val="1"/>
                <c:pt idx="0">
                  <c:v>2018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  <a:tailEnd type="triangle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Analysis'!$B$9:$M$10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Comp Set</c:v>
                  </c:pt>
                </c:lvl>
              </c:multiLvlStrCache>
            </c:multiLvlStrRef>
          </c:cat>
          <c:val>
            <c:numRef>
              <c:f>'RevPAR Analysis'!$B$14:$M$14</c:f>
              <c:numCache>
                <c:formatCode>0.00</c:formatCode>
                <c:ptCount val="12"/>
                <c:pt idx="0">
                  <c:v>66.268670274246091</c:v>
                </c:pt>
                <c:pt idx="1">
                  <c:v>70.82696195905072</c:v>
                </c:pt>
                <c:pt idx="2">
                  <c:v>83.865054113691286</c:v>
                </c:pt>
                <c:pt idx="3">
                  <c:v>82.773946796959834</c:v>
                </c:pt>
                <c:pt idx="4">
                  <c:v>86.03943627193442</c:v>
                </c:pt>
                <c:pt idx="5">
                  <c:v>102.92741422366991</c:v>
                </c:pt>
                <c:pt idx="6">
                  <c:v>100.12865766523063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0-42BB-81D4-94F8E29B4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8999608"/>
        <c:axId val="-2041161496"/>
      </c:lineChart>
      <c:catAx>
        <c:axId val="-196899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1161496"/>
        <c:crosses val="autoZero"/>
        <c:auto val="1"/>
        <c:lblAlgn val="ctr"/>
        <c:lblOffset val="100"/>
        <c:noMultiLvlLbl val="0"/>
      </c:catAx>
      <c:valAx>
        <c:axId val="-20411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68999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RevPAR Index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'RevPAR Analysis'!$A$18</c:f>
              <c:strCache>
                <c:ptCount val="1"/>
                <c:pt idx="0">
                  <c:v>2015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Analysis'!$B$16:$M$17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Index</c:v>
                  </c:pt>
                </c:lvl>
              </c:multiLvlStrCache>
            </c:multiLvlStrRef>
          </c:cat>
          <c:val>
            <c:numRef>
              <c:f>'RevPAR Analysis'!$B$18:$M$18</c:f>
              <c:numCache>
                <c:formatCode>0.0</c:formatCode>
                <c:ptCount val="12"/>
                <c:pt idx="0">
                  <c:v>105.05816874259025</c:v>
                </c:pt>
                <c:pt idx="1">
                  <c:v>106.05529520679558</c:v>
                </c:pt>
                <c:pt idx="2">
                  <c:v>113.77781942542842</c:v>
                </c:pt>
                <c:pt idx="3">
                  <c:v>106.15612023989938</c:v>
                </c:pt>
                <c:pt idx="4">
                  <c:v>99.610345738058882</c:v>
                </c:pt>
                <c:pt idx="5">
                  <c:v>103.36914054023912</c:v>
                </c:pt>
                <c:pt idx="6">
                  <c:v>104.64306417968677</c:v>
                </c:pt>
                <c:pt idx="7">
                  <c:v>106.4268314627332</c:v>
                </c:pt>
                <c:pt idx="8">
                  <c:v>106.99949362849769</c:v>
                </c:pt>
                <c:pt idx="9">
                  <c:v>101.59536300426943</c:v>
                </c:pt>
                <c:pt idx="10">
                  <c:v>95.768060440171737</c:v>
                </c:pt>
                <c:pt idx="11">
                  <c:v>101.21904591029845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0-46FB-A568-D05DD4642BD1}"/>
            </c:ext>
          </c:extLst>
        </c:ser>
        <c:ser>
          <c:idx val="1"/>
          <c:order val="1"/>
          <c:tx>
            <c:strRef>
              <c:f>'RevPAR Analysis'!$A$19</c:f>
              <c:strCache>
                <c:ptCount val="1"/>
                <c:pt idx="0">
                  <c:v>2016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Analysis'!$B$16:$M$17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Index</c:v>
                  </c:pt>
                </c:lvl>
              </c:multiLvlStrCache>
            </c:multiLvlStrRef>
          </c:cat>
          <c:val>
            <c:numRef>
              <c:f>'RevPAR Analysis'!$B$19:$M$19</c:f>
              <c:numCache>
                <c:formatCode>0.0</c:formatCode>
                <c:ptCount val="12"/>
                <c:pt idx="0">
                  <c:v>120.5565249823503</c:v>
                </c:pt>
                <c:pt idx="1">
                  <c:v>114.04503545964735</c:v>
                </c:pt>
                <c:pt idx="2">
                  <c:v>119.75757120177593</c:v>
                </c:pt>
                <c:pt idx="3">
                  <c:v>109.94490373744651</c:v>
                </c:pt>
                <c:pt idx="4">
                  <c:v>105.18223262340328</c:v>
                </c:pt>
                <c:pt idx="5">
                  <c:v>106.10207666497666</c:v>
                </c:pt>
                <c:pt idx="6">
                  <c:v>91.802745940512892</c:v>
                </c:pt>
                <c:pt idx="7">
                  <c:v>100.97642237660659</c:v>
                </c:pt>
                <c:pt idx="8">
                  <c:v>99.185060955655331</c:v>
                </c:pt>
                <c:pt idx="9">
                  <c:v>101.3331987844777</c:v>
                </c:pt>
                <c:pt idx="10">
                  <c:v>80.815286258061548</c:v>
                </c:pt>
                <c:pt idx="11">
                  <c:v>76.734719205956949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0-46FB-A568-D05DD4642BD1}"/>
            </c:ext>
          </c:extLst>
        </c:ser>
        <c:ser>
          <c:idx val="2"/>
          <c:order val="2"/>
          <c:tx>
            <c:strRef>
              <c:f>'RevPAR Analysis'!$A$20</c:f>
              <c:strCache>
                <c:ptCount val="1"/>
                <c:pt idx="0">
                  <c:v>2017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Analysis'!$B$16:$M$17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Index</c:v>
                  </c:pt>
                </c:lvl>
              </c:multiLvlStrCache>
            </c:multiLvlStrRef>
          </c:cat>
          <c:val>
            <c:numRef>
              <c:f>'RevPAR Analysis'!$B$20:$M$20</c:f>
              <c:numCache>
                <c:formatCode>0.0</c:formatCode>
                <c:ptCount val="12"/>
                <c:pt idx="0">
                  <c:v>85.112099863941395</c:v>
                </c:pt>
                <c:pt idx="1">
                  <c:v>110.68505683896971</c:v>
                </c:pt>
                <c:pt idx="2">
                  <c:v>103.18238683742881</c:v>
                </c:pt>
                <c:pt idx="3">
                  <c:v>101.902883088363</c:v>
                </c:pt>
                <c:pt idx="4">
                  <c:v>104.56831769683536</c:v>
                </c:pt>
                <c:pt idx="5">
                  <c:v>110.67339650392908</c:v>
                </c:pt>
                <c:pt idx="6">
                  <c:v>94.333808659921559</c:v>
                </c:pt>
                <c:pt idx="7">
                  <c:v>105.99851997443452</c:v>
                </c:pt>
                <c:pt idx="8">
                  <c:v>102.73413472402747</c:v>
                </c:pt>
                <c:pt idx="9">
                  <c:v>107.80127128304197</c:v>
                </c:pt>
                <c:pt idx="10">
                  <c:v>95.615710210915083</c:v>
                </c:pt>
                <c:pt idx="11">
                  <c:v>67.930070321889517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0-46FB-A568-D05DD4642BD1}"/>
            </c:ext>
          </c:extLst>
        </c:ser>
        <c:ser>
          <c:idx val="3"/>
          <c:order val="3"/>
          <c:tx>
            <c:strRef>
              <c:f>'RevPAR Analysis'!$A$21</c:f>
              <c:strCache>
                <c:ptCount val="1"/>
                <c:pt idx="0">
                  <c:v>2018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  <a:tailEnd type="triangle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'RevPAR Analysis'!$B$16:$M$17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Index</c:v>
                  </c:pt>
                </c:lvl>
              </c:multiLvlStrCache>
            </c:multiLvlStrRef>
          </c:cat>
          <c:val>
            <c:numRef>
              <c:f>'RevPAR Analysis'!$B$21:$M$21</c:f>
              <c:numCache>
                <c:formatCode>0.0</c:formatCode>
                <c:ptCount val="12"/>
                <c:pt idx="0">
                  <c:v>83.540910632418459</c:v>
                </c:pt>
                <c:pt idx="1">
                  <c:v>95.47150314944497</c:v>
                </c:pt>
                <c:pt idx="2">
                  <c:v>88.073816272133627</c:v>
                </c:pt>
                <c:pt idx="3">
                  <c:v>102.59276753353265</c:v>
                </c:pt>
                <c:pt idx="4">
                  <c:v>109.22195354534401</c:v>
                </c:pt>
                <c:pt idx="5">
                  <c:v>110.36562143143733</c:v>
                </c:pt>
                <c:pt idx="6">
                  <c:v>103.40292894236839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50-46FB-A568-D05DD464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272504"/>
        <c:axId val="-1985268920"/>
      </c:lineChart>
      <c:catAx>
        <c:axId val="-198527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5268920"/>
        <c:crosses val="autoZero"/>
        <c:auto val="1"/>
        <c:lblAlgn val="ctr"/>
        <c:lblOffset val="100"/>
        <c:noMultiLvlLbl val="0"/>
      </c:catAx>
      <c:valAx>
        <c:axId val="-19852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85272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53</xdr:row>
      <xdr:rowOff>0</xdr:rowOff>
    </xdr:from>
    <xdr:to>
      <xdr:col>9</xdr:col>
      <xdr:colOff>1981200</xdr:colOff>
      <xdr:row>67</xdr:row>
      <xdr:rowOff>190500</xdr:rowOff>
    </xdr:to>
    <xdr:graphicFrame macro="">
      <xdr:nvGraphicFramePr>
        <xdr:cNvPr id="1025" name="Chart 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152400</xdr:colOff>
      <xdr:row>0</xdr:row>
      <xdr:rowOff>0</xdr:rowOff>
    </xdr:from>
    <xdr:to>
      <xdr:col>8</xdr:col>
      <xdr:colOff>850900</xdr:colOff>
      <xdr:row>3</xdr:row>
      <xdr:rowOff>101600</xdr:rowOff>
    </xdr:to>
    <xdr:pic>
      <xdr:nvPicPr>
        <xdr:cNvPr id="1026" name="Picture 3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0"/>
          <a:ext cx="43053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0</xdr:row>
      <xdr:rowOff>38100</xdr:rowOff>
    </xdr:from>
    <xdr:to>
      <xdr:col>9</xdr:col>
      <xdr:colOff>2438400</xdr:colOff>
      <xdr:row>3</xdr:row>
      <xdr:rowOff>139700</xdr:rowOff>
    </xdr:to>
    <xdr:pic>
      <xdr:nvPicPr>
        <xdr:cNvPr id="1027" name="22DDE6EE-CA6A-422D-BDD7-3019C26A6729" descr="cid:4CA50737-A01F-4E82-B69A-FC8CB6CAAC38@hsd1.mn.comcast.net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9100" y="38100"/>
          <a:ext cx="19431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190184</xdr:colOff>
      <xdr:row>2</xdr:row>
      <xdr:rowOff>84667</xdr:rowOff>
    </xdr:from>
    <xdr:to>
      <xdr:col>8</xdr:col>
      <xdr:colOff>650275</xdr:colOff>
      <xdr:row>19</xdr:row>
      <xdr:rowOff>144476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F6F7D0-88A3-4EFC-962E-6693780D8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8267" y="571500"/>
          <a:ext cx="3846758" cy="3298309"/>
        </a:xfrm>
        <a:prstGeom prst="rect">
          <a:avLst/>
        </a:prstGeom>
      </xdr:spPr>
    </xdr:pic>
    <xdr:clientData/>
  </xdr:twoCellAnchor>
  <xdr:twoCellAnchor editAs="oneCell">
    <xdr:from>
      <xdr:col>4</xdr:col>
      <xdr:colOff>179917</xdr:colOff>
      <xdr:row>20</xdr:row>
      <xdr:rowOff>40207</xdr:rowOff>
    </xdr:from>
    <xdr:to>
      <xdr:col>10</xdr:col>
      <xdr:colOff>681274</xdr:colOff>
      <xdr:row>27</xdr:row>
      <xdr:rowOff>96012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50096B-277F-446C-B77D-AF7BA3236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8000" y="3956040"/>
          <a:ext cx="6332774" cy="1389305"/>
        </a:xfrm>
        <a:prstGeom prst="rect">
          <a:avLst/>
        </a:prstGeom>
      </xdr:spPr>
    </xdr:pic>
    <xdr:clientData/>
  </xdr:twoCellAnchor>
  <xdr:twoCellAnchor editAs="oneCell">
    <xdr:from>
      <xdr:col>8</xdr:col>
      <xdr:colOff>144356</xdr:colOff>
      <xdr:row>43</xdr:row>
      <xdr:rowOff>90383</xdr:rowOff>
    </xdr:from>
    <xdr:to>
      <xdr:col>13</xdr:col>
      <xdr:colOff>778941</xdr:colOff>
      <xdr:row>75</xdr:row>
      <xdr:rowOff>176857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71D13F-0578-4A32-ACDF-1FA6BAD39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17773" y="7943216"/>
          <a:ext cx="6720001" cy="58438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558800</xdr:colOff>
      <xdr:row>59</xdr:row>
      <xdr:rowOff>50800</xdr:rowOff>
    </xdr:from>
    <xdr:to>
      <xdr:col>46</xdr:col>
      <xdr:colOff>25400</xdr:colOff>
      <xdr:row>75</xdr:row>
      <xdr:rowOff>76200</xdr:rowOff>
    </xdr:to>
    <xdr:graphicFrame macro="">
      <xdr:nvGraphicFramePr>
        <xdr:cNvPr id="41985" name="Chart 3">
          <a:extLst>
            <a:ext uri="{FF2B5EF4-FFF2-40B4-BE49-F238E27FC236}">
              <a16:creationId xmlns:a16="http://schemas.microsoft.com/office/drawing/2014/main" id="{00000000-0008-0000-05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0</xdr:row>
      <xdr:rowOff>38100</xdr:rowOff>
    </xdr:from>
    <xdr:to>
      <xdr:col>18</xdr:col>
      <xdr:colOff>495300</xdr:colOff>
      <xdr:row>17</xdr:row>
      <xdr:rowOff>139700</xdr:rowOff>
    </xdr:to>
    <xdr:graphicFrame macro="">
      <xdr:nvGraphicFramePr>
        <xdr:cNvPr id="44033" name="Chart 5">
          <a:extLst>
            <a:ext uri="{FF2B5EF4-FFF2-40B4-BE49-F238E27FC236}">
              <a16:creationId xmlns:a16="http://schemas.microsoft.com/office/drawing/2014/main" id="{00000000-0008-0000-0700-000001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596900</xdr:colOff>
      <xdr:row>49</xdr:row>
      <xdr:rowOff>76200</xdr:rowOff>
    </xdr:to>
    <xdr:pic>
      <xdr:nvPicPr>
        <xdr:cNvPr id="47105" name="Picture 2">
          <a:extLst>
            <a:ext uri="{FF2B5EF4-FFF2-40B4-BE49-F238E27FC236}">
              <a16:creationId xmlns:a16="http://schemas.microsoft.com/office/drawing/2014/main" id="{00000000-0008-0000-1100-000001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61300" cy="878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12700</xdr:colOff>
      <xdr:row>0</xdr:row>
      <xdr:rowOff>0</xdr:rowOff>
    </xdr:from>
    <xdr:to>
      <xdr:col>25</xdr:col>
      <xdr:colOff>12700</xdr:colOff>
      <xdr:row>49</xdr:row>
      <xdr:rowOff>88900</xdr:rowOff>
    </xdr:to>
    <xdr:pic>
      <xdr:nvPicPr>
        <xdr:cNvPr id="47106" name="Picture 3">
          <a:extLst>
            <a:ext uri="{FF2B5EF4-FFF2-40B4-BE49-F238E27FC236}">
              <a16:creationId xmlns:a16="http://schemas.microsoft.com/office/drawing/2014/main" id="{00000000-0008-0000-1100-000002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0"/>
          <a:ext cx="7924800" cy="880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25400</xdr:colOff>
      <xdr:row>46</xdr:row>
      <xdr:rowOff>25400</xdr:rowOff>
    </xdr:from>
    <xdr:to>
      <xdr:col>25</xdr:col>
      <xdr:colOff>12700</xdr:colOff>
      <xdr:row>76</xdr:row>
      <xdr:rowOff>190500</xdr:rowOff>
    </xdr:to>
    <xdr:pic>
      <xdr:nvPicPr>
        <xdr:cNvPr id="47107" name="Picture 4">
          <a:extLst>
            <a:ext uri="{FF2B5EF4-FFF2-40B4-BE49-F238E27FC236}">
              <a16:creationId xmlns:a16="http://schemas.microsoft.com/office/drawing/2014/main" id="{00000000-0008-0000-1100-000003B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8204200"/>
          <a:ext cx="7912100" cy="548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</xdr:row>
      <xdr:rowOff>9525</xdr:rowOff>
    </xdr:from>
    <xdr:to>
      <xdr:col>3</xdr:col>
      <xdr:colOff>628650</xdr:colOff>
      <xdr:row>4</xdr:row>
      <xdr:rowOff>28575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295400" y="200025"/>
          <a:ext cx="1590675" cy="59055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Map 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15</xdr:row>
      <xdr:rowOff>165100</xdr:rowOff>
    </xdr:from>
    <xdr:to>
      <xdr:col>28</xdr:col>
      <xdr:colOff>596900</xdr:colOff>
      <xdr:row>37</xdr:row>
      <xdr:rowOff>76200</xdr:rowOff>
    </xdr:to>
    <xdr:graphicFrame macro="">
      <xdr:nvGraphicFramePr>
        <xdr:cNvPr id="49153" name="Chart 2">
          <a:extLst>
            <a:ext uri="{FF2B5EF4-FFF2-40B4-BE49-F238E27FC236}">
              <a16:creationId xmlns:a16="http://schemas.microsoft.com/office/drawing/2014/main" id="{00000000-0008-0000-1500-000001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101600</xdr:rowOff>
    </xdr:from>
    <xdr:to>
      <xdr:col>12</xdr:col>
      <xdr:colOff>152400</xdr:colOff>
      <xdr:row>43</xdr:row>
      <xdr:rowOff>139700</xdr:rowOff>
    </xdr:to>
    <xdr:graphicFrame macro="">
      <xdr:nvGraphicFramePr>
        <xdr:cNvPr id="50177" name="Chart 1">
          <a:extLst>
            <a:ext uri="{FF2B5EF4-FFF2-40B4-BE49-F238E27FC236}">
              <a16:creationId xmlns:a16="http://schemas.microsoft.com/office/drawing/2014/main" id="{00000000-0008-0000-1900-000001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21</xdr:row>
      <xdr:rowOff>101600</xdr:rowOff>
    </xdr:from>
    <xdr:to>
      <xdr:col>24</xdr:col>
      <xdr:colOff>215900</xdr:colOff>
      <xdr:row>43</xdr:row>
      <xdr:rowOff>127000</xdr:rowOff>
    </xdr:to>
    <xdr:graphicFrame macro="">
      <xdr:nvGraphicFramePr>
        <xdr:cNvPr id="50178" name="Chart 2">
          <a:extLst>
            <a:ext uri="{FF2B5EF4-FFF2-40B4-BE49-F238E27FC236}">
              <a16:creationId xmlns:a16="http://schemas.microsoft.com/office/drawing/2014/main" id="{00000000-0008-0000-1900-000002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44</xdr:row>
      <xdr:rowOff>12700</xdr:rowOff>
    </xdr:from>
    <xdr:to>
      <xdr:col>18</xdr:col>
      <xdr:colOff>215900</xdr:colOff>
      <xdr:row>66</xdr:row>
      <xdr:rowOff>63500</xdr:rowOff>
    </xdr:to>
    <xdr:graphicFrame macro="">
      <xdr:nvGraphicFramePr>
        <xdr:cNvPr id="50179" name="Chart 3">
          <a:extLst>
            <a:ext uri="{FF2B5EF4-FFF2-40B4-BE49-F238E27FC236}">
              <a16:creationId xmlns:a16="http://schemas.microsoft.com/office/drawing/2014/main" id="{00000000-0008-0000-1900-000003C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6.%20Departmental%20Shortcuts\6.2%20Acquisitions\For%20Analysts%20to%20Orgranize\Brokers\RatesForecast-I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5.%20LF-REIT%20III/5.2%20Assets%20in%20Underwriting/5.2.2%20Early%20Underwriting/Hotel%20v12.7%20-%20(Short%20Hotel%20Name)%20-%20(Date%20YYMMD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stimates"/>
      <sheetName val="Chart"/>
      <sheetName val="FedRate"/>
      <sheetName val="RateHistory"/>
      <sheetName val="GSHeat"/>
      <sheetName val="Dots"/>
      <sheetName val="Inflation"/>
      <sheetName val="Recession"/>
      <sheetName val="Rates"/>
      <sheetName val="2020Elections"/>
      <sheetName val="FHLB 5yr History"/>
    </sheetNames>
    <sheetDataSet>
      <sheetData sheetId="0"/>
      <sheetData sheetId="1"/>
      <sheetData sheetId="2"/>
      <sheetData sheetId="3">
        <row r="12">
          <cell r="A12">
            <v>41598</v>
          </cell>
          <cell r="B12">
            <v>0.25</v>
          </cell>
        </row>
        <row r="13">
          <cell r="A13">
            <v>41599</v>
          </cell>
          <cell r="B13">
            <v>0.25</v>
          </cell>
        </row>
        <row r="14">
          <cell r="A14">
            <v>41600</v>
          </cell>
          <cell r="B14">
            <v>0.25</v>
          </cell>
        </row>
        <row r="15">
          <cell r="A15">
            <v>41601</v>
          </cell>
          <cell r="B15">
            <v>0.25</v>
          </cell>
        </row>
        <row r="16">
          <cell r="A16">
            <v>41602</v>
          </cell>
          <cell r="B16">
            <v>0.25</v>
          </cell>
        </row>
        <row r="17">
          <cell r="A17">
            <v>41603</v>
          </cell>
          <cell r="B17">
            <v>0.25</v>
          </cell>
        </row>
        <row r="18">
          <cell r="A18">
            <v>41604</v>
          </cell>
          <cell r="B18">
            <v>0.25</v>
          </cell>
        </row>
        <row r="19">
          <cell r="A19">
            <v>41605</v>
          </cell>
          <cell r="B19">
            <v>0.25</v>
          </cell>
        </row>
        <row r="20">
          <cell r="A20">
            <v>41606</v>
          </cell>
          <cell r="B20">
            <v>0.25</v>
          </cell>
        </row>
        <row r="21">
          <cell r="A21">
            <v>41607</v>
          </cell>
          <cell r="B21">
            <v>0.25</v>
          </cell>
        </row>
        <row r="22">
          <cell r="A22">
            <v>41608</v>
          </cell>
          <cell r="B22">
            <v>0.25</v>
          </cell>
        </row>
        <row r="23">
          <cell r="A23">
            <v>41609</v>
          </cell>
          <cell r="B23">
            <v>0.25</v>
          </cell>
        </row>
        <row r="24">
          <cell r="A24">
            <v>41610</v>
          </cell>
          <cell r="B24">
            <v>0.25</v>
          </cell>
        </row>
        <row r="25">
          <cell r="A25">
            <v>41611</v>
          </cell>
          <cell r="B25">
            <v>0.25</v>
          </cell>
        </row>
        <row r="26">
          <cell r="A26">
            <v>41612</v>
          </cell>
          <cell r="B26">
            <v>0.25</v>
          </cell>
        </row>
        <row r="27">
          <cell r="A27">
            <v>41613</v>
          </cell>
          <cell r="B27">
            <v>0.25</v>
          </cell>
        </row>
        <row r="28">
          <cell r="A28">
            <v>41614</v>
          </cell>
          <cell r="B28">
            <v>0.25</v>
          </cell>
        </row>
        <row r="29">
          <cell r="A29">
            <v>41615</v>
          </cell>
          <cell r="B29">
            <v>0.25</v>
          </cell>
        </row>
        <row r="30">
          <cell r="A30">
            <v>41616</v>
          </cell>
          <cell r="B30">
            <v>0.25</v>
          </cell>
        </row>
        <row r="31">
          <cell r="A31">
            <v>41617</v>
          </cell>
          <cell r="B31">
            <v>0.25</v>
          </cell>
        </row>
        <row r="32">
          <cell r="A32">
            <v>41618</v>
          </cell>
          <cell r="B32">
            <v>0.25</v>
          </cell>
        </row>
        <row r="33">
          <cell r="A33">
            <v>41619</v>
          </cell>
          <cell r="B33">
            <v>0.25</v>
          </cell>
        </row>
        <row r="34">
          <cell r="A34">
            <v>41620</v>
          </cell>
          <cell r="B34">
            <v>0.25</v>
          </cell>
        </row>
        <row r="35">
          <cell r="A35">
            <v>41621</v>
          </cell>
          <cell r="B35">
            <v>0.25</v>
          </cell>
        </row>
        <row r="36">
          <cell r="A36">
            <v>41622</v>
          </cell>
          <cell r="B36">
            <v>0.25</v>
          </cell>
        </row>
        <row r="37">
          <cell r="A37">
            <v>41623</v>
          </cell>
          <cell r="B37">
            <v>0.25</v>
          </cell>
        </row>
        <row r="38">
          <cell r="A38">
            <v>41624</v>
          </cell>
          <cell r="B38">
            <v>0.25</v>
          </cell>
        </row>
        <row r="39">
          <cell r="A39">
            <v>41625</v>
          </cell>
          <cell r="B39">
            <v>0.25</v>
          </cell>
        </row>
        <row r="40">
          <cell r="A40">
            <v>41626</v>
          </cell>
          <cell r="B40">
            <v>0.25</v>
          </cell>
        </row>
        <row r="41">
          <cell r="A41">
            <v>41627</v>
          </cell>
          <cell r="B41">
            <v>0.25</v>
          </cell>
        </row>
        <row r="42">
          <cell r="A42">
            <v>41628</v>
          </cell>
          <cell r="B42">
            <v>0.25</v>
          </cell>
        </row>
        <row r="43">
          <cell r="A43">
            <v>41629</v>
          </cell>
          <cell r="B43">
            <v>0.25</v>
          </cell>
        </row>
        <row r="44">
          <cell r="A44">
            <v>41630</v>
          </cell>
          <cell r="B44">
            <v>0.25</v>
          </cell>
        </row>
        <row r="45">
          <cell r="A45">
            <v>41631</v>
          </cell>
          <cell r="B45">
            <v>0.25</v>
          </cell>
        </row>
        <row r="46">
          <cell r="A46">
            <v>41632</v>
          </cell>
          <cell r="B46">
            <v>0.25</v>
          </cell>
        </row>
        <row r="47">
          <cell r="A47">
            <v>41633</v>
          </cell>
          <cell r="B47">
            <v>0.25</v>
          </cell>
        </row>
        <row r="48">
          <cell r="A48">
            <v>41634</v>
          </cell>
          <cell r="B48">
            <v>0.25</v>
          </cell>
        </row>
        <row r="49">
          <cell r="A49">
            <v>41635</v>
          </cell>
          <cell r="B49">
            <v>0.25</v>
          </cell>
        </row>
        <row r="50">
          <cell r="A50">
            <v>41636</v>
          </cell>
          <cell r="B50">
            <v>0.25</v>
          </cell>
        </row>
        <row r="51">
          <cell r="A51">
            <v>41637</v>
          </cell>
          <cell r="B51">
            <v>0.25</v>
          </cell>
        </row>
        <row r="52">
          <cell r="A52">
            <v>41638</v>
          </cell>
          <cell r="B52">
            <v>0.25</v>
          </cell>
        </row>
        <row r="53">
          <cell r="A53">
            <v>41639</v>
          </cell>
          <cell r="B53">
            <v>0.25</v>
          </cell>
        </row>
        <row r="54">
          <cell r="A54">
            <v>41640</v>
          </cell>
          <cell r="B54">
            <v>0.25</v>
          </cell>
        </row>
        <row r="55">
          <cell r="A55">
            <v>41641</v>
          </cell>
          <cell r="B55">
            <v>0.25</v>
          </cell>
        </row>
        <row r="56">
          <cell r="A56">
            <v>41642</v>
          </cell>
          <cell r="B56">
            <v>0.25</v>
          </cell>
        </row>
        <row r="57">
          <cell r="A57">
            <v>41643</v>
          </cell>
          <cell r="B57">
            <v>0.25</v>
          </cell>
        </row>
        <row r="58">
          <cell r="A58">
            <v>41644</v>
          </cell>
          <cell r="B58">
            <v>0.25</v>
          </cell>
        </row>
        <row r="59">
          <cell r="A59">
            <v>41645</v>
          </cell>
          <cell r="B59">
            <v>0.25</v>
          </cell>
        </row>
        <row r="60">
          <cell r="A60">
            <v>41646</v>
          </cell>
          <cell r="B60">
            <v>0.25</v>
          </cell>
        </row>
        <row r="61">
          <cell r="A61">
            <v>41647</v>
          </cell>
          <cell r="B61">
            <v>0.25</v>
          </cell>
        </row>
        <row r="62">
          <cell r="A62">
            <v>41648</v>
          </cell>
          <cell r="B62">
            <v>0.25</v>
          </cell>
        </row>
        <row r="63">
          <cell r="A63">
            <v>41649</v>
          </cell>
          <cell r="B63">
            <v>0.25</v>
          </cell>
        </row>
        <row r="64">
          <cell r="A64">
            <v>41650</v>
          </cell>
          <cell r="B64">
            <v>0.25</v>
          </cell>
        </row>
        <row r="65">
          <cell r="A65">
            <v>41651</v>
          </cell>
          <cell r="B65">
            <v>0.25</v>
          </cell>
        </row>
        <row r="66">
          <cell r="A66">
            <v>41652</v>
          </cell>
          <cell r="B66">
            <v>0.25</v>
          </cell>
        </row>
        <row r="67">
          <cell r="A67">
            <v>41653</v>
          </cell>
          <cell r="B67">
            <v>0.25</v>
          </cell>
        </row>
        <row r="68">
          <cell r="A68">
            <v>41654</v>
          </cell>
          <cell r="B68">
            <v>0.25</v>
          </cell>
        </row>
        <row r="69">
          <cell r="A69">
            <v>41655</v>
          </cell>
          <cell r="B69">
            <v>0.25</v>
          </cell>
        </row>
        <row r="70">
          <cell r="A70">
            <v>41656</v>
          </cell>
          <cell r="B70">
            <v>0.25</v>
          </cell>
        </row>
        <row r="71">
          <cell r="A71">
            <v>41657</v>
          </cell>
          <cell r="B71">
            <v>0.25</v>
          </cell>
        </row>
        <row r="72">
          <cell r="A72">
            <v>41658</v>
          </cell>
          <cell r="B72">
            <v>0.25</v>
          </cell>
        </row>
        <row r="73">
          <cell r="A73">
            <v>41659</v>
          </cell>
          <cell r="B73">
            <v>0.25</v>
          </cell>
        </row>
        <row r="74">
          <cell r="A74">
            <v>41660</v>
          </cell>
          <cell r="B74">
            <v>0.25</v>
          </cell>
        </row>
        <row r="75">
          <cell r="A75">
            <v>41661</v>
          </cell>
          <cell r="B75">
            <v>0.25</v>
          </cell>
        </row>
        <row r="76">
          <cell r="A76">
            <v>41662</v>
          </cell>
          <cell r="B76">
            <v>0.25</v>
          </cell>
        </row>
        <row r="77">
          <cell r="A77">
            <v>41663</v>
          </cell>
          <cell r="B77">
            <v>0.25</v>
          </cell>
        </row>
        <row r="78">
          <cell r="A78">
            <v>41664</v>
          </cell>
          <cell r="B78">
            <v>0.25</v>
          </cell>
        </row>
        <row r="79">
          <cell r="A79">
            <v>41665</v>
          </cell>
          <cell r="B79">
            <v>0.25</v>
          </cell>
        </row>
        <row r="80">
          <cell r="A80">
            <v>41666</v>
          </cell>
          <cell r="B80">
            <v>0.25</v>
          </cell>
        </row>
        <row r="81">
          <cell r="A81">
            <v>41667</v>
          </cell>
          <cell r="B81">
            <v>0.25</v>
          </cell>
        </row>
        <row r="82">
          <cell r="A82">
            <v>41668</v>
          </cell>
          <cell r="B82">
            <v>0.25</v>
          </cell>
        </row>
        <row r="83">
          <cell r="A83">
            <v>41669</v>
          </cell>
          <cell r="B83">
            <v>0.25</v>
          </cell>
        </row>
        <row r="84">
          <cell r="A84">
            <v>41670</v>
          </cell>
          <cell r="B84">
            <v>0.25</v>
          </cell>
        </row>
        <row r="85">
          <cell r="A85">
            <v>41671</v>
          </cell>
          <cell r="B85">
            <v>0.25</v>
          </cell>
        </row>
        <row r="86">
          <cell r="A86">
            <v>41672</v>
          </cell>
          <cell r="B86">
            <v>0.25</v>
          </cell>
        </row>
        <row r="87">
          <cell r="A87">
            <v>41673</v>
          </cell>
          <cell r="B87">
            <v>0.25</v>
          </cell>
        </row>
        <row r="88">
          <cell r="A88">
            <v>41674</v>
          </cell>
          <cell r="B88">
            <v>0.25</v>
          </cell>
        </row>
        <row r="89">
          <cell r="A89">
            <v>41675</v>
          </cell>
          <cell r="B89">
            <v>0.25</v>
          </cell>
        </row>
        <row r="90">
          <cell r="A90">
            <v>41676</v>
          </cell>
          <cell r="B90">
            <v>0.25</v>
          </cell>
        </row>
        <row r="91">
          <cell r="A91">
            <v>41677</v>
          </cell>
          <cell r="B91">
            <v>0.25</v>
          </cell>
        </row>
        <row r="92">
          <cell r="A92">
            <v>41678</v>
          </cell>
          <cell r="B92">
            <v>0.25</v>
          </cell>
        </row>
        <row r="93">
          <cell r="A93">
            <v>41679</v>
          </cell>
          <cell r="B93">
            <v>0.25</v>
          </cell>
        </row>
        <row r="94">
          <cell r="A94">
            <v>41680</v>
          </cell>
          <cell r="B94">
            <v>0.25</v>
          </cell>
        </row>
        <row r="95">
          <cell r="A95">
            <v>41681</v>
          </cell>
          <cell r="B95">
            <v>0.25</v>
          </cell>
        </row>
        <row r="96">
          <cell r="A96">
            <v>41682</v>
          </cell>
          <cell r="B96">
            <v>0.25</v>
          </cell>
        </row>
        <row r="97">
          <cell r="A97">
            <v>41683</v>
          </cell>
          <cell r="B97">
            <v>0.25</v>
          </cell>
        </row>
        <row r="98">
          <cell r="A98">
            <v>41684</v>
          </cell>
          <cell r="B98">
            <v>0.25</v>
          </cell>
        </row>
        <row r="99">
          <cell r="A99">
            <v>41685</v>
          </cell>
          <cell r="B99">
            <v>0.25</v>
          </cell>
        </row>
        <row r="100">
          <cell r="A100">
            <v>41686</v>
          </cell>
          <cell r="B100">
            <v>0.25</v>
          </cell>
        </row>
        <row r="101">
          <cell r="A101">
            <v>41687</v>
          </cell>
          <cell r="B101">
            <v>0.25</v>
          </cell>
        </row>
        <row r="102">
          <cell r="A102">
            <v>41688</v>
          </cell>
          <cell r="B102">
            <v>0.25</v>
          </cell>
        </row>
        <row r="103">
          <cell r="A103">
            <v>41689</v>
          </cell>
          <cell r="B103">
            <v>0.25</v>
          </cell>
        </row>
        <row r="104">
          <cell r="A104">
            <v>41690</v>
          </cell>
          <cell r="B104">
            <v>0.25</v>
          </cell>
        </row>
        <row r="105">
          <cell r="A105">
            <v>41691</v>
          </cell>
          <cell r="B105">
            <v>0.25</v>
          </cell>
        </row>
        <row r="106">
          <cell r="A106">
            <v>41692</v>
          </cell>
          <cell r="B106">
            <v>0.25</v>
          </cell>
        </row>
        <row r="107">
          <cell r="A107">
            <v>41693</v>
          </cell>
          <cell r="B107">
            <v>0.25</v>
          </cell>
        </row>
        <row r="108">
          <cell r="A108">
            <v>41694</v>
          </cell>
          <cell r="B108">
            <v>0.25</v>
          </cell>
        </row>
        <row r="109">
          <cell r="A109">
            <v>41695</v>
          </cell>
          <cell r="B109">
            <v>0.25</v>
          </cell>
        </row>
        <row r="110">
          <cell r="A110">
            <v>41696</v>
          </cell>
          <cell r="B110">
            <v>0.25</v>
          </cell>
        </row>
        <row r="111">
          <cell r="A111">
            <v>41697</v>
          </cell>
          <cell r="B111">
            <v>0.25</v>
          </cell>
        </row>
        <row r="112">
          <cell r="A112">
            <v>41698</v>
          </cell>
          <cell r="B112">
            <v>0.25</v>
          </cell>
        </row>
        <row r="113">
          <cell r="A113">
            <v>41699</v>
          </cell>
          <cell r="B113">
            <v>0.25</v>
          </cell>
        </row>
        <row r="114">
          <cell r="A114">
            <v>41700</v>
          </cell>
          <cell r="B114">
            <v>0.25</v>
          </cell>
        </row>
        <row r="115">
          <cell r="A115">
            <v>41701</v>
          </cell>
          <cell r="B115">
            <v>0.25</v>
          </cell>
        </row>
        <row r="116">
          <cell r="A116">
            <v>41702</v>
          </cell>
          <cell r="B116">
            <v>0.25</v>
          </cell>
        </row>
        <row r="117">
          <cell r="A117">
            <v>41703</v>
          </cell>
          <cell r="B117">
            <v>0.25</v>
          </cell>
        </row>
        <row r="118">
          <cell r="A118">
            <v>41704</v>
          </cell>
          <cell r="B118">
            <v>0.25</v>
          </cell>
        </row>
        <row r="119">
          <cell r="A119">
            <v>41705</v>
          </cell>
          <cell r="B119">
            <v>0.25</v>
          </cell>
        </row>
        <row r="120">
          <cell r="A120">
            <v>41706</v>
          </cell>
          <cell r="B120">
            <v>0.25</v>
          </cell>
        </row>
        <row r="121">
          <cell r="A121">
            <v>41707</v>
          </cell>
          <cell r="B121">
            <v>0.25</v>
          </cell>
        </row>
        <row r="122">
          <cell r="A122">
            <v>41708</v>
          </cell>
          <cell r="B122">
            <v>0.25</v>
          </cell>
        </row>
        <row r="123">
          <cell r="A123">
            <v>41709</v>
          </cell>
          <cell r="B123">
            <v>0.25</v>
          </cell>
        </row>
        <row r="124">
          <cell r="A124">
            <v>41710</v>
          </cell>
          <cell r="B124">
            <v>0.25</v>
          </cell>
        </row>
        <row r="125">
          <cell r="A125">
            <v>41711</v>
          </cell>
          <cell r="B125">
            <v>0.25</v>
          </cell>
        </row>
        <row r="126">
          <cell r="A126">
            <v>41712</v>
          </cell>
          <cell r="B126">
            <v>0.25</v>
          </cell>
        </row>
        <row r="127">
          <cell r="A127">
            <v>41713</v>
          </cell>
          <cell r="B127">
            <v>0.25</v>
          </cell>
        </row>
        <row r="128">
          <cell r="A128">
            <v>41714</v>
          </cell>
          <cell r="B128">
            <v>0.25</v>
          </cell>
        </row>
        <row r="129">
          <cell r="A129">
            <v>41715</v>
          </cell>
          <cell r="B129">
            <v>0.25</v>
          </cell>
        </row>
        <row r="130">
          <cell r="A130">
            <v>41716</v>
          </cell>
          <cell r="B130">
            <v>0.25</v>
          </cell>
        </row>
        <row r="131">
          <cell r="A131">
            <v>41717</v>
          </cell>
          <cell r="B131">
            <v>0.25</v>
          </cell>
        </row>
        <row r="132">
          <cell r="A132">
            <v>41718</v>
          </cell>
          <cell r="B132">
            <v>0.25</v>
          </cell>
        </row>
        <row r="133">
          <cell r="A133">
            <v>41719</v>
          </cell>
          <cell r="B133">
            <v>0.25</v>
          </cell>
        </row>
        <row r="134">
          <cell r="A134">
            <v>41720</v>
          </cell>
          <cell r="B134">
            <v>0.25</v>
          </cell>
        </row>
        <row r="135">
          <cell r="A135">
            <v>41721</v>
          </cell>
          <cell r="B135">
            <v>0.25</v>
          </cell>
        </row>
        <row r="136">
          <cell r="A136">
            <v>41722</v>
          </cell>
          <cell r="B136">
            <v>0.25</v>
          </cell>
        </row>
        <row r="137">
          <cell r="A137">
            <v>41723</v>
          </cell>
          <cell r="B137">
            <v>0.25</v>
          </cell>
        </row>
        <row r="138">
          <cell r="A138">
            <v>41724</v>
          </cell>
          <cell r="B138">
            <v>0.25</v>
          </cell>
        </row>
        <row r="139">
          <cell r="A139">
            <v>41725</v>
          </cell>
          <cell r="B139">
            <v>0.25</v>
          </cell>
        </row>
        <row r="140">
          <cell r="A140">
            <v>41726</v>
          </cell>
          <cell r="B140">
            <v>0.25</v>
          </cell>
        </row>
        <row r="141">
          <cell r="A141">
            <v>41727</v>
          </cell>
          <cell r="B141">
            <v>0.25</v>
          </cell>
        </row>
        <row r="142">
          <cell r="A142">
            <v>41728</v>
          </cell>
          <cell r="B142">
            <v>0.25</v>
          </cell>
        </row>
        <row r="143">
          <cell r="A143">
            <v>41729</v>
          </cell>
          <cell r="B143">
            <v>0.25</v>
          </cell>
        </row>
        <row r="144">
          <cell r="A144">
            <v>41730</v>
          </cell>
          <cell r="B144">
            <v>0.25</v>
          </cell>
        </row>
        <row r="145">
          <cell r="A145">
            <v>41731</v>
          </cell>
          <cell r="B145">
            <v>0.25</v>
          </cell>
        </row>
        <row r="146">
          <cell r="A146">
            <v>41732</v>
          </cell>
          <cell r="B146">
            <v>0.25</v>
          </cell>
        </row>
        <row r="147">
          <cell r="A147">
            <v>41733</v>
          </cell>
          <cell r="B147">
            <v>0.25</v>
          </cell>
        </row>
        <row r="148">
          <cell r="A148">
            <v>41734</v>
          </cell>
          <cell r="B148">
            <v>0.25</v>
          </cell>
        </row>
        <row r="149">
          <cell r="A149">
            <v>41735</v>
          </cell>
          <cell r="B149">
            <v>0.25</v>
          </cell>
        </row>
        <row r="150">
          <cell r="A150">
            <v>41736</v>
          </cell>
          <cell r="B150">
            <v>0.25</v>
          </cell>
        </row>
        <row r="151">
          <cell r="A151">
            <v>41737</v>
          </cell>
          <cell r="B151">
            <v>0.25</v>
          </cell>
        </row>
        <row r="152">
          <cell r="A152">
            <v>41738</v>
          </cell>
          <cell r="B152">
            <v>0.25</v>
          </cell>
        </row>
        <row r="153">
          <cell r="A153">
            <v>41739</v>
          </cell>
          <cell r="B153">
            <v>0.25</v>
          </cell>
        </row>
        <row r="154">
          <cell r="A154">
            <v>41740</v>
          </cell>
          <cell r="B154">
            <v>0.25</v>
          </cell>
        </row>
        <row r="155">
          <cell r="A155">
            <v>41741</v>
          </cell>
          <cell r="B155">
            <v>0.25</v>
          </cell>
        </row>
        <row r="156">
          <cell r="A156">
            <v>41742</v>
          </cell>
          <cell r="B156">
            <v>0.25</v>
          </cell>
        </row>
        <row r="157">
          <cell r="A157">
            <v>41743</v>
          </cell>
          <cell r="B157">
            <v>0.25</v>
          </cell>
        </row>
        <row r="158">
          <cell r="A158">
            <v>41744</v>
          </cell>
          <cell r="B158">
            <v>0.25</v>
          </cell>
        </row>
        <row r="159">
          <cell r="A159">
            <v>41745</v>
          </cell>
          <cell r="B159">
            <v>0.25</v>
          </cell>
        </row>
        <row r="160">
          <cell r="A160">
            <v>41746</v>
          </cell>
          <cell r="B160">
            <v>0.25</v>
          </cell>
        </row>
        <row r="161">
          <cell r="A161">
            <v>41747</v>
          </cell>
          <cell r="B161">
            <v>0.25</v>
          </cell>
        </row>
        <row r="162">
          <cell r="A162">
            <v>41748</v>
          </cell>
          <cell r="B162">
            <v>0.25</v>
          </cell>
        </row>
        <row r="163">
          <cell r="A163">
            <v>41749</v>
          </cell>
          <cell r="B163">
            <v>0.25</v>
          </cell>
        </row>
        <row r="164">
          <cell r="A164">
            <v>41750</v>
          </cell>
          <cell r="B164">
            <v>0.25</v>
          </cell>
        </row>
        <row r="165">
          <cell r="A165">
            <v>41751</v>
          </cell>
          <cell r="B165">
            <v>0.25</v>
          </cell>
        </row>
        <row r="166">
          <cell r="A166">
            <v>41752</v>
          </cell>
          <cell r="B166">
            <v>0.25</v>
          </cell>
        </row>
        <row r="167">
          <cell r="A167">
            <v>41753</v>
          </cell>
          <cell r="B167">
            <v>0.25</v>
          </cell>
        </row>
        <row r="168">
          <cell r="A168">
            <v>41754</v>
          </cell>
          <cell r="B168">
            <v>0.25</v>
          </cell>
        </row>
        <row r="169">
          <cell r="A169">
            <v>41755</v>
          </cell>
          <cell r="B169">
            <v>0.25</v>
          </cell>
        </row>
        <row r="170">
          <cell r="A170">
            <v>41756</v>
          </cell>
          <cell r="B170">
            <v>0.25</v>
          </cell>
        </row>
        <row r="171">
          <cell r="A171">
            <v>41757</v>
          </cell>
          <cell r="B171">
            <v>0.25</v>
          </cell>
        </row>
        <row r="172">
          <cell r="A172">
            <v>41758</v>
          </cell>
          <cell r="B172">
            <v>0.25</v>
          </cell>
        </row>
        <row r="173">
          <cell r="A173">
            <v>41759</v>
          </cell>
          <cell r="B173">
            <v>0.25</v>
          </cell>
        </row>
        <row r="174">
          <cell r="A174">
            <v>41760</v>
          </cell>
          <cell r="B174">
            <v>0.25</v>
          </cell>
        </row>
        <row r="175">
          <cell r="A175">
            <v>41761</v>
          </cell>
          <cell r="B175">
            <v>0.25</v>
          </cell>
        </row>
        <row r="176">
          <cell r="A176">
            <v>41762</v>
          </cell>
          <cell r="B176">
            <v>0.25</v>
          </cell>
        </row>
        <row r="177">
          <cell r="A177">
            <v>41763</v>
          </cell>
          <cell r="B177">
            <v>0.25</v>
          </cell>
        </row>
        <row r="178">
          <cell r="A178">
            <v>41764</v>
          </cell>
          <cell r="B178">
            <v>0.25</v>
          </cell>
        </row>
        <row r="179">
          <cell r="A179">
            <v>41765</v>
          </cell>
          <cell r="B179">
            <v>0.25</v>
          </cell>
        </row>
        <row r="180">
          <cell r="A180">
            <v>41766</v>
          </cell>
          <cell r="B180">
            <v>0.25</v>
          </cell>
        </row>
        <row r="181">
          <cell r="A181">
            <v>41767</v>
          </cell>
          <cell r="B181">
            <v>0.25</v>
          </cell>
        </row>
        <row r="182">
          <cell r="A182">
            <v>41768</v>
          </cell>
          <cell r="B182">
            <v>0.25</v>
          </cell>
        </row>
        <row r="183">
          <cell r="A183">
            <v>41769</v>
          </cell>
          <cell r="B183">
            <v>0.25</v>
          </cell>
        </row>
        <row r="184">
          <cell r="A184">
            <v>41770</v>
          </cell>
          <cell r="B184">
            <v>0.25</v>
          </cell>
        </row>
        <row r="185">
          <cell r="A185">
            <v>41771</v>
          </cell>
          <cell r="B185">
            <v>0.25</v>
          </cell>
        </row>
        <row r="186">
          <cell r="A186">
            <v>41772</v>
          </cell>
          <cell r="B186">
            <v>0.25</v>
          </cell>
        </row>
        <row r="187">
          <cell r="A187">
            <v>41773</v>
          </cell>
          <cell r="B187">
            <v>0.25</v>
          </cell>
        </row>
        <row r="188">
          <cell r="A188">
            <v>41774</v>
          </cell>
          <cell r="B188">
            <v>0.25</v>
          </cell>
        </row>
        <row r="189">
          <cell r="A189">
            <v>41775</v>
          </cell>
          <cell r="B189">
            <v>0.25</v>
          </cell>
        </row>
        <row r="190">
          <cell r="A190">
            <v>41776</v>
          </cell>
          <cell r="B190">
            <v>0.25</v>
          </cell>
        </row>
        <row r="191">
          <cell r="A191">
            <v>41777</v>
          </cell>
          <cell r="B191">
            <v>0.25</v>
          </cell>
        </row>
        <row r="192">
          <cell r="A192">
            <v>41778</v>
          </cell>
          <cell r="B192">
            <v>0.25</v>
          </cell>
        </row>
        <row r="193">
          <cell r="A193">
            <v>41779</v>
          </cell>
          <cell r="B193">
            <v>0.25</v>
          </cell>
        </row>
        <row r="194">
          <cell r="A194">
            <v>41780</v>
          </cell>
          <cell r="B194">
            <v>0.25</v>
          </cell>
        </row>
        <row r="195">
          <cell r="A195">
            <v>41781</v>
          </cell>
          <cell r="B195">
            <v>0.25</v>
          </cell>
        </row>
        <row r="196">
          <cell r="A196">
            <v>41782</v>
          </cell>
          <cell r="B196">
            <v>0.25</v>
          </cell>
        </row>
        <row r="197">
          <cell r="A197">
            <v>41783</v>
          </cell>
          <cell r="B197">
            <v>0.25</v>
          </cell>
        </row>
        <row r="198">
          <cell r="A198">
            <v>41784</v>
          </cell>
          <cell r="B198">
            <v>0.25</v>
          </cell>
        </row>
        <row r="199">
          <cell r="A199">
            <v>41785</v>
          </cell>
          <cell r="B199">
            <v>0.25</v>
          </cell>
        </row>
        <row r="200">
          <cell r="A200">
            <v>41786</v>
          </cell>
          <cell r="B200">
            <v>0.25</v>
          </cell>
        </row>
        <row r="201">
          <cell r="A201">
            <v>41787</v>
          </cell>
          <cell r="B201">
            <v>0.25</v>
          </cell>
        </row>
        <row r="202">
          <cell r="A202">
            <v>41788</v>
          </cell>
          <cell r="B202">
            <v>0.25</v>
          </cell>
        </row>
        <row r="203">
          <cell r="A203">
            <v>41789</v>
          </cell>
          <cell r="B203">
            <v>0.25</v>
          </cell>
        </row>
        <row r="204">
          <cell r="A204">
            <v>41790</v>
          </cell>
          <cell r="B204">
            <v>0.25</v>
          </cell>
        </row>
        <row r="205">
          <cell r="A205">
            <v>41791</v>
          </cell>
          <cell r="B205">
            <v>0.25</v>
          </cell>
        </row>
        <row r="206">
          <cell r="A206">
            <v>41792</v>
          </cell>
          <cell r="B206">
            <v>0.25</v>
          </cell>
        </row>
        <row r="207">
          <cell r="A207">
            <v>41793</v>
          </cell>
          <cell r="B207">
            <v>0.25</v>
          </cell>
        </row>
        <row r="208">
          <cell r="A208">
            <v>41794</v>
          </cell>
          <cell r="B208">
            <v>0.25</v>
          </cell>
        </row>
        <row r="209">
          <cell r="A209">
            <v>41795</v>
          </cell>
          <cell r="B209">
            <v>0.25</v>
          </cell>
        </row>
        <row r="210">
          <cell r="A210">
            <v>41796</v>
          </cell>
          <cell r="B210">
            <v>0.25</v>
          </cell>
        </row>
        <row r="211">
          <cell r="A211">
            <v>41797</v>
          </cell>
          <cell r="B211">
            <v>0.25</v>
          </cell>
        </row>
        <row r="212">
          <cell r="A212">
            <v>41798</v>
          </cell>
          <cell r="B212">
            <v>0.25</v>
          </cell>
        </row>
        <row r="213">
          <cell r="A213">
            <v>41799</v>
          </cell>
          <cell r="B213">
            <v>0.25</v>
          </cell>
        </row>
        <row r="214">
          <cell r="A214">
            <v>41800</v>
          </cell>
          <cell r="B214">
            <v>0.25</v>
          </cell>
        </row>
        <row r="215">
          <cell r="A215">
            <v>41801</v>
          </cell>
          <cell r="B215">
            <v>0.25</v>
          </cell>
        </row>
        <row r="216">
          <cell r="A216">
            <v>41802</v>
          </cell>
          <cell r="B216">
            <v>0.25</v>
          </cell>
        </row>
        <row r="217">
          <cell r="A217">
            <v>41803</v>
          </cell>
          <cell r="B217">
            <v>0.25</v>
          </cell>
        </row>
        <row r="218">
          <cell r="A218">
            <v>41804</v>
          </cell>
          <cell r="B218">
            <v>0.25</v>
          </cell>
        </row>
        <row r="219">
          <cell r="A219">
            <v>41805</v>
          </cell>
          <cell r="B219">
            <v>0.25</v>
          </cell>
        </row>
        <row r="220">
          <cell r="A220">
            <v>41806</v>
          </cell>
          <cell r="B220">
            <v>0.25</v>
          </cell>
        </row>
        <row r="221">
          <cell r="A221">
            <v>41807</v>
          </cell>
          <cell r="B221">
            <v>0.25</v>
          </cell>
        </row>
        <row r="222">
          <cell r="A222">
            <v>41808</v>
          </cell>
          <cell r="B222">
            <v>0.25</v>
          </cell>
        </row>
        <row r="223">
          <cell r="A223">
            <v>41809</v>
          </cell>
          <cell r="B223">
            <v>0.25</v>
          </cell>
        </row>
        <row r="224">
          <cell r="A224">
            <v>41810</v>
          </cell>
          <cell r="B224">
            <v>0.25</v>
          </cell>
        </row>
        <row r="225">
          <cell r="A225">
            <v>41811</v>
          </cell>
          <cell r="B225">
            <v>0.25</v>
          </cell>
        </row>
        <row r="226">
          <cell r="A226">
            <v>41812</v>
          </cell>
          <cell r="B226">
            <v>0.25</v>
          </cell>
        </row>
        <row r="227">
          <cell r="A227">
            <v>41813</v>
          </cell>
          <cell r="B227">
            <v>0.25</v>
          </cell>
        </row>
        <row r="228">
          <cell r="A228">
            <v>41814</v>
          </cell>
          <cell r="B228">
            <v>0.25</v>
          </cell>
        </row>
        <row r="229">
          <cell r="A229">
            <v>41815</v>
          </cell>
          <cell r="B229">
            <v>0.25</v>
          </cell>
        </row>
        <row r="230">
          <cell r="A230">
            <v>41816</v>
          </cell>
          <cell r="B230">
            <v>0.25</v>
          </cell>
        </row>
        <row r="231">
          <cell r="A231">
            <v>41817</v>
          </cell>
          <cell r="B231">
            <v>0.25</v>
          </cell>
        </row>
        <row r="232">
          <cell r="A232">
            <v>41818</v>
          </cell>
          <cell r="B232">
            <v>0.25</v>
          </cell>
        </row>
        <row r="233">
          <cell r="A233">
            <v>41819</v>
          </cell>
          <cell r="B233">
            <v>0.25</v>
          </cell>
        </row>
        <row r="234">
          <cell r="A234">
            <v>41820</v>
          </cell>
          <cell r="B234">
            <v>0.25</v>
          </cell>
        </row>
        <row r="235">
          <cell r="A235">
            <v>41821</v>
          </cell>
          <cell r="B235">
            <v>0.25</v>
          </cell>
        </row>
        <row r="236">
          <cell r="A236">
            <v>41822</v>
          </cell>
          <cell r="B236">
            <v>0.25</v>
          </cell>
        </row>
        <row r="237">
          <cell r="A237">
            <v>41823</v>
          </cell>
          <cell r="B237">
            <v>0.25</v>
          </cell>
        </row>
        <row r="238">
          <cell r="A238">
            <v>41824</v>
          </cell>
          <cell r="B238">
            <v>0.25</v>
          </cell>
        </row>
        <row r="239">
          <cell r="A239">
            <v>41825</v>
          </cell>
          <cell r="B239">
            <v>0.25</v>
          </cell>
        </row>
        <row r="240">
          <cell r="A240">
            <v>41826</v>
          </cell>
          <cell r="B240">
            <v>0.25</v>
          </cell>
        </row>
        <row r="241">
          <cell r="A241">
            <v>41827</v>
          </cell>
          <cell r="B241">
            <v>0.25</v>
          </cell>
        </row>
        <row r="242">
          <cell r="A242">
            <v>41828</v>
          </cell>
          <cell r="B242">
            <v>0.25</v>
          </cell>
        </row>
        <row r="243">
          <cell r="A243">
            <v>41829</v>
          </cell>
          <cell r="B243">
            <v>0.25</v>
          </cell>
        </row>
        <row r="244">
          <cell r="A244">
            <v>41830</v>
          </cell>
          <cell r="B244">
            <v>0.25</v>
          </cell>
        </row>
        <row r="245">
          <cell r="A245">
            <v>41831</v>
          </cell>
          <cell r="B245">
            <v>0.25</v>
          </cell>
        </row>
        <row r="246">
          <cell r="A246">
            <v>41832</v>
          </cell>
          <cell r="B246">
            <v>0.25</v>
          </cell>
        </row>
        <row r="247">
          <cell r="A247">
            <v>41833</v>
          </cell>
          <cell r="B247">
            <v>0.25</v>
          </cell>
        </row>
        <row r="248">
          <cell r="A248">
            <v>41834</v>
          </cell>
          <cell r="B248">
            <v>0.25</v>
          </cell>
        </row>
        <row r="249">
          <cell r="A249">
            <v>41835</v>
          </cell>
          <cell r="B249">
            <v>0.25</v>
          </cell>
        </row>
        <row r="250">
          <cell r="A250">
            <v>41836</v>
          </cell>
          <cell r="B250">
            <v>0.25</v>
          </cell>
        </row>
        <row r="251">
          <cell r="A251">
            <v>41837</v>
          </cell>
          <cell r="B251">
            <v>0.25</v>
          </cell>
        </row>
        <row r="252">
          <cell r="A252">
            <v>41838</v>
          </cell>
          <cell r="B252">
            <v>0.25</v>
          </cell>
        </row>
        <row r="253">
          <cell r="A253">
            <v>41839</v>
          </cell>
          <cell r="B253">
            <v>0.25</v>
          </cell>
        </row>
        <row r="254">
          <cell r="A254">
            <v>41840</v>
          </cell>
          <cell r="B254">
            <v>0.25</v>
          </cell>
        </row>
        <row r="255">
          <cell r="A255">
            <v>41841</v>
          </cell>
          <cell r="B255">
            <v>0.25</v>
          </cell>
        </row>
        <row r="256">
          <cell r="A256">
            <v>41842</v>
          </cell>
          <cell r="B256">
            <v>0.25</v>
          </cell>
        </row>
        <row r="257">
          <cell r="A257">
            <v>41843</v>
          </cell>
          <cell r="B257">
            <v>0.25</v>
          </cell>
        </row>
        <row r="258">
          <cell r="A258">
            <v>41844</v>
          </cell>
          <cell r="B258">
            <v>0.25</v>
          </cell>
        </row>
        <row r="259">
          <cell r="A259">
            <v>41845</v>
          </cell>
          <cell r="B259">
            <v>0.25</v>
          </cell>
        </row>
        <row r="260">
          <cell r="A260">
            <v>41846</v>
          </cell>
          <cell r="B260">
            <v>0.25</v>
          </cell>
        </row>
        <row r="261">
          <cell r="A261">
            <v>41847</v>
          </cell>
          <cell r="B261">
            <v>0.25</v>
          </cell>
        </row>
        <row r="262">
          <cell r="A262">
            <v>41848</v>
          </cell>
          <cell r="B262">
            <v>0.25</v>
          </cell>
        </row>
        <row r="263">
          <cell r="A263">
            <v>41849</v>
          </cell>
          <cell r="B263">
            <v>0.25</v>
          </cell>
        </row>
        <row r="264">
          <cell r="A264">
            <v>41850</v>
          </cell>
          <cell r="B264">
            <v>0.25</v>
          </cell>
        </row>
        <row r="265">
          <cell r="A265">
            <v>41851</v>
          </cell>
          <cell r="B265">
            <v>0.25</v>
          </cell>
        </row>
        <row r="266">
          <cell r="A266">
            <v>41852</v>
          </cell>
          <cell r="B266">
            <v>0.25</v>
          </cell>
        </row>
        <row r="267">
          <cell r="A267">
            <v>41853</v>
          </cell>
          <cell r="B267">
            <v>0.25</v>
          </cell>
        </row>
        <row r="268">
          <cell r="A268">
            <v>41854</v>
          </cell>
          <cell r="B268">
            <v>0.25</v>
          </cell>
        </row>
        <row r="269">
          <cell r="A269">
            <v>41855</v>
          </cell>
          <cell r="B269">
            <v>0.25</v>
          </cell>
        </row>
        <row r="270">
          <cell r="A270">
            <v>41856</v>
          </cell>
          <cell r="B270">
            <v>0.25</v>
          </cell>
        </row>
        <row r="271">
          <cell r="A271">
            <v>41857</v>
          </cell>
          <cell r="B271">
            <v>0.25</v>
          </cell>
        </row>
        <row r="272">
          <cell r="A272">
            <v>41858</v>
          </cell>
          <cell r="B272">
            <v>0.25</v>
          </cell>
        </row>
        <row r="273">
          <cell r="A273">
            <v>41859</v>
          </cell>
          <cell r="B273">
            <v>0.25</v>
          </cell>
        </row>
        <row r="274">
          <cell r="A274">
            <v>41860</v>
          </cell>
          <cell r="B274">
            <v>0.25</v>
          </cell>
        </row>
        <row r="275">
          <cell r="A275">
            <v>41861</v>
          </cell>
          <cell r="B275">
            <v>0.25</v>
          </cell>
        </row>
        <row r="276">
          <cell r="A276">
            <v>41862</v>
          </cell>
          <cell r="B276">
            <v>0.25</v>
          </cell>
        </row>
        <row r="277">
          <cell r="A277">
            <v>41863</v>
          </cell>
          <cell r="B277">
            <v>0.25</v>
          </cell>
        </row>
        <row r="278">
          <cell r="A278">
            <v>41864</v>
          </cell>
          <cell r="B278">
            <v>0.25</v>
          </cell>
        </row>
        <row r="279">
          <cell r="A279">
            <v>41865</v>
          </cell>
          <cell r="B279">
            <v>0.25</v>
          </cell>
        </row>
        <row r="280">
          <cell r="A280">
            <v>41866</v>
          </cell>
          <cell r="B280">
            <v>0.25</v>
          </cell>
        </row>
        <row r="281">
          <cell r="A281">
            <v>41867</v>
          </cell>
          <cell r="B281">
            <v>0.25</v>
          </cell>
        </row>
        <row r="282">
          <cell r="A282">
            <v>41868</v>
          </cell>
          <cell r="B282">
            <v>0.25</v>
          </cell>
        </row>
        <row r="283">
          <cell r="A283">
            <v>41869</v>
          </cell>
          <cell r="B283">
            <v>0.25</v>
          </cell>
        </row>
        <row r="284">
          <cell r="A284">
            <v>41870</v>
          </cell>
          <cell r="B284">
            <v>0.25</v>
          </cell>
        </row>
        <row r="285">
          <cell r="A285">
            <v>41871</v>
          </cell>
          <cell r="B285">
            <v>0.25</v>
          </cell>
        </row>
        <row r="286">
          <cell r="A286">
            <v>41872</v>
          </cell>
          <cell r="B286">
            <v>0.25</v>
          </cell>
        </row>
        <row r="287">
          <cell r="A287">
            <v>41873</v>
          </cell>
          <cell r="B287">
            <v>0.25</v>
          </cell>
        </row>
        <row r="288">
          <cell r="A288">
            <v>41874</v>
          </cell>
          <cell r="B288">
            <v>0.25</v>
          </cell>
        </row>
        <row r="289">
          <cell r="A289">
            <v>41875</v>
          </cell>
          <cell r="B289">
            <v>0.25</v>
          </cell>
        </row>
        <row r="290">
          <cell r="A290">
            <v>41876</v>
          </cell>
          <cell r="B290">
            <v>0.25</v>
          </cell>
        </row>
        <row r="291">
          <cell r="A291">
            <v>41877</v>
          </cell>
          <cell r="B291">
            <v>0.25</v>
          </cell>
        </row>
        <row r="292">
          <cell r="A292">
            <v>41878</v>
          </cell>
          <cell r="B292">
            <v>0.25</v>
          </cell>
        </row>
        <row r="293">
          <cell r="A293">
            <v>41879</v>
          </cell>
          <cell r="B293">
            <v>0.25</v>
          </cell>
        </row>
        <row r="294">
          <cell r="A294">
            <v>41880</v>
          </cell>
          <cell r="B294">
            <v>0.25</v>
          </cell>
        </row>
        <row r="295">
          <cell r="A295">
            <v>41881</v>
          </cell>
          <cell r="B295">
            <v>0.25</v>
          </cell>
        </row>
        <row r="296">
          <cell r="A296">
            <v>41882</v>
          </cell>
          <cell r="B296">
            <v>0.25</v>
          </cell>
        </row>
        <row r="297">
          <cell r="A297">
            <v>41883</v>
          </cell>
          <cell r="B297">
            <v>0.25</v>
          </cell>
        </row>
        <row r="298">
          <cell r="A298">
            <v>41884</v>
          </cell>
          <cell r="B298">
            <v>0.25</v>
          </cell>
        </row>
        <row r="299">
          <cell r="A299">
            <v>41885</v>
          </cell>
          <cell r="B299">
            <v>0.25</v>
          </cell>
        </row>
        <row r="300">
          <cell r="A300">
            <v>41886</v>
          </cell>
          <cell r="B300">
            <v>0.25</v>
          </cell>
        </row>
        <row r="301">
          <cell r="A301">
            <v>41887</v>
          </cell>
          <cell r="B301">
            <v>0.25</v>
          </cell>
        </row>
        <row r="302">
          <cell r="A302">
            <v>41888</v>
          </cell>
          <cell r="B302">
            <v>0.25</v>
          </cell>
        </row>
        <row r="303">
          <cell r="A303">
            <v>41889</v>
          </cell>
          <cell r="B303">
            <v>0.25</v>
          </cell>
        </row>
        <row r="304">
          <cell r="A304">
            <v>41890</v>
          </cell>
          <cell r="B304">
            <v>0.25</v>
          </cell>
        </row>
        <row r="305">
          <cell r="A305">
            <v>41891</v>
          </cell>
          <cell r="B305">
            <v>0.25</v>
          </cell>
        </row>
        <row r="306">
          <cell r="A306">
            <v>41892</v>
          </cell>
          <cell r="B306">
            <v>0.25</v>
          </cell>
        </row>
        <row r="307">
          <cell r="A307">
            <v>41893</v>
          </cell>
          <cell r="B307">
            <v>0.25</v>
          </cell>
        </row>
        <row r="308">
          <cell r="A308">
            <v>41894</v>
          </cell>
          <cell r="B308">
            <v>0.25</v>
          </cell>
        </row>
        <row r="309">
          <cell r="A309">
            <v>41895</v>
          </cell>
          <cell r="B309">
            <v>0.25</v>
          </cell>
        </row>
        <row r="310">
          <cell r="A310">
            <v>41896</v>
          </cell>
          <cell r="B310">
            <v>0.25</v>
          </cell>
        </row>
        <row r="311">
          <cell r="A311">
            <v>41897</v>
          </cell>
          <cell r="B311">
            <v>0.25</v>
          </cell>
        </row>
        <row r="312">
          <cell r="A312">
            <v>41898</v>
          </cell>
          <cell r="B312">
            <v>0.25</v>
          </cell>
        </row>
        <row r="313">
          <cell r="A313">
            <v>41899</v>
          </cell>
          <cell r="B313">
            <v>0.25</v>
          </cell>
        </row>
        <row r="314">
          <cell r="A314">
            <v>41900</v>
          </cell>
          <cell r="B314">
            <v>0.25</v>
          </cell>
        </row>
        <row r="315">
          <cell r="A315">
            <v>41901</v>
          </cell>
          <cell r="B315">
            <v>0.25</v>
          </cell>
        </row>
        <row r="316">
          <cell r="A316">
            <v>41902</v>
          </cell>
          <cell r="B316">
            <v>0.25</v>
          </cell>
        </row>
        <row r="317">
          <cell r="A317">
            <v>41903</v>
          </cell>
          <cell r="B317">
            <v>0.25</v>
          </cell>
        </row>
        <row r="318">
          <cell r="A318">
            <v>41904</v>
          </cell>
          <cell r="B318">
            <v>0.25</v>
          </cell>
        </row>
        <row r="319">
          <cell r="A319">
            <v>41905</v>
          </cell>
          <cell r="B319">
            <v>0.25</v>
          </cell>
        </row>
        <row r="320">
          <cell r="A320">
            <v>41906</v>
          </cell>
          <cell r="B320">
            <v>0.25</v>
          </cell>
        </row>
        <row r="321">
          <cell r="A321">
            <v>41907</v>
          </cell>
          <cell r="B321">
            <v>0.25</v>
          </cell>
        </row>
        <row r="322">
          <cell r="A322">
            <v>41908</v>
          </cell>
          <cell r="B322">
            <v>0.25</v>
          </cell>
        </row>
        <row r="323">
          <cell r="A323">
            <v>41909</v>
          </cell>
          <cell r="B323">
            <v>0.25</v>
          </cell>
        </row>
        <row r="324">
          <cell r="A324">
            <v>41910</v>
          </cell>
          <cell r="B324">
            <v>0.25</v>
          </cell>
        </row>
        <row r="325">
          <cell r="A325">
            <v>41911</v>
          </cell>
          <cell r="B325">
            <v>0.25</v>
          </cell>
        </row>
        <row r="326">
          <cell r="A326">
            <v>41912</v>
          </cell>
          <cell r="B326">
            <v>0.25</v>
          </cell>
        </row>
        <row r="327">
          <cell r="A327">
            <v>41913</v>
          </cell>
          <cell r="B327">
            <v>0.25</v>
          </cell>
        </row>
        <row r="328">
          <cell r="A328">
            <v>41914</v>
          </cell>
          <cell r="B328">
            <v>0.25</v>
          </cell>
        </row>
        <row r="329">
          <cell r="A329">
            <v>41915</v>
          </cell>
          <cell r="B329">
            <v>0.25</v>
          </cell>
        </row>
        <row r="330">
          <cell r="A330">
            <v>41916</v>
          </cell>
          <cell r="B330">
            <v>0.25</v>
          </cell>
        </row>
        <row r="331">
          <cell r="A331">
            <v>41917</v>
          </cell>
          <cell r="B331">
            <v>0.25</v>
          </cell>
        </row>
        <row r="332">
          <cell r="A332">
            <v>41918</v>
          </cell>
          <cell r="B332">
            <v>0.25</v>
          </cell>
        </row>
        <row r="333">
          <cell r="A333">
            <v>41919</v>
          </cell>
          <cell r="B333">
            <v>0.25</v>
          </cell>
        </row>
        <row r="334">
          <cell r="A334">
            <v>41920</v>
          </cell>
          <cell r="B334">
            <v>0.25</v>
          </cell>
        </row>
        <row r="335">
          <cell r="A335">
            <v>41921</v>
          </cell>
          <cell r="B335">
            <v>0.25</v>
          </cell>
        </row>
        <row r="336">
          <cell r="A336">
            <v>41922</v>
          </cell>
          <cell r="B336">
            <v>0.25</v>
          </cell>
        </row>
        <row r="337">
          <cell r="A337">
            <v>41923</v>
          </cell>
          <cell r="B337">
            <v>0.25</v>
          </cell>
        </row>
        <row r="338">
          <cell r="A338">
            <v>41924</v>
          </cell>
          <cell r="B338">
            <v>0.25</v>
          </cell>
        </row>
        <row r="339">
          <cell r="A339">
            <v>41925</v>
          </cell>
          <cell r="B339">
            <v>0.25</v>
          </cell>
        </row>
        <row r="340">
          <cell r="A340">
            <v>41926</v>
          </cell>
          <cell r="B340">
            <v>0.25</v>
          </cell>
        </row>
        <row r="341">
          <cell r="A341">
            <v>41927</v>
          </cell>
          <cell r="B341">
            <v>0.25</v>
          </cell>
        </row>
        <row r="342">
          <cell r="A342">
            <v>41928</v>
          </cell>
          <cell r="B342">
            <v>0.25</v>
          </cell>
        </row>
        <row r="343">
          <cell r="A343">
            <v>41929</v>
          </cell>
          <cell r="B343">
            <v>0.25</v>
          </cell>
        </row>
        <row r="344">
          <cell r="A344">
            <v>41930</v>
          </cell>
          <cell r="B344">
            <v>0.25</v>
          </cell>
        </row>
        <row r="345">
          <cell r="A345">
            <v>41931</v>
          </cell>
          <cell r="B345">
            <v>0.25</v>
          </cell>
        </row>
        <row r="346">
          <cell r="A346">
            <v>41932</v>
          </cell>
          <cell r="B346">
            <v>0.25</v>
          </cell>
        </row>
        <row r="347">
          <cell r="A347">
            <v>41933</v>
          </cell>
          <cell r="B347">
            <v>0.25</v>
          </cell>
        </row>
        <row r="348">
          <cell r="A348">
            <v>41934</v>
          </cell>
          <cell r="B348">
            <v>0.25</v>
          </cell>
        </row>
        <row r="349">
          <cell r="A349">
            <v>41935</v>
          </cell>
          <cell r="B349">
            <v>0.25</v>
          </cell>
        </row>
        <row r="350">
          <cell r="A350">
            <v>41936</v>
          </cell>
          <cell r="B350">
            <v>0.25</v>
          </cell>
        </row>
        <row r="351">
          <cell r="A351">
            <v>41937</v>
          </cell>
          <cell r="B351">
            <v>0.25</v>
          </cell>
        </row>
        <row r="352">
          <cell r="A352">
            <v>41938</v>
          </cell>
          <cell r="B352">
            <v>0.25</v>
          </cell>
        </row>
        <row r="353">
          <cell r="A353">
            <v>41939</v>
          </cell>
          <cell r="B353">
            <v>0.25</v>
          </cell>
        </row>
        <row r="354">
          <cell r="A354">
            <v>41940</v>
          </cell>
          <cell r="B354">
            <v>0.25</v>
          </cell>
        </row>
        <row r="355">
          <cell r="A355">
            <v>41941</v>
          </cell>
          <cell r="B355">
            <v>0.25</v>
          </cell>
        </row>
        <row r="356">
          <cell r="A356">
            <v>41942</v>
          </cell>
          <cell r="B356">
            <v>0.25</v>
          </cell>
        </row>
        <row r="357">
          <cell r="A357">
            <v>41943</v>
          </cell>
          <cell r="B357">
            <v>0.25</v>
          </cell>
        </row>
        <row r="358">
          <cell r="A358">
            <v>41944</v>
          </cell>
          <cell r="B358">
            <v>0.25</v>
          </cell>
        </row>
        <row r="359">
          <cell r="A359">
            <v>41945</v>
          </cell>
          <cell r="B359">
            <v>0.25</v>
          </cell>
        </row>
        <row r="360">
          <cell r="A360">
            <v>41946</v>
          </cell>
          <cell r="B360">
            <v>0.25</v>
          </cell>
        </row>
        <row r="361">
          <cell r="A361">
            <v>41947</v>
          </cell>
          <cell r="B361">
            <v>0.25</v>
          </cell>
        </row>
        <row r="362">
          <cell r="A362">
            <v>41948</v>
          </cell>
          <cell r="B362">
            <v>0.25</v>
          </cell>
        </row>
        <row r="363">
          <cell r="A363">
            <v>41949</v>
          </cell>
          <cell r="B363">
            <v>0.25</v>
          </cell>
        </row>
        <row r="364">
          <cell r="A364">
            <v>41950</v>
          </cell>
          <cell r="B364">
            <v>0.25</v>
          </cell>
        </row>
        <row r="365">
          <cell r="A365">
            <v>41951</v>
          </cell>
          <cell r="B365">
            <v>0.25</v>
          </cell>
        </row>
        <row r="366">
          <cell r="A366">
            <v>41952</v>
          </cell>
          <cell r="B366">
            <v>0.25</v>
          </cell>
        </row>
        <row r="367">
          <cell r="A367">
            <v>41953</v>
          </cell>
          <cell r="B367">
            <v>0.25</v>
          </cell>
        </row>
        <row r="368">
          <cell r="A368">
            <v>41954</v>
          </cell>
          <cell r="B368">
            <v>0.25</v>
          </cell>
        </row>
        <row r="369">
          <cell r="A369">
            <v>41955</v>
          </cell>
          <cell r="B369">
            <v>0.25</v>
          </cell>
        </row>
        <row r="370">
          <cell r="A370">
            <v>41956</v>
          </cell>
          <cell r="B370">
            <v>0.25</v>
          </cell>
        </row>
        <row r="371">
          <cell r="A371">
            <v>41957</v>
          </cell>
          <cell r="B371">
            <v>0.25</v>
          </cell>
        </row>
        <row r="372">
          <cell r="A372">
            <v>41958</v>
          </cell>
          <cell r="B372">
            <v>0.25</v>
          </cell>
        </row>
        <row r="373">
          <cell r="A373">
            <v>41959</v>
          </cell>
          <cell r="B373">
            <v>0.25</v>
          </cell>
        </row>
        <row r="374">
          <cell r="A374">
            <v>41960</v>
          </cell>
          <cell r="B374">
            <v>0.25</v>
          </cell>
        </row>
        <row r="375">
          <cell r="A375">
            <v>41961</v>
          </cell>
          <cell r="B375">
            <v>0.25</v>
          </cell>
        </row>
        <row r="376">
          <cell r="A376">
            <v>41962</v>
          </cell>
          <cell r="B376">
            <v>0.25</v>
          </cell>
        </row>
        <row r="377">
          <cell r="A377">
            <v>41963</v>
          </cell>
          <cell r="B377">
            <v>0.25</v>
          </cell>
        </row>
        <row r="378">
          <cell r="A378">
            <v>41964</v>
          </cell>
          <cell r="B378">
            <v>0.25</v>
          </cell>
        </row>
        <row r="379">
          <cell r="A379">
            <v>41965</v>
          </cell>
          <cell r="B379">
            <v>0.25</v>
          </cell>
        </row>
        <row r="380">
          <cell r="A380">
            <v>41966</v>
          </cell>
          <cell r="B380">
            <v>0.25</v>
          </cell>
        </row>
        <row r="381">
          <cell r="A381">
            <v>41967</v>
          </cell>
          <cell r="B381">
            <v>0.25</v>
          </cell>
        </row>
        <row r="382">
          <cell r="A382">
            <v>41968</v>
          </cell>
          <cell r="B382">
            <v>0.25</v>
          </cell>
        </row>
        <row r="383">
          <cell r="A383">
            <v>41969</v>
          </cell>
          <cell r="B383">
            <v>0.25</v>
          </cell>
        </row>
        <row r="384">
          <cell r="A384">
            <v>41970</v>
          </cell>
          <cell r="B384">
            <v>0.25</v>
          </cell>
        </row>
        <row r="385">
          <cell r="A385">
            <v>41971</v>
          </cell>
          <cell r="B385">
            <v>0.25</v>
          </cell>
        </row>
        <row r="386">
          <cell r="A386">
            <v>41972</v>
          </cell>
          <cell r="B386">
            <v>0.25</v>
          </cell>
        </row>
        <row r="387">
          <cell r="A387">
            <v>41973</v>
          </cell>
          <cell r="B387">
            <v>0.25</v>
          </cell>
        </row>
        <row r="388">
          <cell r="A388">
            <v>41974</v>
          </cell>
          <cell r="B388">
            <v>0.25</v>
          </cell>
        </row>
        <row r="389">
          <cell r="A389">
            <v>41975</v>
          </cell>
          <cell r="B389">
            <v>0.25</v>
          </cell>
        </row>
        <row r="390">
          <cell r="A390">
            <v>41976</v>
          </cell>
          <cell r="B390">
            <v>0.25</v>
          </cell>
        </row>
        <row r="391">
          <cell r="A391">
            <v>41977</v>
          </cell>
          <cell r="B391">
            <v>0.25</v>
          </cell>
        </row>
        <row r="392">
          <cell r="A392">
            <v>41978</v>
          </cell>
          <cell r="B392">
            <v>0.25</v>
          </cell>
        </row>
        <row r="393">
          <cell r="A393">
            <v>41979</v>
          </cell>
          <cell r="B393">
            <v>0.25</v>
          </cell>
        </row>
        <row r="394">
          <cell r="A394">
            <v>41980</v>
          </cell>
          <cell r="B394">
            <v>0.25</v>
          </cell>
        </row>
        <row r="395">
          <cell r="A395">
            <v>41981</v>
          </cell>
          <cell r="B395">
            <v>0.25</v>
          </cell>
        </row>
        <row r="396">
          <cell r="A396">
            <v>41982</v>
          </cell>
          <cell r="B396">
            <v>0.25</v>
          </cell>
        </row>
        <row r="397">
          <cell r="A397">
            <v>41983</v>
          </cell>
          <cell r="B397">
            <v>0.25</v>
          </cell>
        </row>
        <row r="398">
          <cell r="A398">
            <v>41984</v>
          </cell>
          <cell r="B398">
            <v>0.25</v>
          </cell>
        </row>
        <row r="399">
          <cell r="A399">
            <v>41985</v>
          </cell>
          <cell r="B399">
            <v>0.25</v>
          </cell>
        </row>
        <row r="400">
          <cell r="A400">
            <v>41986</v>
          </cell>
          <cell r="B400">
            <v>0.25</v>
          </cell>
        </row>
        <row r="401">
          <cell r="A401">
            <v>41987</v>
          </cell>
          <cell r="B401">
            <v>0.25</v>
          </cell>
        </row>
        <row r="402">
          <cell r="A402">
            <v>41988</v>
          </cell>
          <cell r="B402">
            <v>0.25</v>
          </cell>
        </row>
        <row r="403">
          <cell r="A403">
            <v>41989</v>
          </cell>
          <cell r="B403">
            <v>0.25</v>
          </cell>
        </row>
        <row r="404">
          <cell r="A404">
            <v>41990</v>
          </cell>
          <cell r="B404">
            <v>0.25</v>
          </cell>
        </row>
        <row r="405">
          <cell r="A405">
            <v>41991</v>
          </cell>
          <cell r="B405">
            <v>0.25</v>
          </cell>
        </row>
        <row r="406">
          <cell r="A406">
            <v>41992</v>
          </cell>
          <cell r="B406">
            <v>0.25</v>
          </cell>
        </row>
        <row r="407">
          <cell r="A407">
            <v>41993</v>
          </cell>
          <cell r="B407">
            <v>0.25</v>
          </cell>
        </row>
        <row r="408">
          <cell r="A408">
            <v>41994</v>
          </cell>
          <cell r="B408">
            <v>0.25</v>
          </cell>
        </row>
        <row r="409">
          <cell r="A409">
            <v>41995</v>
          </cell>
          <cell r="B409">
            <v>0.25</v>
          </cell>
        </row>
        <row r="410">
          <cell r="A410">
            <v>41996</v>
          </cell>
          <cell r="B410">
            <v>0.25</v>
          </cell>
        </row>
        <row r="411">
          <cell r="A411">
            <v>41997</v>
          </cell>
          <cell r="B411">
            <v>0.25</v>
          </cell>
        </row>
        <row r="412">
          <cell r="A412">
            <v>41998</v>
          </cell>
          <cell r="B412">
            <v>0.25</v>
          </cell>
        </row>
        <row r="413">
          <cell r="A413">
            <v>41999</v>
          </cell>
          <cell r="B413">
            <v>0.25</v>
          </cell>
        </row>
        <row r="414">
          <cell r="A414">
            <v>42000</v>
          </cell>
          <cell r="B414">
            <v>0.25</v>
          </cell>
        </row>
        <row r="415">
          <cell r="A415">
            <v>42001</v>
          </cell>
          <cell r="B415">
            <v>0.25</v>
          </cell>
        </row>
        <row r="416">
          <cell r="A416">
            <v>42002</v>
          </cell>
          <cell r="B416">
            <v>0.25</v>
          </cell>
        </row>
        <row r="417">
          <cell r="A417">
            <v>42003</v>
          </cell>
          <cell r="B417">
            <v>0.25</v>
          </cell>
        </row>
        <row r="418">
          <cell r="A418">
            <v>42004</v>
          </cell>
          <cell r="B418">
            <v>0.25</v>
          </cell>
        </row>
        <row r="419">
          <cell r="A419">
            <v>42005</v>
          </cell>
          <cell r="B419">
            <v>0.25</v>
          </cell>
        </row>
        <row r="420">
          <cell r="A420">
            <v>42006</v>
          </cell>
          <cell r="B420">
            <v>0.25</v>
          </cell>
        </row>
        <row r="421">
          <cell r="A421">
            <v>42007</v>
          </cell>
          <cell r="B421">
            <v>0.25</v>
          </cell>
        </row>
        <row r="422">
          <cell r="A422">
            <v>42008</v>
          </cell>
          <cell r="B422">
            <v>0.25</v>
          </cell>
        </row>
        <row r="423">
          <cell r="A423">
            <v>42009</v>
          </cell>
          <cell r="B423">
            <v>0.25</v>
          </cell>
        </row>
        <row r="424">
          <cell r="A424">
            <v>42010</v>
          </cell>
          <cell r="B424">
            <v>0.25</v>
          </cell>
        </row>
        <row r="425">
          <cell r="A425">
            <v>42011</v>
          </cell>
          <cell r="B425">
            <v>0.25</v>
          </cell>
        </row>
        <row r="426">
          <cell r="A426">
            <v>42012</v>
          </cell>
          <cell r="B426">
            <v>0.25</v>
          </cell>
        </row>
        <row r="427">
          <cell r="A427">
            <v>42013</v>
          </cell>
          <cell r="B427">
            <v>0.25</v>
          </cell>
        </row>
        <row r="428">
          <cell r="A428">
            <v>42014</v>
          </cell>
          <cell r="B428">
            <v>0.25</v>
          </cell>
        </row>
        <row r="429">
          <cell r="A429">
            <v>42015</v>
          </cell>
          <cell r="B429">
            <v>0.25</v>
          </cell>
        </row>
        <row r="430">
          <cell r="A430">
            <v>42016</v>
          </cell>
          <cell r="B430">
            <v>0.25</v>
          </cell>
        </row>
        <row r="431">
          <cell r="A431">
            <v>42017</v>
          </cell>
          <cell r="B431">
            <v>0.25</v>
          </cell>
        </row>
        <row r="432">
          <cell r="A432">
            <v>42018</v>
          </cell>
          <cell r="B432">
            <v>0.25</v>
          </cell>
        </row>
        <row r="433">
          <cell r="A433">
            <v>42019</v>
          </cell>
          <cell r="B433">
            <v>0.25</v>
          </cell>
        </row>
        <row r="434">
          <cell r="A434">
            <v>42020</v>
          </cell>
          <cell r="B434">
            <v>0.25</v>
          </cell>
        </row>
        <row r="435">
          <cell r="A435">
            <v>42021</v>
          </cell>
          <cell r="B435">
            <v>0.25</v>
          </cell>
        </row>
        <row r="436">
          <cell r="A436">
            <v>42022</v>
          </cell>
          <cell r="B436">
            <v>0.25</v>
          </cell>
        </row>
        <row r="437">
          <cell r="A437">
            <v>42023</v>
          </cell>
          <cell r="B437">
            <v>0.25</v>
          </cell>
        </row>
        <row r="438">
          <cell r="A438">
            <v>42024</v>
          </cell>
          <cell r="B438">
            <v>0.25</v>
          </cell>
        </row>
        <row r="439">
          <cell r="A439">
            <v>42025</v>
          </cell>
          <cell r="B439">
            <v>0.25</v>
          </cell>
        </row>
        <row r="440">
          <cell r="A440">
            <v>42026</v>
          </cell>
          <cell r="B440">
            <v>0.25</v>
          </cell>
        </row>
        <row r="441">
          <cell r="A441">
            <v>42027</v>
          </cell>
          <cell r="B441">
            <v>0.25</v>
          </cell>
        </row>
        <row r="442">
          <cell r="A442">
            <v>42028</v>
          </cell>
          <cell r="B442">
            <v>0.25</v>
          </cell>
        </row>
        <row r="443">
          <cell r="A443">
            <v>42029</v>
          </cell>
          <cell r="B443">
            <v>0.25</v>
          </cell>
        </row>
        <row r="444">
          <cell r="A444">
            <v>42030</v>
          </cell>
          <cell r="B444">
            <v>0.25</v>
          </cell>
        </row>
        <row r="445">
          <cell r="A445">
            <v>42031</v>
          </cell>
          <cell r="B445">
            <v>0.25</v>
          </cell>
        </row>
        <row r="446">
          <cell r="A446">
            <v>42032</v>
          </cell>
          <cell r="B446">
            <v>0.25</v>
          </cell>
        </row>
        <row r="447">
          <cell r="A447">
            <v>42033</v>
          </cell>
          <cell r="B447">
            <v>0.25</v>
          </cell>
        </row>
        <row r="448">
          <cell r="A448">
            <v>42034</v>
          </cell>
          <cell r="B448">
            <v>0.25</v>
          </cell>
        </row>
        <row r="449">
          <cell r="A449">
            <v>42035</v>
          </cell>
          <cell r="B449">
            <v>0.25</v>
          </cell>
        </row>
        <row r="450">
          <cell r="A450">
            <v>42036</v>
          </cell>
          <cell r="B450">
            <v>0.25</v>
          </cell>
        </row>
        <row r="451">
          <cell r="A451">
            <v>42037</v>
          </cell>
          <cell r="B451">
            <v>0.25</v>
          </cell>
        </row>
        <row r="452">
          <cell r="A452">
            <v>42038</v>
          </cell>
          <cell r="B452">
            <v>0.25</v>
          </cell>
        </row>
        <row r="453">
          <cell r="A453">
            <v>42039</v>
          </cell>
          <cell r="B453">
            <v>0.25</v>
          </cell>
        </row>
        <row r="454">
          <cell r="A454">
            <v>42040</v>
          </cell>
          <cell r="B454">
            <v>0.25</v>
          </cell>
        </row>
        <row r="455">
          <cell r="A455">
            <v>42041</v>
          </cell>
          <cell r="B455">
            <v>0.25</v>
          </cell>
        </row>
        <row r="456">
          <cell r="A456">
            <v>42042</v>
          </cell>
          <cell r="B456">
            <v>0.25</v>
          </cell>
        </row>
        <row r="457">
          <cell r="A457">
            <v>42043</v>
          </cell>
          <cell r="B457">
            <v>0.25</v>
          </cell>
        </row>
        <row r="458">
          <cell r="A458">
            <v>42044</v>
          </cell>
          <cell r="B458">
            <v>0.25</v>
          </cell>
        </row>
        <row r="459">
          <cell r="A459">
            <v>42045</v>
          </cell>
          <cell r="B459">
            <v>0.25</v>
          </cell>
        </row>
        <row r="460">
          <cell r="A460">
            <v>42046</v>
          </cell>
          <cell r="B460">
            <v>0.25</v>
          </cell>
        </row>
        <row r="461">
          <cell r="A461">
            <v>42047</v>
          </cell>
          <cell r="B461">
            <v>0.25</v>
          </cell>
        </row>
        <row r="462">
          <cell r="A462">
            <v>42048</v>
          </cell>
          <cell r="B462">
            <v>0.25</v>
          </cell>
        </row>
        <row r="463">
          <cell r="A463">
            <v>42049</v>
          </cell>
          <cell r="B463">
            <v>0.25</v>
          </cell>
        </row>
        <row r="464">
          <cell r="A464">
            <v>42050</v>
          </cell>
          <cell r="B464">
            <v>0.25</v>
          </cell>
        </row>
        <row r="465">
          <cell r="A465">
            <v>42051</v>
          </cell>
          <cell r="B465">
            <v>0.25</v>
          </cell>
        </row>
        <row r="466">
          <cell r="A466">
            <v>42052</v>
          </cell>
          <cell r="B466">
            <v>0.25</v>
          </cell>
        </row>
        <row r="467">
          <cell r="A467">
            <v>42053</v>
          </cell>
          <cell r="B467">
            <v>0.25</v>
          </cell>
        </row>
        <row r="468">
          <cell r="A468">
            <v>42054</v>
          </cell>
          <cell r="B468">
            <v>0.25</v>
          </cell>
        </row>
        <row r="469">
          <cell r="A469">
            <v>42055</v>
          </cell>
          <cell r="B469">
            <v>0.25</v>
          </cell>
        </row>
        <row r="470">
          <cell r="A470">
            <v>42056</v>
          </cell>
          <cell r="B470">
            <v>0.25</v>
          </cell>
        </row>
        <row r="471">
          <cell r="A471">
            <v>42057</v>
          </cell>
          <cell r="B471">
            <v>0.25</v>
          </cell>
        </row>
        <row r="472">
          <cell r="A472">
            <v>42058</v>
          </cell>
          <cell r="B472">
            <v>0.25</v>
          </cell>
        </row>
        <row r="473">
          <cell r="A473">
            <v>42059</v>
          </cell>
          <cell r="B473">
            <v>0.25</v>
          </cell>
        </row>
        <row r="474">
          <cell r="A474">
            <v>42060</v>
          </cell>
          <cell r="B474">
            <v>0.25</v>
          </cell>
        </row>
        <row r="475">
          <cell r="A475">
            <v>42061</v>
          </cell>
          <cell r="B475">
            <v>0.25</v>
          </cell>
        </row>
        <row r="476">
          <cell r="A476">
            <v>42062</v>
          </cell>
          <cell r="B476">
            <v>0.25</v>
          </cell>
        </row>
        <row r="477">
          <cell r="A477">
            <v>42063</v>
          </cell>
          <cell r="B477">
            <v>0.25</v>
          </cell>
        </row>
        <row r="478">
          <cell r="A478">
            <v>42064</v>
          </cell>
          <cell r="B478">
            <v>0.25</v>
          </cell>
        </row>
        <row r="479">
          <cell r="A479">
            <v>42065</v>
          </cell>
          <cell r="B479">
            <v>0.25</v>
          </cell>
        </row>
        <row r="480">
          <cell r="A480">
            <v>42066</v>
          </cell>
          <cell r="B480">
            <v>0.25</v>
          </cell>
        </row>
        <row r="481">
          <cell r="A481">
            <v>42067</v>
          </cell>
          <cell r="B481">
            <v>0.25</v>
          </cell>
        </row>
        <row r="482">
          <cell r="A482">
            <v>42068</v>
          </cell>
          <cell r="B482">
            <v>0.25</v>
          </cell>
        </row>
        <row r="483">
          <cell r="A483">
            <v>42069</v>
          </cell>
          <cell r="B483">
            <v>0.25</v>
          </cell>
        </row>
        <row r="484">
          <cell r="A484">
            <v>42070</v>
          </cell>
          <cell r="B484">
            <v>0.25</v>
          </cell>
        </row>
        <row r="485">
          <cell r="A485">
            <v>42071</v>
          </cell>
          <cell r="B485">
            <v>0.25</v>
          </cell>
        </row>
        <row r="486">
          <cell r="A486">
            <v>42072</v>
          </cell>
          <cell r="B486">
            <v>0.25</v>
          </cell>
        </row>
        <row r="487">
          <cell r="A487">
            <v>42073</v>
          </cell>
          <cell r="B487">
            <v>0.25</v>
          </cell>
        </row>
        <row r="488">
          <cell r="A488">
            <v>42074</v>
          </cell>
          <cell r="B488">
            <v>0.25</v>
          </cell>
        </row>
        <row r="489">
          <cell r="A489">
            <v>42075</v>
          </cell>
          <cell r="B489">
            <v>0.25</v>
          </cell>
        </row>
        <row r="490">
          <cell r="A490">
            <v>42076</v>
          </cell>
          <cell r="B490">
            <v>0.25</v>
          </cell>
        </row>
        <row r="491">
          <cell r="A491">
            <v>42077</v>
          </cell>
          <cell r="B491">
            <v>0.25</v>
          </cell>
        </row>
        <row r="492">
          <cell r="A492">
            <v>42078</v>
          </cell>
          <cell r="B492">
            <v>0.25</v>
          </cell>
        </row>
        <row r="493">
          <cell r="A493">
            <v>42079</v>
          </cell>
          <cell r="B493">
            <v>0.25</v>
          </cell>
        </row>
        <row r="494">
          <cell r="A494">
            <v>42080</v>
          </cell>
          <cell r="B494">
            <v>0.25</v>
          </cell>
        </row>
        <row r="495">
          <cell r="A495">
            <v>42081</v>
          </cell>
          <cell r="B495">
            <v>0.25</v>
          </cell>
        </row>
        <row r="496">
          <cell r="A496">
            <v>42082</v>
          </cell>
          <cell r="B496">
            <v>0.25</v>
          </cell>
        </row>
        <row r="497">
          <cell r="A497">
            <v>42083</v>
          </cell>
          <cell r="B497">
            <v>0.25</v>
          </cell>
        </row>
        <row r="498">
          <cell r="A498">
            <v>42084</v>
          </cell>
          <cell r="B498">
            <v>0.25</v>
          </cell>
        </row>
        <row r="499">
          <cell r="A499">
            <v>42085</v>
          </cell>
          <cell r="B499">
            <v>0.25</v>
          </cell>
        </row>
        <row r="500">
          <cell r="A500">
            <v>42086</v>
          </cell>
          <cell r="B500">
            <v>0.25</v>
          </cell>
        </row>
        <row r="501">
          <cell r="A501">
            <v>42087</v>
          </cell>
          <cell r="B501">
            <v>0.25</v>
          </cell>
        </row>
        <row r="502">
          <cell r="A502">
            <v>42088</v>
          </cell>
          <cell r="B502">
            <v>0.25</v>
          </cell>
        </row>
        <row r="503">
          <cell r="A503">
            <v>42089</v>
          </cell>
          <cell r="B503">
            <v>0.25</v>
          </cell>
        </row>
        <row r="504">
          <cell r="A504">
            <v>42090</v>
          </cell>
          <cell r="B504">
            <v>0.25</v>
          </cell>
        </row>
        <row r="505">
          <cell r="A505">
            <v>42091</v>
          </cell>
          <cell r="B505">
            <v>0.25</v>
          </cell>
        </row>
        <row r="506">
          <cell r="A506">
            <v>42092</v>
          </cell>
          <cell r="B506">
            <v>0.25</v>
          </cell>
        </row>
        <row r="507">
          <cell r="A507">
            <v>42093</v>
          </cell>
          <cell r="B507">
            <v>0.25</v>
          </cell>
        </row>
        <row r="508">
          <cell r="A508">
            <v>42094</v>
          </cell>
          <cell r="B508">
            <v>0.25</v>
          </cell>
        </row>
        <row r="509">
          <cell r="A509">
            <v>42095</v>
          </cell>
          <cell r="B509">
            <v>0.25</v>
          </cell>
        </row>
        <row r="510">
          <cell r="A510">
            <v>42096</v>
          </cell>
          <cell r="B510">
            <v>0.25</v>
          </cell>
        </row>
        <row r="511">
          <cell r="A511">
            <v>42097</v>
          </cell>
          <cell r="B511">
            <v>0.25</v>
          </cell>
        </row>
        <row r="512">
          <cell r="A512">
            <v>42098</v>
          </cell>
          <cell r="B512">
            <v>0.25</v>
          </cell>
        </row>
        <row r="513">
          <cell r="A513">
            <v>42099</v>
          </cell>
          <cell r="B513">
            <v>0.25</v>
          </cell>
        </row>
        <row r="514">
          <cell r="A514">
            <v>42100</v>
          </cell>
          <cell r="B514">
            <v>0.25</v>
          </cell>
        </row>
        <row r="515">
          <cell r="A515">
            <v>42101</v>
          </cell>
          <cell r="B515">
            <v>0.25</v>
          </cell>
        </row>
        <row r="516">
          <cell r="A516">
            <v>42102</v>
          </cell>
          <cell r="B516">
            <v>0.25</v>
          </cell>
        </row>
        <row r="517">
          <cell r="A517">
            <v>42103</v>
          </cell>
          <cell r="B517">
            <v>0.25</v>
          </cell>
        </row>
        <row r="518">
          <cell r="A518">
            <v>42104</v>
          </cell>
          <cell r="B518">
            <v>0.25</v>
          </cell>
        </row>
        <row r="519">
          <cell r="A519">
            <v>42105</v>
          </cell>
          <cell r="B519">
            <v>0.25</v>
          </cell>
        </row>
        <row r="520">
          <cell r="A520">
            <v>42106</v>
          </cell>
          <cell r="B520">
            <v>0.25</v>
          </cell>
        </row>
        <row r="521">
          <cell r="A521">
            <v>42107</v>
          </cell>
          <cell r="B521">
            <v>0.25</v>
          </cell>
        </row>
        <row r="522">
          <cell r="A522">
            <v>42108</v>
          </cell>
          <cell r="B522">
            <v>0.25</v>
          </cell>
        </row>
        <row r="523">
          <cell r="A523">
            <v>42109</v>
          </cell>
          <cell r="B523">
            <v>0.25</v>
          </cell>
        </row>
        <row r="524">
          <cell r="A524">
            <v>42110</v>
          </cell>
          <cell r="B524">
            <v>0.25</v>
          </cell>
        </row>
        <row r="525">
          <cell r="A525">
            <v>42111</v>
          </cell>
          <cell r="B525">
            <v>0.25</v>
          </cell>
        </row>
        <row r="526">
          <cell r="A526">
            <v>42112</v>
          </cell>
          <cell r="B526">
            <v>0.25</v>
          </cell>
        </row>
        <row r="527">
          <cell r="A527">
            <v>42113</v>
          </cell>
          <cell r="B527">
            <v>0.25</v>
          </cell>
        </row>
        <row r="528">
          <cell r="A528">
            <v>42114</v>
          </cell>
          <cell r="B528">
            <v>0.25</v>
          </cell>
        </row>
        <row r="529">
          <cell r="A529">
            <v>42115</v>
          </cell>
          <cell r="B529">
            <v>0.25</v>
          </cell>
        </row>
        <row r="530">
          <cell r="A530">
            <v>42116</v>
          </cell>
          <cell r="B530">
            <v>0.25</v>
          </cell>
        </row>
        <row r="531">
          <cell r="A531">
            <v>42117</v>
          </cell>
          <cell r="B531">
            <v>0.25</v>
          </cell>
        </row>
        <row r="532">
          <cell r="A532">
            <v>42118</v>
          </cell>
          <cell r="B532">
            <v>0.25</v>
          </cell>
        </row>
        <row r="533">
          <cell r="A533">
            <v>42119</v>
          </cell>
          <cell r="B533">
            <v>0.25</v>
          </cell>
        </row>
        <row r="534">
          <cell r="A534">
            <v>42120</v>
          </cell>
          <cell r="B534">
            <v>0.25</v>
          </cell>
        </row>
        <row r="535">
          <cell r="A535">
            <v>42121</v>
          </cell>
          <cell r="B535">
            <v>0.25</v>
          </cell>
        </row>
        <row r="536">
          <cell r="A536">
            <v>42122</v>
          </cell>
          <cell r="B536">
            <v>0.25</v>
          </cell>
        </row>
        <row r="537">
          <cell r="A537">
            <v>42123</v>
          </cell>
          <cell r="B537">
            <v>0.25</v>
          </cell>
        </row>
        <row r="538">
          <cell r="A538">
            <v>42124</v>
          </cell>
          <cell r="B538">
            <v>0.25</v>
          </cell>
        </row>
        <row r="539">
          <cell r="A539">
            <v>42125</v>
          </cell>
          <cell r="B539">
            <v>0.25</v>
          </cell>
        </row>
        <row r="540">
          <cell r="A540">
            <v>42126</v>
          </cell>
          <cell r="B540">
            <v>0.25</v>
          </cell>
        </row>
        <row r="541">
          <cell r="A541">
            <v>42127</v>
          </cell>
          <cell r="B541">
            <v>0.25</v>
          </cell>
        </row>
        <row r="542">
          <cell r="A542">
            <v>42128</v>
          </cell>
          <cell r="B542">
            <v>0.25</v>
          </cell>
        </row>
        <row r="543">
          <cell r="A543">
            <v>42129</v>
          </cell>
          <cell r="B543">
            <v>0.25</v>
          </cell>
        </row>
        <row r="544">
          <cell r="A544">
            <v>42130</v>
          </cell>
          <cell r="B544">
            <v>0.25</v>
          </cell>
        </row>
        <row r="545">
          <cell r="A545">
            <v>42131</v>
          </cell>
          <cell r="B545">
            <v>0.25</v>
          </cell>
        </row>
        <row r="546">
          <cell r="A546">
            <v>42132</v>
          </cell>
          <cell r="B546">
            <v>0.25</v>
          </cell>
        </row>
        <row r="547">
          <cell r="A547">
            <v>42133</v>
          </cell>
          <cell r="B547">
            <v>0.25</v>
          </cell>
        </row>
        <row r="548">
          <cell r="A548">
            <v>42134</v>
          </cell>
          <cell r="B548">
            <v>0.25</v>
          </cell>
        </row>
        <row r="549">
          <cell r="A549">
            <v>42135</v>
          </cell>
          <cell r="B549">
            <v>0.25</v>
          </cell>
        </row>
        <row r="550">
          <cell r="A550">
            <v>42136</v>
          </cell>
          <cell r="B550">
            <v>0.25</v>
          </cell>
        </row>
        <row r="551">
          <cell r="A551">
            <v>42137</v>
          </cell>
          <cell r="B551">
            <v>0.25</v>
          </cell>
        </row>
        <row r="552">
          <cell r="A552">
            <v>42138</v>
          </cell>
          <cell r="B552">
            <v>0.25</v>
          </cell>
        </row>
        <row r="553">
          <cell r="A553">
            <v>42139</v>
          </cell>
          <cell r="B553">
            <v>0.25</v>
          </cell>
        </row>
        <row r="554">
          <cell r="A554">
            <v>42140</v>
          </cell>
          <cell r="B554">
            <v>0.25</v>
          </cell>
        </row>
        <row r="555">
          <cell r="A555">
            <v>42141</v>
          </cell>
          <cell r="B555">
            <v>0.25</v>
          </cell>
        </row>
        <row r="556">
          <cell r="A556">
            <v>42142</v>
          </cell>
          <cell r="B556">
            <v>0.25</v>
          </cell>
        </row>
        <row r="557">
          <cell r="A557">
            <v>42143</v>
          </cell>
          <cell r="B557">
            <v>0.25</v>
          </cell>
        </row>
        <row r="558">
          <cell r="A558">
            <v>42144</v>
          </cell>
          <cell r="B558">
            <v>0.25</v>
          </cell>
        </row>
        <row r="559">
          <cell r="A559">
            <v>42145</v>
          </cell>
          <cell r="B559">
            <v>0.25</v>
          </cell>
        </row>
        <row r="560">
          <cell r="A560">
            <v>42146</v>
          </cell>
          <cell r="B560">
            <v>0.25</v>
          </cell>
        </row>
        <row r="561">
          <cell r="A561">
            <v>42147</v>
          </cell>
          <cell r="B561">
            <v>0.25</v>
          </cell>
        </row>
        <row r="562">
          <cell r="A562">
            <v>42148</v>
          </cell>
          <cell r="B562">
            <v>0.25</v>
          </cell>
        </row>
        <row r="563">
          <cell r="A563">
            <v>42149</v>
          </cell>
          <cell r="B563">
            <v>0.25</v>
          </cell>
        </row>
        <row r="564">
          <cell r="A564">
            <v>42150</v>
          </cell>
          <cell r="B564">
            <v>0.25</v>
          </cell>
        </row>
        <row r="565">
          <cell r="A565">
            <v>42151</v>
          </cell>
          <cell r="B565">
            <v>0.25</v>
          </cell>
        </row>
        <row r="566">
          <cell r="A566">
            <v>42152</v>
          </cell>
          <cell r="B566">
            <v>0.25</v>
          </cell>
        </row>
        <row r="567">
          <cell r="A567">
            <v>42153</v>
          </cell>
          <cell r="B567">
            <v>0.25</v>
          </cell>
        </row>
        <row r="568">
          <cell r="A568">
            <v>42154</v>
          </cell>
          <cell r="B568">
            <v>0.25</v>
          </cell>
        </row>
        <row r="569">
          <cell r="A569">
            <v>42155</v>
          </cell>
          <cell r="B569">
            <v>0.25</v>
          </cell>
        </row>
        <row r="570">
          <cell r="A570">
            <v>42156</v>
          </cell>
          <cell r="B570">
            <v>0.25</v>
          </cell>
        </row>
        <row r="571">
          <cell r="A571">
            <v>42157</v>
          </cell>
          <cell r="B571">
            <v>0.25</v>
          </cell>
        </row>
        <row r="572">
          <cell r="A572">
            <v>42158</v>
          </cell>
          <cell r="B572">
            <v>0.25</v>
          </cell>
        </row>
        <row r="573">
          <cell r="A573">
            <v>42159</v>
          </cell>
          <cell r="B573">
            <v>0.25</v>
          </cell>
        </row>
        <row r="574">
          <cell r="A574">
            <v>42160</v>
          </cell>
          <cell r="B574">
            <v>0.25</v>
          </cell>
        </row>
        <row r="575">
          <cell r="A575">
            <v>42161</v>
          </cell>
          <cell r="B575">
            <v>0.25</v>
          </cell>
        </row>
        <row r="576">
          <cell r="A576">
            <v>42162</v>
          </cell>
          <cell r="B576">
            <v>0.25</v>
          </cell>
        </row>
        <row r="577">
          <cell r="A577">
            <v>42163</v>
          </cell>
          <cell r="B577">
            <v>0.25</v>
          </cell>
        </row>
        <row r="578">
          <cell r="A578">
            <v>42164</v>
          </cell>
          <cell r="B578">
            <v>0.25</v>
          </cell>
        </row>
        <row r="579">
          <cell r="A579">
            <v>42165</v>
          </cell>
          <cell r="B579">
            <v>0.25</v>
          </cell>
        </row>
        <row r="580">
          <cell r="A580">
            <v>42166</v>
          </cell>
          <cell r="B580">
            <v>0.25</v>
          </cell>
        </row>
        <row r="581">
          <cell r="A581">
            <v>42167</v>
          </cell>
          <cell r="B581">
            <v>0.25</v>
          </cell>
        </row>
        <row r="582">
          <cell r="A582">
            <v>42168</v>
          </cell>
          <cell r="B582">
            <v>0.25</v>
          </cell>
        </row>
        <row r="583">
          <cell r="A583">
            <v>42169</v>
          </cell>
          <cell r="B583">
            <v>0.25</v>
          </cell>
        </row>
        <row r="584">
          <cell r="A584">
            <v>42170</v>
          </cell>
          <cell r="B584">
            <v>0.25</v>
          </cell>
        </row>
        <row r="585">
          <cell r="A585">
            <v>42171</v>
          </cell>
          <cell r="B585">
            <v>0.25</v>
          </cell>
        </row>
        <row r="586">
          <cell r="A586">
            <v>42172</v>
          </cell>
          <cell r="B586">
            <v>0.25</v>
          </cell>
        </row>
        <row r="587">
          <cell r="A587">
            <v>42173</v>
          </cell>
          <cell r="B587">
            <v>0.25</v>
          </cell>
        </row>
        <row r="588">
          <cell r="A588">
            <v>42174</v>
          </cell>
          <cell r="B588">
            <v>0.25</v>
          </cell>
        </row>
        <row r="589">
          <cell r="A589">
            <v>42175</v>
          </cell>
          <cell r="B589">
            <v>0.25</v>
          </cell>
        </row>
        <row r="590">
          <cell r="A590">
            <v>42176</v>
          </cell>
          <cell r="B590">
            <v>0.25</v>
          </cell>
        </row>
        <row r="591">
          <cell r="A591">
            <v>42177</v>
          </cell>
          <cell r="B591">
            <v>0.25</v>
          </cell>
        </row>
        <row r="592">
          <cell r="A592">
            <v>42178</v>
          </cell>
          <cell r="B592">
            <v>0.25</v>
          </cell>
        </row>
        <row r="593">
          <cell r="A593">
            <v>42179</v>
          </cell>
          <cell r="B593">
            <v>0.25</v>
          </cell>
        </row>
        <row r="594">
          <cell r="A594">
            <v>42180</v>
          </cell>
          <cell r="B594">
            <v>0.25</v>
          </cell>
        </row>
        <row r="595">
          <cell r="A595">
            <v>42181</v>
          </cell>
          <cell r="B595">
            <v>0.25</v>
          </cell>
        </row>
        <row r="596">
          <cell r="A596">
            <v>42182</v>
          </cell>
          <cell r="B596">
            <v>0.25</v>
          </cell>
        </row>
        <row r="597">
          <cell r="A597">
            <v>42183</v>
          </cell>
          <cell r="B597">
            <v>0.25</v>
          </cell>
        </row>
        <row r="598">
          <cell r="A598">
            <v>42184</v>
          </cell>
          <cell r="B598">
            <v>0.25</v>
          </cell>
        </row>
        <row r="599">
          <cell r="A599">
            <v>42185</v>
          </cell>
          <cell r="B599">
            <v>0.25</v>
          </cell>
        </row>
        <row r="600">
          <cell r="A600">
            <v>42186</v>
          </cell>
          <cell r="B600">
            <v>0.25</v>
          </cell>
        </row>
        <row r="601">
          <cell r="A601">
            <v>42187</v>
          </cell>
          <cell r="B601">
            <v>0.25</v>
          </cell>
        </row>
        <row r="602">
          <cell r="A602">
            <v>42188</v>
          </cell>
          <cell r="B602">
            <v>0.25</v>
          </cell>
        </row>
        <row r="603">
          <cell r="A603">
            <v>42189</v>
          </cell>
          <cell r="B603">
            <v>0.25</v>
          </cell>
        </row>
        <row r="604">
          <cell r="A604">
            <v>42190</v>
          </cell>
          <cell r="B604">
            <v>0.25</v>
          </cell>
        </row>
        <row r="605">
          <cell r="A605">
            <v>42191</v>
          </cell>
          <cell r="B605">
            <v>0.25</v>
          </cell>
        </row>
        <row r="606">
          <cell r="A606">
            <v>42192</v>
          </cell>
          <cell r="B606">
            <v>0.25</v>
          </cell>
        </row>
        <row r="607">
          <cell r="A607">
            <v>42193</v>
          </cell>
          <cell r="B607">
            <v>0.25</v>
          </cell>
        </row>
        <row r="608">
          <cell r="A608">
            <v>42194</v>
          </cell>
          <cell r="B608">
            <v>0.25</v>
          </cell>
        </row>
        <row r="609">
          <cell r="A609">
            <v>42195</v>
          </cell>
          <cell r="B609">
            <v>0.25</v>
          </cell>
        </row>
        <row r="610">
          <cell r="A610">
            <v>42196</v>
          </cell>
          <cell r="B610">
            <v>0.25</v>
          </cell>
        </row>
        <row r="611">
          <cell r="A611">
            <v>42197</v>
          </cell>
          <cell r="B611">
            <v>0.25</v>
          </cell>
        </row>
        <row r="612">
          <cell r="A612">
            <v>42198</v>
          </cell>
          <cell r="B612">
            <v>0.25</v>
          </cell>
        </row>
        <row r="613">
          <cell r="A613">
            <v>42199</v>
          </cell>
          <cell r="B613">
            <v>0.25</v>
          </cell>
        </row>
        <row r="614">
          <cell r="A614">
            <v>42200</v>
          </cell>
          <cell r="B614">
            <v>0.25</v>
          </cell>
        </row>
        <row r="615">
          <cell r="A615">
            <v>42201</v>
          </cell>
          <cell r="B615">
            <v>0.25</v>
          </cell>
        </row>
        <row r="616">
          <cell r="A616">
            <v>42202</v>
          </cell>
          <cell r="B616">
            <v>0.25</v>
          </cell>
        </row>
        <row r="617">
          <cell r="A617">
            <v>42203</v>
          </cell>
          <cell r="B617">
            <v>0.25</v>
          </cell>
        </row>
        <row r="618">
          <cell r="A618">
            <v>42204</v>
          </cell>
          <cell r="B618">
            <v>0.25</v>
          </cell>
        </row>
        <row r="619">
          <cell r="A619">
            <v>42205</v>
          </cell>
          <cell r="B619">
            <v>0.25</v>
          </cell>
        </row>
        <row r="620">
          <cell r="A620">
            <v>42206</v>
          </cell>
          <cell r="B620">
            <v>0.25</v>
          </cell>
        </row>
        <row r="621">
          <cell r="A621">
            <v>42207</v>
          </cell>
          <cell r="B621">
            <v>0.25</v>
          </cell>
        </row>
        <row r="622">
          <cell r="A622">
            <v>42208</v>
          </cell>
          <cell r="B622">
            <v>0.25</v>
          </cell>
        </row>
        <row r="623">
          <cell r="A623">
            <v>42209</v>
          </cell>
          <cell r="B623">
            <v>0.25</v>
          </cell>
        </row>
        <row r="624">
          <cell r="A624">
            <v>42210</v>
          </cell>
          <cell r="B624">
            <v>0.25</v>
          </cell>
        </row>
        <row r="625">
          <cell r="A625">
            <v>42211</v>
          </cell>
          <cell r="B625">
            <v>0.25</v>
          </cell>
        </row>
        <row r="626">
          <cell r="A626">
            <v>42212</v>
          </cell>
          <cell r="B626">
            <v>0.25</v>
          </cell>
        </row>
        <row r="627">
          <cell r="A627">
            <v>42213</v>
          </cell>
          <cell r="B627">
            <v>0.25</v>
          </cell>
        </row>
        <row r="628">
          <cell r="A628">
            <v>42214</v>
          </cell>
          <cell r="B628">
            <v>0.25</v>
          </cell>
        </row>
        <row r="629">
          <cell r="A629">
            <v>42215</v>
          </cell>
          <cell r="B629">
            <v>0.25</v>
          </cell>
        </row>
        <row r="630">
          <cell r="A630">
            <v>42216</v>
          </cell>
          <cell r="B630">
            <v>0.25</v>
          </cell>
        </row>
        <row r="631">
          <cell r="A631">
            <v>42217</v>
          </cell>
          <cell r="B631">
            <v>0.25</v>
          </cell>
        </row>
        <row r="632">
          <cell r="A632">
            <v>42218</v>
          </cell>
          <cell r="B632">
            <v>0.25</v>
          </cell>
        </row>
        <row r="633">
          <cell r="A633">
            <v>42219</v>
          </cell>
          <cell r="B633">
            <v>0.25</v>
          </cell>
        </row>
        <row r="634">
          <cell r="A634">
            <v>42220</v>
          </cell>
          <cell r="B634">
            <v>0.25</v>
          </cell>
        </row>
        <row r="635">
          <cell r="A635">
            <v>42221</v>
          </cell>
          <cell r="B635">
            <v>0.25</v>
          </cell>
        </row>
        <row r="636">
          <cell r="A636">
            <v>42222</v>
          </cell>
          <cell r="B636">
            <v>0.25</v>
          </cell>
        </row>
        <row r="637">
          <cell r="A637">
            <v>42223</v>
          </cell>
          <cell r="B637">
            <v>0.25</v>
          </cell>
        </row>
        <row r="638">
          <cell r="A638">
            <v>42224</v>
          </cell>
          <cell r="B638">
            <v>0.25</v>
          </cell>
        </row>
        <row r="639">
          <cell r="A639">
            <v>42225</v>
          </cell>
          <cell r="B639">
            <v>0.25</v>
          </cell>
        </row>
        <row r="640">
          <cell r="A640">
            <v>42226</v>
          </cell>
          <cell r="B640">
            <v>0.25</v>
          </cell>
        </row>
        <row r="641">
          <cell r="A641">
            <v>42227</v>
          </cell>
          <cell r="B641">
            <v>0.25</v>
          </cell>
        </row>
        <row r="642">
          <cell r="A642">
            <v>42228</v>
          </cell>
          <cell r="B642">
            <v>0.25</v>
          </cell>
        </row>
        <row r="643">
          <cell r="A643">
            <v>42229</v>
          </cell>
          <cell r="B643">
            <v>0.25</v>
          </cell>
        </row>
        <row r="644">
          <cell r="A644">
            <v>42230</v>
          </cell>
          <cell r="B644">
            <v>0.25</v>
          </cell>
        </row>
        <row r="645">
          <cell r="A645">
            <v>42231</v>
          </cell>
          <cell r="B645">
            <v>0.25</v>
          </cell>
        </row>
        <row r="646">
          <cell r="A646">
            <v>42232</v>
          </cell>
          <cell r="B646">
            <v>0.25</v>
          </cell>
        </row>
        <row r="647">
          <cell r="A647">
            <v>42233</v>
          </cell>
          <cell r="B647">
            <v>0.25</v>
          </cell>
        </row>
        <row r="648">
          <cell r="A648">
            <v>42234</v>
          </cell>
          <cell r="B648">
            <v>0.25</v>
          </cell>
        </row>
        <row r="649">
          <cell r="A649">
            <v>42235</v>
          </cell>
          <cell r="B649">
            <v>0.25</v>
          </cell>
        </row>
        <row r="650">
          <cell r="A650">
            <v>42236</v>
          </cell>
          <cell r="B650">
            <v>0.25</v>
          </cell>
        </row>
        <row r="651">
          <cell r="A651">
            <v>42237</v>
          </cell>
          <cell r="B651">
            <v>0.25</v>
          </cell>
        </row>
        <row r="652">
          <cell r="A652">
            <v>42238</v>
          </cell>
          <cell r="B652">
            <v>0.25</v>
          </cell>
        </row>
        <row r="653">
          <cell r="A653">
            <v>42239</v>
          </cell>
          <cell r="B653">
            <v>0.25</v>
          </cell>
        </row>
        <row r="654">
          <cell r="A654">
            <v>42240</v>
          </cell>
          <cell r="B654">
            <v>0.25</v>
          </cell>
        </row>
        <row r="655">
          <cell r="A655">
            <v>42241</v>
          </cell>
          <cell r="B655">
            <v>0.25</v>
          </cell>
        </row>
        <row r="656">
          <cell r="A656">
            <v>42242</v>
          </cell>
          <cell r="B656">
            <v>0.25</v>
          </cell>
        </row>
        <row r="657">
          <cell r="A657">
            <v>42243</v>
          </cell>
          <cell r="B657">
            <v>0.25</v>
          </cell>
        </row>
        <row r="658">
          <cell r="A658">
            <v>42244</v>
          </cell>
          <cell r="B658">
            <v>0.25</v>
          </cell>
        </row>
        <row r="659">
          <cell r="A659">
            <v>42245</v>
          </cell>
          <cell r="B659">
            <v>0.25</v>
          </cell>
        </row>
        <row r="660">
          <cell r="A660">
            <v>42246</v>
          </cell>
          <cell r="B660">
            <v>0.25</v>
          </cell>
        </row>
        <row r="661">
          <cell r="A661">
            <v>42247</v>
          </cell>
          <cell r="B661">
            <v>0.25</v>
          </cell>
        </row>
        <row r="662">
          <cell r="A662">
            <v>42248</v>
          </cell>
          <cell r="B662">
            <v>0.25</v>
          </cell>
        </row>
        <row r="663">
          <cell r="A663">
            <v>42249</v>
          </cell>
          <cell r="B663">
            <v>0.25</v>
          </cell>
        </row>
        <row r="664">
          <cell r="A664">
            <v>42250</v>
          </cell>
          <cell r="B664">
            <v>0.25</v>
          </cell>
        </row>
        <row r="665">
          <cell r="A665">
            <v>42251</v>
          </cell>
          <cell r="B665">
            <v>0.25</v>
          </cell>
        </row>
        <row r="666">
          <cell r="A666">
            <v>42252</v>
          </cell>
          <cell r="B666">
            <v>0.25</v>
          </cell>
        </row>
        <row r="667">
          <cell r="A667">
            <v>42253</v>
          </cell>
          <cell r="B667">
            <v>0.25</v>
          </cell>
        </row>
        <row r="668">
          <cell r="A668">
            <v>42254</v>
          </cell>
          <cell r="B668">
            <v>0.25</v>
          </cell>
        </row>
        <row r="669">
          <cell r="A669">
            <v>42255</v>
          </cell>
          <cell r="B669">
            <v>0.25</v>
          </cell>
        </row>
        <row r="670">
          <cell r="A670">
            <v>42256</v>
          </cell>
          <cell r="B670">
            <v>0.25</v>
          </cell>
        </row>
        <row r="671">
          <cell r="A671">
            <v>42257</v>
          </cell>
          <cell r="B671">
            <v>0.25</v>
          </cell>
        </row>
        <row r="672">
          <cell r="A672">
            <v>42258</v>
          </cell>
          <cell r="B672">
            <v>0.25</v>
          </cell>
        </row>
        <row r="673">
          <cell r="A673">
            <v>42259</v>
          </cell>
          <cell r="B673">
            <v>0.25</v>
          </cell>
        </row>
        <row r="674">
          <cell r="A674">
            <v>42260</v>
          </cell>
          <cell r="B674">
            <v>0.25</v>
          </cell>
        </row>
        <row r="675">
          <cell r="A675">
            <v>42261</v>
          </cell>
          <cell r="B675">
            <v>0.25</v>
          </cell>
        </row>
        <row r="676">
          <cell r="A676">
            <v>42262</v>
          </cell>
          <cell r="B676">
            <v>0.25</v>
          </cell>
        </row>
        <row r="677">
          <cell r="A677">
            <v>42263</v>
          </cell>
          <cell r="B677">
            <v>0.25</v>
          </cell>
        </row>
        <row r="678">
          <cell r="A678">
            <v>42264</v>
          </cell>
          <cell r="B678">
            <v>0.25</v>
          </cell>
        </row>
        <row r="679">
          <cell r="A679">
            <v>42265</v>
          </cell>
          <cell r="B679">
            <v>0.25</v>
          </cell>
        </row>
        <row r="680">
          <cell r="A680">
            <v>42266</v>
          </cell>
          <cell r="B680">
            <v>0.25</v>
          </cell>
        </row>
        <row r="681">
          <cell r="A681">
            <v>42267</v>
          </cell>
          <cell r="B681">
            <v>0.25</v>
          </cell>
        </row>
        <row r="682">
          <cell r="A682">
            <v>42268</v>
          </cell>
          <cell r="B682">
            <v>0.25</v>
          </cell>
        </row>
        <row r="683">
          <cell r="A683">
            <v>42269</v>
          </cell>
          <cell r="B683">
            <v>0.25</v>
          </cell>
        </row>
        <row r="684">
          <cell r="A684">
            <v>42270</v>
          </cell>
          <cell r="B684">
            <v>0.25</v>
          </cell>
        </row>
        <row r="685">
          <cell r="A685">
            <v>42271</v>
          </cell>
          <cell r="B685">
            <v>0.25</v>
          </cell>
        </row>
        <row r="686">
          <cell r="A686">
            <v>42272</v>
          </cell>
          <cell r="B686">
            <v>0.25</v>
          </cell>
        </row>
        <row r="687">
          <cell r="A687">
            <v>42273</v>
          </cell>
          <cell r="B687">
            <v>0.25</v>
          </cell>
        </row>
        <row r="688">
          <cell r="A688">
            <v>42274</v>
          </cell>
          <cell r="B688">
            <v>0.25</v>
          </cell>
        </row>
        <row r="689">
          <cell r="A689">
            <v>42275</v>
          </cell>
          <cell r="B689">
            <v>0.25</v>
          </cell>
        </row>
        <row r="690">
          <cell r="A690">
            <v>42276</v>
          </cell>
          <cell r="B690">
            <v>0.25</v>
          </cell>
        </row>
        <row r="691">
          <cell r="A691">
            <v>42277</v>
          </cell>
          <cell r="B691">
            <v>0.25</v>
          </cell>
        </row>
        <row r="692">
          <cell r="A692">
            <v>42278</v>
          </cell>
          <cell r="B692">
            <v>0.25</v>
          </cell>
        </row>
        <row r="693">
          <cell r="A693">
            <v>42279</v>
          </cell>
          <cell r="B693">
            <v>0.25</v>
          </cell>
        </row>
        <row r="694">
          <cell r="A694">
            <v>42280</v>
          </cell>
          <cell r="B694">
            <v>0.25</v>
          </cell>
        </row>
        <row r="695">
          <cell r="A695">
            <v>42281</v>
          </cell>
          <cell r="B695">
            <v>0.25</v>
          </cell>
        </row>
        <row r="696">
          <cell r="A696">
            <v>42282</v>
          </cell>
          <cell r="B696">
            <v>0.25</v>
          </cell>
        </row>
        <row r="697">
          <cell r="A697">
            <v>42283</v>
          </cell>
          <cell r="B697">
            <v>0.25</v>
          </cell>
        </row>
        <row r="698">
          <cell r="A698">
            <v>42284</v>
          </cell>
          <cell r="B698">
            <v>0.25</v>
          </cell>
        </row>
        <row r="699">
          <cell r="A699">
            <v>42285</v>
          </cell>
          <cell r="B699">
            <v>0.25</v>
          </cell>
        </row>
        <row r="700">
          <cell r="A700">
            <v>42286</v>
          </cell>
          <cell r="B700">
            <v>0.25</v>
          </cell>
        </row>
        <row r="701">
          <cell r="A701">
            <v>42287</v>
          </cell>
          <cell r="B701">
            <v>0.25</v>
          </cell>
        </row>
        <row r="702">
          <cell r="A702">
            <v>42288</v>
          </cell>
          <cell r="B702">
            <v>0.25</v>
          </cell>
        </row>
        <row r="703">
          <cell r="A703">
            <v>42289</v>
          </cell>
          <cell r="B703">
            <v>0.25</v>
          </cell>
        </row>
        <row r="704">
          <cell r="A704">
            <v>42290</v>
          </cell>
          <cell r="B704">
            <v>0.25</v>
          </cell>
        </row>
        <row r="705">
          <cell r="A705">
            <v>42291</v>
          </cell>
          <cell r="B705">
            <v>0.25</v>
          </cell>
        </row>
        <row r="706">
          <cell r="A706">
            <v>42292</v>
          </cell>
          <cell r="B706">
            <v>0.25</v>
          </cell>
        </row>
        <row r="707">
          <cell r="A707">
            <v>42293</v>
          </cell>
          <cell r="B707">
            <v>0.25</v>
          </cell>
        </row>
        <row r="708">
          <cell r="A708">
            <v>42294</v>
          </cell>
          <cell r="B708">
            <v>0.25</v>
          </cell>
        </row>
        <row r="709">
          <cell r="A709">
            <v>42295</v>
          </cell>
          <cell r="B709">
            <v>0.25</v>
          </cell>
        </row>
        <row r="710">
          <cell r="A710">
            <v>42296</v>
          </cell>
          <cell r="B710">
            <v>0.25</v>
          </cell>
        </row>
        <row r="711">
          <cell r="A711">
            <v>42297</v>
          </cell>
          <cell r="B711">
            <v>0.25</v>
          </cell>
        </row>
        <row r="712">
          <cell r="A712">
            <v>42298</v>
          </cell>
          <cell r="B712">
            <v>0.25</v>
          </cell>
        </row>
        <row r="713">
          <cell r="A713">
            <v>42299</v>
          </cell>
          <cell r="B713">
            <v>0.25</v>
          </cell>
        </row>
        <row r="714">
          <cell r="A714">
            <v>42300</v>
          </cell>
          <cell r="B714">
            <v>0.25</v>
          </cell>
        </row>
        <row r="715">
          <cell r="A715">
            <v>42301</v>
          </cell>
          <cell r="B715">
            <v>0.25</v>
          </cell>
        </row>
        <row r="716">
          <cell r="A716">
            <v>42302</v>
          </cell>
          <cell r="B716">
            <v>0.25</v>
          </cell>
        </row>
        <row r="717">
          <cell r="A717">
            <v>42303</v>
          </cell>
          <cell r="B717">
            <v>0.25</v>
          </cell>
        </row>
        <row r="718">
          <cell r="A718">
            <v>42304</v>
          </cell>
          <cell r="B718">
            <v>0.25</v>
          </cell>
        </row>
        <row r="719">
          <cell r="A719">
            <v>42305</v>
          </cell>
          <cell r="B719">
            <v>0.25</v>
          </cell>
        </row>
        <row r="720">
          <cell r="A720">
            <v>42306</v>
          </cell>
          <cell r="B720">
            <v>0.25</v>
          </cell>
        </row>
        <row r="721">
          <cell r="A721">
            <v>42307</v>
          </cell>
          <cell r="B721">
            <v>0.25</v>
          </cell>
        </row>
        <row r="722">
          <cell r="A722">
            <v>42308</v>
          </cell>
          <cell r="B722">
            <v>0.25</v>
          </cell>
        </row>
        <row r="723">
          <cell r="A723">
            <v>42309</v>
          </cell>
          <cell r="B723">
            <v>0.25</v>
          </cell>
        </row>
        <row r="724">
          <cell r="A724">
            <v>42310</v>
          </cell>
          <cell r="B724">
            <v>0.25</v>
          </cell>
        </row>
        <row r="725">
          <cell r="A725">
            <v>42311</v>
          </cell>
          <cell r="B725">
            <v>0.25</v>
          </cell>
        </row>
        <row r="726">
          <cell r="A726">
            <v>42312</v>
          </cell>
          <cell r="B726">
            <v>0.25</v>
          </cell>
        </row>
        <row r="727">
          <cell r="A727">
            <v>42313</v>
          </cell>
          <cell r="B727">
            <v>0.25</v>
          </cell>
        </row>
        <row r="728">
          <cell r="A728">
            <v>42314</v>
          </cell>
          <cell r="B728">
            <v>0.25</v>
          </cell>
        </row>
        <row r="729">
          <cell r="A729">
            <v>42315</v>
          </cell>
          <cell r="B729">
            <v>0.25</v>
          </cell>
        </row>
        <row r="730">
          <cell r="A730">
            <v>42316</v>
          </cell>
          <cell r="B730">
            <v>0.25</v>
          </cell>
        </row>
        <row r="731">
          <cell r="A731">
            <v>42317</v>
          </cell>
          <cell r="B731">
            <v>0.25</v>
          </cell>
        </row>
        <row r="732">
          <cell r="A732">
            <v>42318</v>
          </cell>
          <cell r="B732">
            <v>0.25</v>
          </cell>
        </row>
        <row r="733">
          <cell r="A733">
            <v>42319</v>
          </cell>
          <cell r="B733">
            <v>0.25</v>
          </cell>
        </row>
        <row r="734">
          <cell r="A734">
            <v>42320</v>
          </cell>
          <cell r="B734">
            <v>0.25</v>
          </cell>
        </row>
        <row r="735">
          <cell r="A735">
            <v>42321</v>
          </cell>
          <cell r="B735">
            <v>0.25</v>
          </cell>
        </row>
        <row r="736">
          <cell r="A736">
            <v>42322</v>
          </cell>
          <cell r="B736">
            <v>0.25</v>
          </cell>
        </row>
        <row r="737">
          <cell r="A737">
            <v>42323</v>
          </cell>
          <cell r="B737">
            <v>0.25</v>
          </cell>
        </row>
        <row r="738">
          <cell r="A738">
            <v>42324</v>
          </cell>
          <cell r="B738">
            <v>0.25</v>
          </cell>
        </row>
        <row r="739">
          <cell r="A739">
            <v>42325</v>
          </cell>
          <cell r="B739">
            <v>0.25</v>
          </cell>
        </row>
        <row r="740">
          <cell r="A740">
            <v>42326</v>
          </cell>
          <cell r="B740">
            <v>0.25</v>
          </cell>
        </row>
        <row r="741">
          <cell r="A741">
            <v>42327</v>
          </cell>
          <cell r="B741">
            <v>0.25</v>
          </cell>
        </row>
        <row r="742">
          <cell r="A742">
            <v>42328</v>
          </cell>
          <cell r="B742">
            <v>0.25</v>
          </cell>
        </row>
        <row r="743">
          <cell r="A743">
            <v>42329</v>
          </cell>
          <cell r="B743">
            <v>0.25</v>
          </cell>
        </row>
        <row r="744">
          <cell r="A744">
            <v>42330</v>
          </cell>
          <cell r="B744">
            <v>0.25</v>
          </cell>
        </row>
        <row r="745">
          <cell r="A745">
            <v>42331</v>
          </cell>
          <cell r="B745">
            <v>0.25</v>
          </cell>
        </row>
        <row r="746">
          <cell r="A746">
            <v>42332</v>
          </cell>
          <cell r="B746">
            <v>0.25</v>
          </cell>
        </row>
        <row r="747">
          <cell r="A747">
            <v>42333</v>
          </cell>
          <cell r="B747">
            <v>0.25</v>
          </cell>
        </row>
        <row r="748">
          <cell r="A748">
            <v>42334</v>
          </cell>
          <cell r="B748">
            <v>0.25</v>
          </cell>
        </row>
        <row r="749">
          <cell r="A749">
            <v>42335</v>
          </cell>
          <cell r="B749">
            <v>0.25</v>
          </cell>
        </row>
        <row r="750">
          <cell r="A750">
            <v>42336</v>
          </cell>
          <cell r="B750">
            <v>0.25</v>
          </cell>
        </row>
        <row r="751">
          <cell r="A751">
            <v>42337</v>
          </cell>
          <cell r="B751">
            <v>0.25</v>
          </cell>
        </row>
        <row r="752">
          <cell r="A752">
            <v>42338</v>
          </cell>
          <cell r="B752">
            <v>0.25</v>
          </cell>
        </row>
        <row r="753">
          <cell r="A753">
            <v>42339</v>
          </cell>
          <cell r="B753">
            <v>0.25</v>
          </cell>
        </row>
        <row r="754">
          <cell r="A754">
            <v>42340</v>
          </cell>
          <cell r="B754">
            <v>0.25</v>
          </cell>
        </row>
        <row r="755">
          <cell r="A755">
            <v>42341</v>
          </cell>
          <cell r="B755">
            <v>0.25</v>
          </cell>
        </row>
        <row r="756">
          <cell r="A756">
            <v>42342</v>
          </cell>
          <cell r="B756">
            <v>0.25</v>
          </cell>
        </row>
        <row r="757">
          <cell r="A757">
            <v>42343</v>
          </cell>
          <cell r="B757">
            <v>0.25</v>
          </cell>
        </row>
        <row r="758">
          <cell r="A758">
            <v>42344</v>
          </cell>
          <cell r="B758">
            <v>0.25</v>
          </cell>
        </row>
        <row r="759">
          <cell r="A759">
            <v>42345</v>
          </cell>
          <cell r="B759">
            <v>0.25</v>
          </cell>
        </row>
        <row r="760">
          <cell r="A760">
            <v>42346</v>
          </cell>
          <cell r="B760">
            <v>0.25</v>
          </cell>
        </row>
        <row r="761">
          <cell r="A761">
            <v>42347</v>
          </cell>
          <cell r="B761">
            <v>0.25</v>
          </cell>
        </row>
        <row r="762">
          <cell r="A762">
            <v>42348</v>
          </cell>
          <cell r="B762">
            <v>0.25</v>
          </cell>
        </row>
        <row r="763">
          <cell r="A763">
            <v>42349</v>
          </cell>
          <cell r="B763">
            <v>0.25</v>
          </cell>
        </row>
        <row r="764">
          <cell r="A764">
            <v>42350</v>
          </cell>
          <cell r="B764">
            <v>0.25</v>
          </cell>
        </row>
        <row r="765">
          <cell r="A765">
            <v>42351</v>
          </cell>
          <cell r="B765">
            <v>0.25</v>
          </cell>
        </row>
        <row r="766">
          <cell r="A766">
            <v>42352</v>
          </cell>
          <cell r="B766">
            <v>0.25</v>
          </cell>
        </row>
        <row r="767">
          <cell r="A767">
            <v>42353</v>
          </cell>
          <cell r="B767">
            <v>0.25</v>
          </cell>
        </row>
        <row r="768">
          <cell r="A768">
            <v>42354</v>
          </cell>
          <cell r="B768">
            <v>0.5</v>
          </cell>
        </row>
        <row r="769">
          <cell r="A769">
            <v>42355</v>
          </cell>
          <cell r="B769">
            <v>0.5</v>
          </cell>
        </row>
        <row r="770">
          <cell r="A770">
            <v>42356</v>
          </cell>
          <cell r="B770">
            <v>0.5</v>
          </cell>
        </row>
        <row r="771">
          <cell r="A771">
            <v>42357</v>
          </cell>
          <cell r="B771">
            <v>0.5</v>
          </cell>
        </row>
        <row r="772">
          <cell r="A772">
            <v>42358</v>
          </cell>
          <cell r="B772">
            <v>0.5</v>
          </cell>
        </row>
        <row r="773">
          <cell r="A773">
            <v>42359</v>
          </cell>
          <cell r="B773">
            <v>0.5</v>
          </cell>
        </row>
        <row r="774">
          <cell r="A774">
            <v>42360</v>
          </cell>
          <cell r="B774">
            <v>0.5</v>
          </cell>
        </row>
        <row r="775">
          <cell r="A775">
            <v>42361</v>
          </cell>
          <cell r="B775">
            <v>0.5</v>
          </cell>
        </row>
        <row r="776">
          <cell r="A776">
            <v>42362</v>
          </cell>
          <cell r="B776">
            <v>0.5</v>
          </cell>
        </row>
        <row r="777">
          <cell r="A777">
            <v>42363</v>
          </cell>
          <cell r="B777">
            <v>0.5</v>
          </cell>
        </row>
        <row r="778">
          <cell r="A778">
            <v>42364</v>
          </cell>
          <cell r="B778">
            <v>0.5</v>
          </cell>
        </row>
        <row r="779">
          <cell r="A779">
            <v>42365</v>
          </cell>
          <cell r="B779">
            <v>0.5</v>
          </cell>
        </row>
        <row r="780">
          <cell r="A780">
            <v>42366</v>
          </cell>
          <cell r="B780">
            <v>0.5</v>
          </cell>
        </row>
        <row r="781">
          <cell r="A781">
            <v>42367</v>
          </cell>
          <cell r="B781">
            <v>0.5</v>
          </cell>
        </row>
        <row r="782">
          <cell r="A782">
            <v>42368</v>
          </cell>
          <cell r="B782">
            <v>0.5</v>
          </cell>
        </row>
        <row r="783">
          <cell r="A783">
            <v>42369</v>
          </cell>
          <cell r="B783">
            <v>0.5</v>
          </cell>
        </row>
        <row r="784">
          <cell r="A784">
            <v>42370</v>
          </cell>
          <cell r="B784">
            <v>0.5</v>
          </cell>
        </row>
        <row r="785">
          <cell r="A785">
            <v>42371</v>
          </cell>
          <cell r="B785">
            <v>0.5</v>
          </cell>
        </row>
        <row r="786">
          <cell r="A786">
            <v>42372</v>
          </cell>
          <cell r="B786">
            <v>0.5</v>
          </cell>
        </row>
        <row r="787">
          <cell r="A787">
            <v>42373</v>
          </cell>
          <cell r="B787">
            <v>0.5</v>
          </cell>
        </row>
        <row r="788">
          <cell r="A788">
            <v>42374</v>
          </cell>
          <cell r="B788">
            <v>0.5</v>
          </cell>
        </row>
        <row r="789">
          <cell r="A789">
            <v>42375</v>
          </cell>
          <cell r="B789">
            <v>0.5</v>
          </cell>
        </row>
        <row r="790">
          <cell r="A790">
            <v>42376</v>
          </cell>
          <cell r="B790">
            <v>0.5</v>
          </cell>
        </row>
        <row r="791">
          <cell r="A791">
            <v>42377</v>
          </cell>
          <cell r="B791">
            <v>0.5</v>
          </cell>
        </row>
        <row r="792">
          <cell r="A792">
            <v>42378</v>
          </cell>
          <cell r="B792">
            <v>0.5</v>
          </cell>
        </row>
        <row r="793">
          <cell r="A793">
            <v>42379</v>
          </cell>
          <cell r="B793">
            <v>0.5</v>
          </cell>
        </row>
        <row r="794">
          <cell r="A794">
            <v>42380</v>
          </cell>
          <cell r="B794">
            <v>0.5</v>
          </cell>
        </row>
        <row r="795">
          <cell r="A795">
            <v>42381</v>
          </cell>
          <cell r="B795">
            <v>0.5</v>
          </cell>
        </row>
        <row r="796">
          <cell r="A796">
            <v>42382</v>
          </cell>
          <cell r="B796">
            <v>0.5</v>
          </cell>
        </row>
        <row r="797">
          <cell r="A797">
            <v>42383</v>
          </cell>
          <cell r="B797">
            <v>0.5</v>
          </cell>
        </row>
        <row r="798">
          <cell r="A798">
            <v>42384</v>
          </cell>
          <cell r="B798">
            <v>0.5</v>
          </cell>
        </row>
        <row r="799">
          <cell r="A799">
            <v>42385</v>
          </cell>
          <cell r="B799">
            <v>0.5</v>
          </cell>
        </row>
        <row r="800">
          <cell r="A800">
            <v>42386</v>
          </cell>
          <cell r="B800">
            <v>0.5</v>
          </cell>
        </row>
        <row r="801">
          <cell r="A801">
            <v>42387</v>
          </cell>
          <cell r="B801">
            <v>0.5</v>
          </cell>
        </row>
        <row r="802">
          <cell r="A802">
            <v>42388</v>
          </cell>
          <cell r="B802">
            <v>0.5</v>
          </cell>
        </row>
        <row r="803">
          <cell r="A803">
            <v>42389</v>
          </cell>
          <cell r="B803">
            <v>0.5</v>
          </cell>
        </row>
        <row r="804">
          <cell r="A804">
            <v>42390</v>
          </cell>
          <cell r="B804">
            <v>0.5</v>
          </cell>
        </row>
        <row r="805">
          <cell r="A805">
            <v>42391</v>
          </cell>
          <cell r="B805">
            <v>0.5</v>
          </cell>
        </row>
        <row r="806">
          <cell r="A806">
            <v>42392</v>
          </cell>
          <cell r="B806">
            <v>0.5</v>
          </cell>
        </row>
        <row r="807">
          <cell r="A807">
            <v>42393</v>
          </cell>
          <cell r="B807">
            <v>0.5</v>
          </cell>
        </row>
        <row r="808">
          <cell r="A808">
            <v>42394</v>
          </cell>
          <cell r="B808">
            <v>0.5</v>
          </cell>
        </row>
        <row r="809">
          <cell r="A809">
            <v>42395</v>
          </cell>
          <cell r="B809">
            <v>0.5</v>
          </cell>
        </row>
        <row r="810">
          <cell r="A810">
            <v>42396</v>
          </cell>
          <cell r="B810">
            <v>0.5</v>
          </cell>
        </row>
        <row r="811">
          <cell r="A811">
            <v>42397</v>
          </cell>
          <cell r="B811">
            <v>0.5</v>
          </cell>
        </row>
        <row r="812">
          <cell r="A812">
            <v>42398</v>
          </cell>
          <cell r="B812">
            <v>0.5</v>
          </cell>
        </row>
        <row r="813">
          <cell r="A813">
            <v>42399</v>
          </cell>
          <cell r="B813">
            <v>0.5</v>
          </cell>
        </row>
        <row r="814">
          <cell r="A814">
            <v>42400</v>
          </cell>
          <cell r="B814">
            <v>0.5</v>
          </cell>
        </row>
        <row r="815">
          <cell r="A815">
            <v>42401</v>
          </cell>
          <cell r="B815">
            <v>0.5</v>
          </cell>
        </row>
        <row r="816">
          <cell r="A816">
            <v>42402</v>
          </cell>
          <cell r="B816">
            <v>0.5</v>
          </cell>
        </row>
        <row r="817">
          <cell r="A817">
            <v>42403</v>
          </cell>
          <cell r="B817">
            <v>0.5</v>
          </cell>
        </row>
        <row r="818">
          <cell r="A818">
            <v>42404</v>
          </cell>
          <cell r="B818">
            <v>0.5</v>
          </cell>
        </row>
        <row r="819">
          <cell r="A819">
            <v>42405</v>
          </cell>
          <cell r="B819">
            <v>0.5</v>
          </cell>
        </row>
        <row r="820">
          <cell r="A820">
            <v>42406</v>
          </cell>
          <cell r="B820">
            <v>0.5</v>
          </cell>
        </row>
        <row r="821">
          <cell r="A821">
            <v>42407</v>
          </cell>
          <cell r="B821">
            <v>0.5</v>
          </cell>
        </row>
        <row r="822">
          <cell r="A822">
            <v>42408</v>
          </cell>
          <cell r="B822">
            <v>0.5</v>
          </cell>
        </row>
        <row r="823">
          <cell r="A823">
            <v>42409</v>
          </cell>
          <cell r="B823">
            <v>0.5</v>
          </cell>
        </row>
        <row r="824">
          <cell r="A824">
            <v>42410</v>
          </cell>
          <cell r="B824">
            <v>0.5</v>
          </cell>
        </row>
        <row r="825">
          <cell r="A825">
            <v>42411</v>
          </cell>
          <cell r="B825">
            <v>0.5</v>
          </cell>
        </row>
        <row r="826">
          <cell r="A826">
            <v>42412</v>
          </cell>
          <cell r="B826">
            <v>0.5</v>
          </cell>
        </row>
        <row r="827">
          <cell r="A827">
            <v>42413</v>
          </cell>
          <cell r="B827">
            <v>0.5</v>
          </cell>
        </row>
        <row r="828">
          <cell r="A828">
            <v>42414</v>
          </cell>
          <cell r="B828">
            <v>0.5</v>
          </cell>
        </row>
        <row r="829">
          <cell r="A829">
            <v>42415</v>
          </cell>
          <cell r="B829">
            <v>0.5</v>
          </cell>
        </row>
        <row r="830">
          <cell r="A830">
            <v>42416</v>
          </cell>
          <cell r="B830">
            <v>0.5</v>
          </cell>
        </row>
        <row r="831">
          <cell r="A831">
            <v>42417</v>
          </cell>
          <cell r="B831">
            <v>0.5</v>
          </cell>
        </row>
        <row r="832">
          <cell r="A832">
            <v>42418</v>
          </cell>
          <cell r="B832">
            <v>0.5</v>
          </cell>
        </row>
        <row r="833">
          <cell r="A833">
            <v>42419</v>
          </cell>
          <cell r="B833">
            <v>0.5</v>
          </cell>
        </row>
        <row r="834">
          <cell r="A834">
            <v>42420</v>
          </cell>
          <cell r="B834">
            <v>0.5</v>
          </cell>
        </row>
        <row r="835">
          <cell r="A835">
            <v>42421</v>
          </cell>
          <cell r="B835">
            <v>0.5</v>
          </cell>
        </row>
        <row r="836">
          <cell r="A836">
            <v>42422</v>
          </cell>
          <cell r="B836">
            <v>0.5</v>
          </cell>
        </row>
        <row r="837">
          <cell r="A837">
            <v>42423</v>
          </cell>
          <cell r="B837">
            <v>0.5</v>
          </cell>
        </row>
        <row r="838">
          <cell r="A838">
            <v>42424</v>
          </cell>
          <cell r="B838">
            <v>0.5</v>
          </cell>
        </row>
        <row r="839">
          <cell r="A839">
            <v>42425</v>
          </cell>
          <cell r="B839">
            <v>0.5</v>
          </cell>
        </row>
        <row r="840">
          <cell r="A840">
            <v>42426</v>
          </cell>
          <cell r="B840">
            <v>0.5</v>
          </cell>
        </row>
        <row r="841">
          <cell r="A841">
            <v>42427</v>
          </cell>
          <cell r="B841">
            <v>0.5</v>
          </cell>
        </row>
        <row r="842">
          <cell r="A842">
            <v>42428</v>
          </cell>
          <cell r="B842">
            <v>0.5</v>
          </cell>
        </row>
        <row r="843">
          <cell r="A843">
            <v>42429</v>
          </cell>
          <cell r="B843">
            <v>0.5</v>
          </cell>
        </row>
        <row r="844">
          <cell r="A844">
            <v>42430</v>
          </cell>
          <cell r="B844">
            <v>0.5</v>
          </cell>
        </row>
        <row r="845">
          <cell r="A845">
            <v>42431</v>
          </cell>
          <cell r="B845">
            <v>0.5</v>
          </cell>
        </row>
        <row r="846">
          <cell r="A846">
            <v>42432</v>
          </cell>
          <cell r="B846">
            <v>0.5</v>
          </cell>
        </row>
        <row r="847">
          <cell r="A847">
            <v>42433</v>
          </cell>
          <cell r="B847">
            <v>0.5</v>
          </cell>
        </row>
        <row r="848">
          <cell r="A848">
            <v>42434</v>
          </cell>
          <cell r="B848">
            <v>0.5</v>
          </cell>
        </row>
        <row r="849">
          <cell r="A849">
            <v>42435</v>
          </cell>
          <cell r="B849">
            <v>0.5</v>
          </cell>
        </row>
        <row r="850">
          <cell r="A850">
            <v>42436</v>
          </cell>
          <cell r="B850">
            <v>0.5</v>
          </cell>
        </row>
        <row r="851">
          <cell r="A851">
            <v>42437</v>
          </cell>
          <cell r="B851">
            <v>0.5</v>
          </cell>
        </row>
        <row r="852">
          <cell r="A852">
            <v>42438</v>
          </cell>
          <cell r="B852">
            <v>0.5</v>
          </cell>
        </row>
        <row r="853">
          <cell r="A853">
            <v>42439</v>
          </cell>
          <cell r="B853">
            <v>0.5</v>
          </cell>
        </row>
        <row r="854">
          <cell r="A854">
            <v>42440</v>
          </cell>
          <cell r="B854">
            <v>0.5</v>
          </cell>
        </row>
        <row r="855">
          <cell r="A855">
            <v>42441</v>
          </cell>
          <cell r="B855">
            <v>0.5</v>
          </cell>
        </row>
        <row r="856">
          <cell r="A856">
            <v>42442</v>
          </cell>
          <cell r="B856">
            <v>0.5</v>
          </cell>
        </row>
        <row r="857">
          <cell r="A857">
            <v>42443</v>
          </cell>
          <cell r="B857">
            <v>0.5</v>
          </cell>
        </row>
        <row r="858">
          <cell r="A858">
            <v>42444</v>
          </cell>
          <cell r="B858">
            <v>0.5</v>
          </cell>
        </row>
        <row r="859">
          <cell r="A859">
            <v>42445</v>
          </cell>
          <cell r="B859">
            <v>0.5</v>
          </cell>
        </row>
        <row r="860">
          <cell r="A860">
            <v>42446</v>
          </cell>
          <cell r="B860">
            <v>0.5</v>
          </cell>
        </row>
        <row r="861">
          <cell r="A861">
            <v>42447</v>
          </cell>
          <cell r="B861">
            <v>0.5</v>
          </cell>
        </row>
        <row r="862">
          <cell r="A862">
            <v>42448</v>
          </cell>
          <cell r="B862">
            <v>0.5</v>
          </cell>
        </row>
        <row r="863">
          <cell r="A863">
            <v>42449</v>
          </cell>
          <cell r="B863">
            <v>0.5</v>
          </cell>
        </row>
        <row r="864">
          <cell r="A864">
            <v>42450</v>
          </cell>
          <cell r="B864">
            <v>0.5</v>
          </cell>
        </row>
        <row r="865">
          <cell r="A865">
            <v>42451</v>
          </cell>
          <cell r="B865">
            <v>0.5</v>
          </cell>
        </row>
        <row r="866">
          <cell r="A866">
            <v>42452</v>
          </cell>
          <cell r="B866">
            <v>0.5</v>
          </cell>
        </row>
        <row r="867">
          <cell r="A867">
            <v>42453</v>
          </cell>
          <cell r="B867">
            <v>0.5</v>
          </cell>
        </row>
        <row r="868">
          <cell r="A868">
            <v>42454</v>
          </cell>
          <cell r="B868">
            <v>0.5</v>
          </cell>
        </row>
        <row r="869">
          <cell r="A869">
            <v>42455</v>
          </cell>
          <cell r="B869">
            <v>0.5</v>
          </cell>
        </row>
        <row r="870">
          <cell r="A870">
            <v>42456</v>
          </cell>
          <cell r="B870">
            <v>0.5</v>
          </cell>
        </row>
        <row r="871">
          <cell r="A871">
            <v>42457</v>
          </cell>
          <cell r="B871">
            <v>0.5</v>
          </cell>
        </row>
        <row r="872">
          <cell r="A872">
            <v>42458</v>
          </cell>
          <cell r="B872">
            <v>0.5</v>
          </cell>
        </row>
        <row r="873">
          <cell r="A873">
            <v>42459</v>
          </cell>
          <cell r="B873">
            <v>0.5</v>
          </cell>
        </row>
        <row r="874">
          <cell r="A874">
            <v>42460</v>
          </cell>
          <cell r="B874">
            <v>0.5</v>
          </cell>
        </row>
        <row r="875">
          <cell r="A875">
            <v>42461</v>
          </cell>
          <cell r="B875">
            <v>0.5</v>
          </cell>
        </row>
        <row r="876">
          <cell r="A876">
            <v>42462</v>
          </cell>
          <cell r="B876">
            <v>0.5</v>
          </cell>
        </row>
        <row r="877">
          <cell r="A877">
            <v>42463</v>
          </cell>
          <cell r="B877">
            <v>0.5</v>
          </cell>
        </row>
        <row r="878">
          <cell r="A878">
            <v>42464</v>
          </cell>
          <cell r="B878">
            <v>0.5</v>
          </cell>
        </row>
        <row r="879">
          <cell r="A879">
            <v>42465</v>
          </cell>
          <cell r="B879">
            <v>0.5</v>
          </cell>
        </row>
        <row r="880">
          <cell r="A880">
            <v>42466</v>
          </cell>
          <cell r="B880">
            <v>0.5</v>
          </cell>
        </row>
        <row r="881">
          <cell r="A881">
            <v>42467</v>
          </cell>
          <cell r="B881">
            <v>0.5</v>
          </cell>
        </row>
        <row r="882">
          <cell r="A882">
            <v>42468</v>
          </cell>
          <cell r="B882">
            <v>0.5</v>
          </cell>
        </row>
        <row r="883">
          <cell r="A883">
            <v>42469</v>
          </cell>
          <cell r="B883">
            <v>0.5</v>
          </cell>
        </row>
        <row r="884">
          <cell r="A884">
            <v>42470</v>
          </cell>
          <cell r="B884">
            <v>0.5</v>
          </cell>
        </row>
        <row r="885">
          <cell r="A885">
            <v>42471</v>
          </cell>
          <cell r="B885">
            <v>0.5</v>
          </cell>
        </row>
        <row r="886">
          <cell r="A886">
            <v>42472</v>
          </cell>
          <cell r="B886">
            <v>0.5</v>
          </cell>
        </row>
        <row r="887">
          <cell r="A887">
            <v>42473</v>
          </cell>
          <cell r="B887">
            <v>0.5</v>
          </cell>
        </row>
        <row r="888">
          <cell r="A888">
            <v>42474</v>
          </cell>
          <cell r="B888">
            <v>0.5</v>
          </cell>
        </row>
        <row r="889">
          <cell r="A889">
            <v>42475</v>
          </cell>
          <cell r="B889">
            <v>0.5</v>
          </cell>
        </row>
        <row r="890">
          <cell r="A890">
            <v>42476</v>
          </cell>
          <cell r="B890">
            <v>0.5</v>
          </cell>
        </row>
        <row r="891">
          <cell r="A891">
            <v>42477</v>
          </cell>
          <cell r="B891">
            <v>0.5</v>
          </cell>
        </row>
        <row r="892">
          <cell r="A892">
            <v>42478</v>
          </cell>
          <cell r="B892">
            <v>0.5</v>
          </cell>
        </row>
        <row r="893">
          <cell r="A893">
            <v>42479</v>
          </cell>
          <cell r="B893">
            <v>0.5</v>
          </cell>
        </row>
        <row r="894">
          <cell r="A894">
            <v>42480</v>
          </cell>
          <cell r="B894">
            <v>0.5</v>
          </cell>
        </row>
        <row r="895">
          <cell r="A895">
            <v>42481</v>
          </cell>
          <cell r="B895">
            <v>0.5</v>
          </cell>
        </row>
        <row r="896">
          <cell r="A896">
            <v>42482</v>
          </cell>
          <cell r="B896">
            <v>0.5</v>
          </cell>
        </row>
        <row r="897">
          <cell r="A897">
            <v>42483</v>
          </cell>
          <cell r="B897">
            <v>0.5</v>
          </cell>
        </row>
        <row r="898">
          <cell r="A898">
            <v>42484</v>
          </cell>
          <cell r="B898">
            <v>0.5</v>
          </cell>
        </row>
        <row r="899">
          <cell r="A899">
            <v>42485</v>
          </cell>
          <cell r="B899">
            <v>0.5</v>
          </cell>
        </row>
        <row r="900">
          <cell r="A900">
            <v>42486</v>
          </cell>
          <cell r="B900">
            <v>0.5</v>
          </cell>
        </row>
        <row r="901">
          <cell r="A901">
            <v>42487</v>
          </cell>
          <cell r="B901">
            <v>0.5</v>
          </cell>
        </row>
        <row r="902">
          <cell r="A902">
            <v>42488</v>
          </cell>
          <cell r="B902">
            <v>0.5</v>
          </cell>
        </row>
        <row r="903">
          <cell r="A903">
            <v>42489</v>
          </cell>
          <cell r="B903">
            <v>0.5</v>
          </cell>
        </row>
        <row r="904">
          <cell r="A904">
            <v>42490</v>
          </cell>
          <cell r="B904">
            <v>0.5</v>
          </cell>
        </row>
        <row r="905">
          <cell r="A905">
            <v>42491</v>
          </cell>
          <cell r="B905">
            <v>0.5</v>
          </cell>
        </row>
        <row r="906">
          <cell r="A906">
            <v>42492</v>
          </cell>
          <cell r="B906">
            <v>0.5</v>
          </cell>
        </row>
        <row r="907">
          <cell r="A907">
            <v>42493</v>
          </cell>
          <cell r="B907">
            <v>0.5</v>
          </cell>
        </row>
        <row r="908">
          <cell r="A908">
            <v>42494</v>
          </cell>
          <cell r="B908">
            <v>0.5</v>
          </cell>
        </row>
        <row r="909">
          <cell r="A909">
            <v>42495</v>
          </cell>
          <cell r="B909">
            <v>0.5</v>
          </cell>
        </row>
        <row r="910">
          <cell r="A910">
            <v>42496</v>
          </cell>
          <cell r="B910">
            <v>0.5</v>
          </cell>
        </row>
        <row r="911">
          <cell r="A911">
            <v>42497</v>
          </cell>
          <cell r="B911">
            <v>0.5</v>
          </cell>
        </row>
        <row r="912">
          <cell r="A912">
            <v>42498</v>
          </cell>
          <cell r="B912">
            <v>0.5</v>
          </cell>
        </row>
        <row r="913">
          <cell r="A913">
            <v>42499</v>
          </cell>
          <cell r="B913">
            <v>0.5</v>
          </cell>
        </row>
        <row r="914">
          <cell r="A914">
            <v>42500</v>
          </cell>
          <cell r="B914">
            <v>0.5</v>
          </cell>
        </row>
        <row r="915">
          <cell r="A915">
            <v>42501</v>
          </cell>
          <cell r="B915">
            <v>0.5</v>
          </cell>
        </row>
        <row r="916">
          <cell r="A916">
            <v>42502</v>
          </cell>
          <cell r="B916">
            <v>0.5</v>
          </cell>
        </row>
        <row r="917">
          <cell r="A917">
            <v>42503</v>
          </cell>
          <cell r="B917">
            <v>0.5</v>
          </cell>
        </row>
        <row r="918">
          <cell r="A918">
            <v>42504</v>
          </cell>
          <cell r="B918">
            <v>0.5</v>
          </cell>
        </row>
        <row r="919">
          <cell r="A919">
            <v>42505</v>
          </cell>
          <cell r="B919">
            <v>0.5</v>
          </cell>
        </row>
        <row r="920">
          <cell r="A920">
            <v>42506</v>
          </cell>
          <cell r="B920">
            <v>0.5</v>
          </cell>
        </row>
        <row r="921">
          <cell r="A921">
            <v>42507</v>
          </cell>
          <cell r="B921">
            <v>0.5</v>
          </cell>
        </row>
        <row r="922">
          <cell r="A922">
            <v>42508</v>
          </cell>
          <cell r="B922">
            <v>0.5</v>
          </cell>
        </row>
        <row r="923">
          <cell r="A923">
            <v>42509</v>
          </cell>
          <cell r="B923">
            <v>0.5</v>
          </cell>
        </row>
        <row r="924">
          <cell r="A924">
            <v>42510</v>
          </cell>
          <cell r="B924">
            <v>0.5</v>
          </cell>
        </row>
        <row r="925">
          <cell r="A925">
            <v>42511</v>
          </cell>
          <cell r="B925">
            <v>0.5</v>
          </cell>
        </row>
        <row r="926">
          <cell r="A926">
            <v>42512</v>
          </cell>
          <cell r="B926">
            <v>0.5</v>
          </cell>
        </row>
        <row r="927">
          <cell r="A927">
            <v>42513</v>
          </cell>
          <cell r="B927">
            <v>0.5</v>
          </cell>
        </row>
        <row r="928">
          <cell r="A928">
            <v>42514</v>
          </cell>
          <cell r="B928">
            <v>0.5</v>
          </cell>
        </row>
        <row r="929">
          <cell r="A929">
            <v>42515</v>
          </cell>
          <cell r="B929">
            <v>0.5</v>
          </cell>
        </row>
        <row r="930">
          <cell r="A930">
            <v>42516</v>
          </cell>
          <cell r="B930">
            <v>0.5</v>
          </cell>
        </row>
        <row r="931">
          <cell r="A931">
            <v>42517</v>
          </cell>
          <cell r="B931">
            <v>0.5</v>
          </cell>
        </row>
        <row r="932">
          <cell r="A932">
            <v>42518</v>
          </cell>
          <cell r="B932">
            <v>0.5</v>
          </cell>
        </row>
        <row r="933">
          <cell r="A933">
            <v>42519</v>
          </cell>
          <cell r="B933">
            <v>0.5</v>
          </cell>
        </row>
        <row r="934">
          <cell r="A934">
            <v>42520</v>
          </cell>
          <cell r="B934">
            <v>0.5</v>
          </cell>
        </row>
        <row r="935">
          <cell r="A935">
            <v>42521</v>
          </cell>
          <cell r="B935">
            <v>0.5</v>
          </cell>
        </row>
        <row r="936">
          <cell r="A936">
            <v>42522</v>
          </cell>
          <cell r="B936">
            <v>0.5</v>
          </cell>
        </row>
        <row r="937">
          <cell r="A937">
            <v>42523</v>
          </cell>
          <cell r="B937">
            <v>0.5</v>
          </cell>
        </row>
        <row r="938">
          <cell r="A938">
            <v>42524</v>
          </cell>
          <cell r="B938">
            <v>0.5</v>
          </cell>
        </row>
        <row r="939">
          <cell r="A939">
            <v>42525</v>
          </cell>
          <cell r="B939">
            <v>0.5</v>
          </cell>
        </row>
        <row r="940">
          <cell r="A940">
            <v>42526</v>
          </cell>
          <cell r="B940">
            <v>0.5</v>
          </cell>
        </row>
        <row r="941">
          <cell r="A941">
            <v>42527</v>
          </cell>
          <cell r="B941">
            <v>0.5</v>
          </cell>
        </row>
        <row r="942">
          <cell r="A942">
            <v>42528</v>
          </cell>
          <cell r="B942">
            <v>0.5</v>
          </cell>
        </row>
        <row r="943">
          <cell r="A943">
            <v>42529</v>
          </cell>
          <cell r="B943">
            <v>0.5</v>
          </cell>
        </row>
        <row r="944">
          <cell r="A944">
            <v>42530</v>
          </cell>
          <cell r="B944">
            <v>0.5</v>
          </cell>
        </row>
        <row r="945">
          <cell r="A945">
            <v>42531</v>
          </cell>
          <cell r="B945">
            <v>0.5</v>
          </cell>
        </row>
        <row r="946">
          <cell r="A946">
            <v>42532</v>
          </cell>
          <cell r="B946">
            <v>0.5</v>
          </cell>
        </row>
        <row r="947">
          <cell r="A947">
            <v>42533</v>
          </cell>
          <cell r="B947">
            <v>0.5</v>
          </cell>
        </row>
        <row r="948">
          <cell r="A948">
            <v>42534</v>
          </cell>
          <cell r="B948">
            <v>0.5</v>
          </cell>
        </row>
        <row r="949">
          <cell r="A949">
            <v>42535</v>
          </cell>
          <cell r="B949">
            <v>0.5</v>
          </cell>
        </row>
        <row r="950">
          <cell r="A950">
            <v>42536</v>
          </cell>
          <cell r="B950">
            <v>0.5</v>
          </cell>
        </row>
        <row r="951">
          <cell r="A951">
            <v>42537</v>
          </cell>
          <cell r="B951">
            <v>0.5</v>
          </cell>
        </row>
        <row r="952">
          <cell r="A952">
            <v>42538</v>
          </cell>
          <cell r="B952">
            <v>0.5</v>
          </cell>
        </row>
        <row r="953">
          <cell r="A953">
            <v>42539</v>
          </cell>
          <cell r="B953">
            <v>0.5</v>
          </cell>
        </row>
        <row r="954">
          <cell r="A954">
            <v>42540</v>
          </cell>
          <cell r="B954">
            <v>0.5</v>
          </cell>
        </row>
        <row r="955">
          <cell r="A955">
            <v>42541</v>
          </cell>
          <cell r="B955">
            <v>0.5</v>
          </cell>
        </row>
        <row r="956">
          <cell r="A956">
            <v>42542</v>
          </cell>
          <cell r="B956">
            <v>0.5</v>
          </cell>
        </row>
        <row r="957">
          <cell r="A957">
            <v>42543</v>
          </cell>
          <cell r="B957">
            <v>0.5</v>
          </cell>
        </row>
        <row r="958">
          <cell r="A958">
            <v>42544</v>
          </cell>
          <cell r="B958">
            <v>0.5</v>
          </cell>
        </row>
        <row r="959">
          <cell r="A959">
            <v>42545</v>
          </cell>
          <cell r="B959">
            <v>0.5</v>
          </cell>
        </row>
        <row r="960">
          <cell r="A960">
            <v>42546</v>
          </cell>
          <cell r="B960">
            <v>0.5</v>
          </cell>
        </row>
        <row r="961">
          <cell r="A961">
            <v>42547</v>
          </cell>
          <cell r="B961">
            <v>0.5</v>
          </cell>
        </row>
        <row r="962">
          <cell r="A962">
            <v>42548</v>
          </cell>
          <cell r="B962">
            <v>0.5</v>
          </cell>
        </row>
        <row r="963">
          <cell r="A963">
            <v>42549</v>
          </cell>
          <cell r="B963">
            <v>0.5</v>
          </cell>
        </row>
        <row r="964">
          <cell r="A964">
            <v>42550</v>
          </cell>
          <cell r="B964">
            <v>0.5</v>
          </cell>
        </row>
        <row r="965">
          <cell r="A965">
            <v>42551</v>
          </cell>
          <cell r="B965">
            <v>0.5</v>
          </cell>
        </row>
        <row r="966">
          <cell r="A966">
            <v>42552</v>
          </cell>
          <cell r="B966">
            <v>0.5</v>
          </cell>
        </row>
        <row r="967">
          <cell r="A967">
            <v>42553</v>
          </cell>
          <cell r="B967">
            <v>0.5</v>
          </cell>
        </row>
        <row r="968">
          <cell r="A968">
            <v>42554</v>
          </cell>
          <cell r="B968">
            <v>0.5</v>
          </cell>
        </row>
        <row r="969">
          <cell r="A969">
            <v>42555</v>
          </cell>
          <cell r="B969">
            <v>0.5</v>
          </cell>
        </row>
        <row r="970">
          <cell r="A970">
            <v>42556</v>
          </cell>
          <cell r="B970">
            <v>0.5</v>
          </cell>
        </row>
        <row r="971">
          <cell r="A971">
            <v>42557</v>
          </cell>
          <cell r="B971">
            <v>0.5</v>
          </cell>
        </row>
        <row r="972">
          <cell r="A972">
            <v>42558</v>
          </cell>
          <cell r="B972">
            <v>0.5</v>
          </cell>
        </row>
        <row r="973">
          <cell r="A973">
            <v>42559</v>
          </cell>
          <cell r="B973">
            <v>0.5</v>
          </cell>
        </row>
        <row r="974">
          <cell r="A974">
            <v>42560</v>
          </cell>
          <cell r="B974">
            <v>0.5</v>
          </cell>
        </row>
        <row r="975">
          <cell r="A975">
            <v>42561</v>
          </cell>
          <cell r="B975">
            <v>0.5</v>
          </cell>
        </row>
        <row r="976">
          <cell r="A976">
            <v>42562</v>
          </cell>
          <cell r="B976">
            <v>0.5</v>
          </cell>
        </row>
        <row r="977">
          <cell r="A977">
            <v>42563</v>
          </cell>
          <cell r="B977">
            <v>0.5</v>
          </cell>
        </row>
        <row r="978">
          <cell r="A978">
            <v>42564</v>
          </cell>
          <cell r="B978">
            <v>0.5</v>
          </cell>
        </row>
        <row r="979">
          <cell r="A979">
            <v>42565</v>
          </cell>
          <cell r="B979">
            <v>0.5</v>
          </cell>
        </row>
        <row r="980">
          <cell r="A980">
            <v>42566</v>
          </cell>
          <cell r="B980">
            <v>0.5</v>
          </cell>
        </row>
        <row r="981">
          <cell r="A981">
            <v>42567</v>
          </cell>
          <cell r="B981">
            <v>0.5</v>
          </cell>
        </row>
        <row r="982">
          <cell r="A982">
            <v>42568</v>
          </cell>
          <cell r="B982">
            <v>0.5</v>
          </cell>
        </row>
        <row r="983">
          <cell r="A983">
            <v>42569</v>
          </cell>
          <cell r="B983">
            <v>0.5</v>
          </cell>
        </row>
        <row r="984">
          <cell r="A984">
            <v>42570</v>
          </cell>
          <cell r="B984">
            <v>0.5</v>
          </cell>
        </row>
        <row r="985">
          <cell r="A985">
            <v>42571</v>
          </cell>
          <cell r="B985">
            <v>0.5</v>
          </cell>
        </row>
        <row r="986">
          <cell r="A986">
            <v>42572</v>
          </cell>
          <cell r="B986">
            <v>0.5</v>
          </cell>
        </row>
        <row r="987">
          <cell r="A987">
            <v>42573</v>
          </cell>
          <cell r="B987">
            <v>0.5</v>
          </cell>
        </row>
        <row r="988">
          <cell r="A988">
            <v>42574</v>
          </cell>
          <cell r="B988">
            <v>0.5</v>
          </cell>
        </row>
        <row r="989">
          <cell r="A989">
            <v>42575</v>
          </cell>
          <cell r="B989">
            <v>0.5</v>
          </cell>
        </row>
        <row r="990">
          <cell r="A990">
            <v>42576</v>
          </cell>
          <cell r="B990">
            <v>0.5</v>
          </cell>
        </row>
        <row r="991">
          <cell r="A991">
            <v>42577</v>
          </cell>
          <cell r="B991">
            <v>0.5</v>
          </cell>
        </row>
        <row r="992">
          <cell r="A992">
            <v>42578</v>
          </cell>
          <cell r="B992">
            <v>0.5</v>
          </cell>
        </row>
        <row r="993">
          <cell r="A993">
            <v>42579</v>
          </cell>
          <cell r="B993">
            <v>0.5</v>
          </cell>
        </row>
        <row r="994">
          <cell r="A994">
            <v>42580</v>
          </cell>
          <cell r="B994">
            <v>0.5</v>
          </cell>
        </row>
        <row r="995">
          <cell r="A995">
            <v>42581</v>
          </cell>
          <cell r="B995">
            <v>0.5</v>
          </cell>
        </row>
        <row r="996">
          <cell r="A996">
            <v>42582</v>
          </cell>
          <cell r="B996">
            <v>0.5</v>
          </cell>
        </row>
        <row r="997">
          <cell r="A997">
            <v>42583</v>
          </cell>
          <cell r="B997">
            <v>0.5</v>
          </cell>
        </row>
        <row r="998">
          <cell r="A998">
            <v>42584</v>
          </cell>
          <cell r="B998">
            <v>0.5</v>
          </cell>
        </row>
        <row r="999">
          <cell r="A999">
            <v>42585</v>
          </cell>
          <cell r="B999">
            <v>0.5</v>
          </cell>
        </row>
        <row r="1000">
          <cell r="A1000">
            <v>42586</v>
          </cell>
          <cell r="B1000">
            <v>0.5</v>
          </cell>
        </row>
        <row r="1001">
          <cell r="A1001">
            <v>42587</v>
          </cell>
          <cell r="B1001">
            <v>0.5</v>
          </cell>
        </row>
        <row r="1002">
          <cell r="A1002">
            <v>42588</v>
          </cell>
          <cell r="B1002">
            <v>0.5</v>
          </cell>
        </row>
        <row r="1003">
          <cell r="A1003">
            <v>42589</v>
          </cell>
          <cell r="B1003">
            <v>0.5</v>
          </cell>
        </row>
        <row r="1004">
          <cell r="A1004">
            <v>42590</v>
          </cell>
          <cell r="B1004">
            <v>0.5</v>
          </cell>
        </row>
        <row r="1005">
          <cell r="A1005">
            <v>42591</v>
          </cell>
          <cell r="B1005">
            <v>0.5</v>
          </cell>
        </row>
        <row r="1006">
          <cell r="A1006">
            <v>42592</v>
          </cell>
          <cell r="B1006">
            <v>0.5</v>
          </cell>
        </row>
        <row r="1007">
          <cell r="A1007">
            <v>42593</v>
          </cell>
          <cell r="B1007">
            <v>0.5</v>
          </cell>
        </row>
        <row r="1008">
          <cell r="A1008">
            <v>42594</v>
          </cell>
          <cell r="B1008">
            <v>0.5</v>
          </cell>
        </row>
        <row r="1009">
          <cell r="A1009">
            <v>42595</v>
          </cell>
          <cell r="B1009">
            <v>0.5</v>
          </cell>
        </row>
        <row r="1010">
          <cell r="A1010">
            <v>42596</v>
          </cell>
          <cell r="B1010">
            <v>0.5</v>
          </cell>
        </row>
        <row r="1011">
          <cell r="A1011">
            <v>42597</v>
          </cell>
          <cell r="B1011">
            <v>0.5</v>
          </cell>
        </row>
        <row r="1012">
          <cell r="A1012">
            <v>42598</v>
          </cell>
          <cell r="B1012">
            <v>0.5</v>
          </cell>
        </row>
        <row r="1013">
          <cell r="A1013">
            <v>42599</v>
          </cell>
          <cell r="B1013">
            <v>0.5</v>
          </cell>
        </row>
        <row r="1014">
          <cell r="A1014">
            <v>42600</v>
          </cell>
          <cell r="B1014">
            <v>0.5</v>
          </cell>
        </row>
        <row r="1015">
          <cell r="A1015">
            <v>42601</v>
          </cell>
          <cell r="B1015">
            <v>0.5</v>
          </cell>
        </row>
        <row r="1016">
          <cell r="A1016">
            <v>42602</v>
          </cell>
          <cell r="B1016">
            <v>0.5</v>
          </cell>
        </row>
        <row r="1017">
          <cell r="A1017">
            <v>42603</v>
          </cell>
          <cell r="B1017">
            <v>0.5</v>
          </cell>
        </row>
        <row r="1018">
          <cell r="A1018">
            <v>42604</v>
          </cell>
          <cell r="B1018">
            <v>0.5</v>
          </cell>
        </row>
        <row r="1019">
          <cell r="A1019">
            <v>42605</v>
          </cell>
          <cell r="B1019">
            <v>0.5</v>
          </cell>
        </row>
        <row r="1020">
          <cell r="A1020">
            <v>42606</v>
          </cell>
          <cell r="B1020">
            <v>0.5</v>
          </cell>
        </row>
        <row r="1021">
          <cell r="A1021">
            <v>42607</v>
          </cell>
          <cell r="B1021">
            <v>0.5</v>
          </cell>
        </row>
        <row r="1022">
          <cell r="A1022">
            <v>42608</v>
          </cell>
          <cell r="B1022">
            <v>0.5</v>
          </cell>
        </row>
        <row r="1023">
          <cell r="A1023">
            <v>42609</v>
          </cell>
          <cell r="B1023">
            <v>0.5</v>
          </cell>
        </row>
        <row r="1024">
          <cell r="A1024">
            <v>42610</v>
          </cell>
          <cell r="B1024">
            <v>0.5</v>
          </cell>
        </row>
        <row r="1025">
          <cell r="A1025">
            <v>42611</v>
          </cell>
          <cell r="B1025">
            <v>0.5</v>
          </cell>
        </row>
        <row r="1026">
          <cell r="A1026">
            <v>42612</v>
          </cell>
          <cell r="B1026">
            <v>0.5</v>
          </cell>
        </row>
        <row r="1027">
          <cell r="A1027">
            <v>42613</v>
          </cell>
          <cell r="B1027">
            <v>0.5</v>
          </cell>
        </row>
        <row r="1028">
          <cell r="A1028">
            <v>42614</v>
          </cell>
          <cell r="B1028">
            <v>0.5</v>
          </cell>
        </row>
        <row r="1029">
          <cell r="A1029">
            <v>42615</v>
          </cell>
          <cell r="B1029">
            <v>0.5</v>
          </cell>
        </row>
        <row r="1030">
          <cell r="A1030">
            <v>42616</v>
          </cell>
          <cell r="B1030">
            <v>0.5</v>
          </cell>
        </row>
        <row r="1031">
          <cell r="A1031">
            <v>42617</v>
          </cell>
          <cell r="B1031">
            <v>0.5</v>
          </cell>
        </row>
        <row r="1032">
          <cell r="A1032">
            <v>42618</v>
          </cell>
          <cell r="B1032">
            <v>0.5</v>
          </cell>
        </row>
        <row r="1033">
          <cell r="A1033">
            <v>42619</v>
          </cell>
          <cell r="B1033">
            <v>0.5</v>
          </cell>
        </row>
        <row r="1034">
          <cell r="A1034">
            <v>42620</v>
          </cell>
          <cell r="B1034">
            <v>0.5</v>
          </cell>
        </row>
        <row r="1035">
          <cell r="A1035">
            <v>42621</v>
          </cell>
          <cell r="B1035">
            <v>0.5</v>
          </cell>
        </row>
        <row r="1036">
          <cell r="A1036">
            <v>42622</v>
          </cell>
          <cell r="B1036">
            <v>0.5</v>
          </cell>
        </row>
        <row r="1037">
          <cell r="A1037">
            <v>42623</v>
          </cell>
          <cell r="B1037">
            <v>0.5</v>
          </cell>
        </row>
        <row r="1038">
          <cell r="A1038">
            <v>42624</v>
          </cell>
          <cell r="B1038">
            <v>0.5</v>
          </cell>
        </row>
        <row r="1039">
          <cell r="A1039">
            <v>42625</v>
          </cell>
          <cell r="B1039">
            <v>0.5</v>
          </cell>
        </row>
        <row r="1040">
          <cell r="A1040">
            <v>42626</v>
          </cell>
          <cell r="B1040">
            <v>0.5</v>
          </cell>
        </row>
        <row r="1041">
          <cell r="A1041">
            <v>42627</v>
          </cell>
          <cell r="B1041">
            <v>0.5</v>
          </cell>
        </row>
        <row r="1042">
          <cell r="A1042">
            <v>42628</v>
          </cell>
          <cell r="B1042">
            <v>0.5</v>
          </cell>
        </row>
        <row r="1043">
          <cell r="A1043">
            <v>42629</v>
          </cell>
          <cell r="B1043">
            <v>0.5</v>
          </cell>
        </row>
        <row r="1044">
          <cell r="A1044">
            <v>42630</v>
          </cell>
          <cell r="B1044">
            <v>0.5</v>
          </cell>
        </row>
        <row r="1045">
          <cell r="A1045">
            <v>42631</v>
          </cell>
          <cell r="B1045">
            <v>0.5</v>
          </cell>
        </row>
        <row r="1046">
          <cell r="A1046">
            <v>42632</v>
          </cell>
          <cell r="B1046">
            <v>0.5</v>
          </cell>
        </row>
        <row r="1047">
          <cell r="A1047">
            <v>42633</v>
          </cell>
          <cell r="B1047">
            <v>0.5</v>
          </cell>
        </row>
        <row r="1048">
          <cell r="A1048">
            <v>42634</v>
          </cell>
          <cell r="B1048">
            <v>0.5</v>
          </cell>
        </row>
        <row r="1049">
          <cell r="A1049">
            <v>42635</v>
          </cell>
          <cell r="B1049">
            <v>0.5</v>
          </cell>
        </row>
        <row r="1050">
          <cell r="A1050">
            <v>42636</v>
          </cell>
          <cell r="B1050">
            <v>0.5</v>
          </cell>
        </row>
        <row r="1051">
          <cell r="A1051">
            <v>42637</v>
          </cell>
          <cell r="B1051">
            <v>0.5</v>
          </cell>
        </row>
        <row r="1052">
          <cell r="A1052">
            <v>42638</v>
          </cell>
          <cell r="B1052">
            <v>0.5</v>
          </cell>
        </row>
        <row r="1053">
          <cell r="A1053">
            <v>42639</v>
          </cell>
          <cell r="B1053">
            <v>0.5</v>
          </cell>
        </row>
        <row r="1054">
          <cell r="A1054">
            <v>42640</v>
          </cell>
          <cell r="B1054">
            <v>0.5</v>
          </cell>
        </row>
        <row r="1055">
          <cell r="A1055">
            <v>42641</v>
          </cell>
          <cell r="B1055">
            <v>0.5</v>
          </cell>
        </row>
        <row r="1056">
          <cell r="A1056">
            <v>42642</v>
          </cell>
          <cell r="B1056">
            <v>0.5</v>
          </cell>
        </row>
        <row r="1057">
          <cell r="A1057">
            <v>42643</v>
          </cell>
          <cell r="B1057">
            <v>0.5</v>
          </cell>
        </row>
        <row r="1058">
          <cell r="A1058">
            <v>42644</v>
          </cell>
          <cell r="B1058">
            <v>0.5</v>
          </cell>
        </row>
        <row r="1059">
          <cell r="A1059">
            <v>42645</v>
          </cell>
          <cell r="B1059">
            <v>0.5</v>
          </cell>
        </row>
        <row r="1060">
          <cell r="A1060">
            <v>42646</v>
          </cell>
          <cell r="B1060">
            <v>0.5</v>
          </cell>
        </row>
        <row r="1061">
          <cell r="A1061">
            <v>42647</v>
          </cell>
          <cell r="B1061">
            <v>0.5</v>
          </cell>
        </row>
        <row r="1062">
          <cell r="A1062">
            <v>42648</v>
          </cell>
          <cell r="B1062">
            <v>0.5</v>
          </cell>
        </row>
        <row r="1063">
          <cell r="A1063">
            <v>42649</v>
          </cell>
          <cell r="B1063">
            <v>0.5</v>
          </cell>
        </row>
        <row r="1064">
          <cell r="A1064">
            <v>42650</v>
          </cell>
          <cell r="B1064">
            <v>0.5</v>
          </cell>
        </row>
        <row r="1065">
          <cell r="A1065">
            <v>42651</v>
          </cell>
          <cell r="B1065">
            <v>0.5</v>
          </cell>
        </row>
        <row r="1066">
          <cell r="A1066">
            <v>42652</v>
          </cell>
          <cell r="B1066">
            <v>0.5</v>
          </cell>
        </row>
        <row r="1067">
          <cell r="A1067">
            <v>42653</v>
          </cell>
          <cell r="B1067">
            <v>0.5</v>
          </cell>
        </row>
        <row r="1068">
          <cell r="A1068">
            <v>42654</v>
          </cell>
          <cell r="B1068">
            <v>0.5</v>
          </cell>
        </row>
        <row r="1069">
          <cell r="A1069">
            <v>42655</v>
          </cell>
          <cell r="B1069">
            <v>0.5</v>
          </cell>
        </row>
        <row r="1070">
          <cell r="A1070">
            <v>42656</v>
          </cell>
          <cell r="B1070">
            <v>0.5</v>
          </cell>
        </row>
        <row r="1071">
          <cell r="A1071">
            <v>42657</v>
          </cell>
          <cell r="B1071">
            <v>0.5</v>
          </cell>
        </row>
        <row r="1072">
          <cell r="A1072">
            <v>42658</v>
          </cell>
          <cell r="B1072">
            <v>0.5</v>
          </cell>
        </row>
        <row r="1073">
          <cell r="A1073">
            <v>42659</v>
          </cell>
          <cell r="B1073">
            <v>0.5</v>
          </cell>
        </row>
        <row r="1074">
          <cell r="A1074">
            <v>42660</v>
          </cell>
          <cell r="B1074">
            <v>0.5</v>
          </cell>
        </row>
        <row r="1075">
          <cell r="A1075">
            <v>42661</v>
          </cell>
          <cell r="B1075">
            <v>0.5</v>
          </cell>
        </row>
        <row r="1076">
          <cell r="A1076">
            <v>42662</v>
          </cell>
          <cell r="B1076">
            <v>0.5</v>
          </cell>
        </row>
        <row r="1077">
          <cell r="A1077">
            <v>42663</v>
          </cell>
          <cell r="B1077">
            <v>0.5</v>
          </cell>
        </row>
        <row r="1078">
          <cell r="A1078">
            <v>42664</v>
          </cell>
          <cell r="B1078">
            <v>0.5</v>
          </cell>
        </row>
        <row r="1079">
          <cell r="A1079">
            <v>42665</v>
          </cell>
          <cell r="B1079">
            <v>0.5</v>
          </cell>
        </row>
        <row r="1080">
          <cell r="A1080">
            <v>42666</v>
          </cell>
          <cell r="B1080">
            <v>0.5</v>
          </cell>
        </row>
        <row r="1081">
          <cell r="A1081">
            <v>42667</v>
          </cell>
          <cell r="B1081">
            <v>0.5</v>
          </cell>
        </row>
        <row r="1082">
          <cell r="A1082">
            <v>42668</v>
          </cell>
          <cell r="B1082">
            <v>0.5</v>
          </cell>
        </row>
        <row r="1083">
          <cell r="A1083">
            <v>42669</v>
          </cell>
          <cell r="B1083">
            <v>0.5</v>
          </cell>
        </row>
        <row r="1084">
          <cell r="A1084">
            <v>42670</v>
          </cell>
          <cell r="B1084">
            <v>0.5</v>
          </cell>
        </row>
        <row r="1085">
          <cell r="A1085">
            <v>42671</v>
          </cell>
          <cell r="B1085">
            <v>0.5</v>
          </cell>
        </row>
        <row r="1086">
          <cell r="A1086">
            <v>42672</v>
          </cell>
          <cell r="B1086">
            <v>0.5</v>
          </cell>
        </row>
        <row r="1087">
          <cell r="A1087">
            <v>42673</v>
          </cell>
          <cell r="B1087">
            <v>0.5</v>
          </cell>
        </row>
        <row r="1088">
          <cell r="A1088">
            <v>42674</v>
          </cell>
          <cell r="B1088">
            <v>0.5</v>
          </cell>
        </row>
        <row r="1089">
          <cell r="A1089">
            <v>42675</v>
          </cell>
          <cell r="B1089">
            <v>0.5</v>
          </cell>
        </row>
        <row r="1090">
          <cell r="A1090">
            <v>42676</v>
          </cell>
          <cell r="B1090">
            <v>0.5</v>
          </cell>
        </row>
        <row r="1091">
          <cell r="A1091">
            <v>42677</v>
          </cell>
          <cell r="B1091">
            <v>0.5</v>
          </cell>
        </row>
        <row r="1092">
          <cell r="A1092">
            <v>42678</v>
          </cell>
          <cell r="B1092">
            <v>0.5</v>
          </cell>
        </row>
        <row r="1093">
          <cell r="A1093">
            <v>42679</v>
          </cell>
          <cell r="B1093">
            <v>0.5</v>
          </cell>
        </row>
        <row r="1094">
          <cell r="A1094">
            <v>42680</v>
          </cell>
          <cell r="B1094">
            <v>0.5</v>
          </cell>
        </row>
        <row r="1095">
          <cell r="A1095">
            <v>42681</v>
          </cell>
          <cell r="B1095">
            <v>0.5</v>
          </cell>
        </row>
        <row r="1096">
          <cell r="A1096">
            <v>42682</v>
          </cell>
          <cell r="B1096">
            <v>0.5</v>
          </cell>
        </row>
        <row r="1097">
          <cell r="A1097">
            <v>42683</v>
          </cell>
          <cell r="B1097">
            <v>0.5</v>
          </cell>
        </row>
        <row r="1098">
          <cell r="A1098">
            <v>42684</v>
          </cell>
          <cell r="B1098">
            <v>0.5</v>
          </cell>
        </row>
        <row r="1099">
          <cell r="A1099">
            <v>42685</v>
          </cell>
          <cell r="B1099">
            <v>0.5</v>
          </cell>
        </row>
        <row r="1100">
          <cell r="A1100">
            <v>42686</v>
          </cell>
          <cell r="B1100">
            <v>0.5</v>
          </cell>
        </row>
        <row r="1101">
          <cell r="A1101">
            <v>42687</v>
          </cell>
          <cell r="B1101">
            <v>0.5</v>
          </cell>
        </row>
        <row r="1102">
          <cell r="A1102">
            <v>42688</v>
          </cell>
          <cell r="B1102">
            <v>0.5</v>
          </cell>
        </row>
        <row r="1103">
          <cell r="A1103">
            <v>42689</v>
          </cell>
          <cell r="B1103">
            <v>0.5</v>
          </cell>
        </row>
        <row r="1104">
          <cell r="A1104">
            <v>42690</v>
          </cell>
          <cell r="B1104">
            <v>0.5</v>
          </cell>
        </row>
        <row r="1105">
          <cell r="A1105">
            <v>42691</v>
          </cell>
          <cell r="B1105">
            <v>0.5</v>
          </cell>
        </row>
        <row r="1106">
          <cell r="A1106">
            <v>42692</v>
          </cell>
          <cell r="B1106">
            <v>0.5</v>
          </cell>
        </row>
        <row r="1107">
          <cell r="A1107">
            <v>42693</v>
          </cell>
          <cell r="B1107">
            <v>0.5</v>
          </cell>
        </row>
        <row r="1108">
          <cell r="A1108">
            <v>42694</v>
          </cell>
          <cell r="B1108">
            <v>0.5</v>
          </cell>
        </row>
        <row r="1109">
          <cell r="A1109">
            <v>42695</v>
          </cell>
          <cell r="B1109">
            <v>0.5</v>
          </cell>
        </row>
        <row r="1110">
          <cell r="A1110">
            <v>42696</v>
          </cell>
          <cell r="B1110">
            <v>0.5</v>
          </cell>
        </row>
        <row r="1111">
          <cell r="A1111">
            <v>42697</v>
          </cell>
          <cell r="B1111">
            <v>0.5</v>
          </cell>
        </row>
        <row r="1112">
          <cell r="A1112">
            <v>42698</v>
          </cell>
          <cell r="B1112">
            <v>0.5</v>
          </cell>
        </row>
        <row r="1113">
          <cell r="A1113">
            <v>42699</v>
          </cell>
          <cell r="B1113">
            <v>0.5</v>
          </cell>
        </row>
        <row r="1114">
          <cell r="A1114">
            <v>42700</v>
          </cell>
          <cell r="B1114">
            <v>0.5</v>
          </cell>
        </row>
        <row r="1115">
          <cell r="A1115">
            <v>42701</v>
          </cell>
          <cell r="B1115">
            <v>0.5</v>
          </cell>
        </row>
        <row r="1116">
          <cell r="A1116">
            <v>42702</v>
          </cell>
          <cell r="B1116">
            <v>0.5</v>
          </cell>
        </row>
        <row r="1117">
          <cell r="A1117">
            <v>42703</v>
          </cell>
          <cell r="B1117">
            <v>0.5</v>
          </cell>
        </row>
        <row r="1118">
          <cell r="A1118">
            <v>42704</v>
          </cell>
          <cell r="B1118">
            <v>0.5</v>
          </cell>
        </row>
        <row r="1119">
          <cell r="A1119">
            <v>42705</v>
          </cell>
          <cell r="B1119">
            <v>0.5</v>
          </cell>
        </row>
        <row r="1120">
          <cell r="A1120">
            <v>42706</v>
          </cell>
          <cell r="B1120">
            <v>0.5</v>
          </cell>
        </row>
        <row r="1121">
          <cell r="A1121">
            <v>42707</v>
          </cell>
          <cell r="B1121">
            <v>0.5</v>
          </cell>
        </row>
        <row r="1122">
          <cell r="A1122">
            <v>42708</v>
          </cell>
          <cell r="B1122">
            <v>0.5</v>
          </cell>
        </row>
        <row r="1123">
          <cell r="A1123">
            <v>42709</v>
          </cell>
          <cell r="B1123">
            <v>0.5</v>
          </cell>
        </row>
        <row r="1124">
          <cell r="A1124">
            <v>42710</v>
          </cell>
          <cell r="B1124">
            <v>0.5</v>
          </cell>
        </row>
        <row r="1125">
          <cell r="A1125">
            <v>42711</v>
          </cell>
          <cell r="B1125">
            <v>0.5</v>
          </cell>
        </row>
        <row r="1126">
          <cell r="A1126">
            <v>42712</v>
          </cell>
          <cell r="B1126">
            <v>0.5</v>
          </cell>
        </row>
        <row r="1127">
          <cell r="A1127">
            <v>42713</v>
          </cell>
          <cell r="B1127">
            <v>0.5</v>
          </cell>
        </row>
        <row r="1128">
          <cell r="A1128">
            <v>42714</v>
          </cell>
          <cell r="B1128">
            <v>0.5</v>
          </cell>
        </row>
        <row r="1129">
          <cell r="A1129">
            <v>42715</v>
          </cell>
          <cell r="B1129">
            <v>0.5</v>
          </cell>
        </row>
        <row r="1130">
          <cell r="A1130">
            <v>42716</v>
          </cell>
          <cell r="B1130">
            <v>0.5</v>
          </cell>
        </row>
        <row r="1131">
          <cell r="A1131">
            <v>42717</v>
          </cell>
          <cell r="B1131">
            <v>0.5</v>
          </cell>
        </row>
        <row r="1132">
          <cell r="A1132">
            <v>42718</v>
          </cell>
          <cell r="B1132">
            <v>0.75</v>
          </cell>
        </row>
        <row r="1133">
          <cell r="A1133">
            <v>42719</v>
          </cell>
          <cell r="B1133">
            <v>0.75</v>
          </cell>
        </row>
        <row r="1134">
          <cell r="A1134">
            <v>42720</v>
          </cell>
          <cell r="B1134">
            <v>0.75</v>
          </cell>
        </row>
        <row r="1135">
          <cell r="A1135">
            <v>42721</v>
          </cell>
          <cell r="B1135">
            <v>0.75</v>
          </cell>
        </row>
        <row r="1136">
          <cell r="A1136">
            <v>42722</v>
          </cell>
          <cell r="B1136">
            <v>0.75</v>
          </cell>
        </row>
        <row r="1137">
          <cell r="A1137">
            <v>42723</v>
          </cell>
          <cell r="B1137">
            <v>0.75</v>
          </cell>
        </row>
        <row r="1138">
          <cell r="A1138">
            <v>42724</v>
          </cell>
          <cell r="B1138">
            <v>0.75</v>
          </cell>
        </row>
        <row r="1139">
          <cell r="A1139">
            <v>42725</v>
          </cell>
          <cell r="B1139">
            <v>0.75</v>
          </cell>
        </row>
        <row r="1140">
          <cell r="A1140">
            <v>42726</v>
          </cell>
          <cell r="B1140">
            <v>0.75</v>
          </cell>
        </row>
        <row r="1141">
          <cell r="A1141">
            <v>42727</v>
          </cell>
          <cell r="B1141">
            <v>0.75</v>
          </cell>
        </row>
        <row r="1142">
          <cell r="A1142">
            <v>42728</v>
          </cell>
          <cell r="B1142">
            <v>0.75</v>
          </cell>
        </row>
        <row r="1143">
          <cell r="A1143">
            <v>42729</v>
          </cell>
          <cell r="B1143">
            <v>0.75</v>
          </cell>
        </row>
        <row r="1144">
          <cell r="A1144">
            <v>42730</v>
          </cell>
          <cell r="B1144">
            <v>0.75</v>
          </cell>
        </row>
        <row r="1145">
          <cell r="A1145">
            <v>42731</v>
          </cell>
          <cell r="B1145">
            <v>0.75</v>
          </cell>
        </row>
        <row r="1146">
          <cell r="A1146">
            <v>42732</v>
          </cell>
          <cell r="B1146">
            <v>0.75</v>
          </cell>
        </row>
        <row r="1147">
          <cell r="A1147">
            <v>42733</v>
          </cell>
          <cell r="B1147">
            <v>0.75</v>
          </cell>
        </row>
        <row r="1148">
          <cell r="A1148">
            <v>42734</v>
          </cell>
          <cell r="B1148">
            <v>0.75</v>
          </cell>
        </row>
        <row r="1149">
          <cell r="A1149">
            <v>42735</v>
          </cell>
          <cell r="B1149">
            <v>0.75</v>
          </cell>
        </row>
        <row r="1150">
          <cell r="A1150">
            <v>42736</v>
          </cell>
          <cell r="B1150">
            <v>0.75</v>
          </cell>
        </row>
        <row r="1151">
          <cell r="A1151">
            <v>42737</v>
          </cell>
          <cell r="B1151">
            <v>0.75</v>
          </cell>
        </row>
        <row r="1152">
          <cell r="A1152">
            <v>42738</v>
          </cell>
          <cell r="B1152">
            <v>0.75</v>
          </cell>
        </row>
        <row r="1153">
          <cell r="A1153">
            <v>42739</v>
          </cell>
          <cell r="B1153">
            <v>0.75</v>
          </cell>
        </row>
        <row r="1154">
          <cell r="A1154">
            <v>42740</v>
          </cell>
          <cell r="B1154">
            <v>0.75</v>
          </cell>
        </row>
        <row r="1155">
          <cell r="A1155">
            <v>42741</v>
          </cell>
          <cell r="B1155">
            <v>0.75</v>
          </cell>
        </row>
        <row r="1156">
          <cell r="A1156">
            <v>42742</v>
          </cell>
          <cell r="B1156">
            <v>0.75</v>
          </cell>
        </row>
        <row r="1157">
          <cell r="A1157">
            <v>42743</v>
          </cell>
          <cell r="B1157">
            <v>0.75</v>
          </cell>
        </row>
        <row r="1158">
          <cell r="A1158">
            <v>42744</v>
          </cell>
          <cell r="B1158">
            <v>0.75</v>
          </cell>
        </row>
        <row r="1159">
          <cell r="A1159">
            <v>42745</v>
          </cell>
          <cell r="B1159">
            <v>0.75</v>
          </cell>
        </row>
        <row r="1160">
          <cell r="A1160">
            <v>42746</v>
          </cell>
          <cell r="B1160">
            <v>0.75</v>
          </cell>
        </row>
        <row r="1161">
          <cell r="A1161">
            <v>42747</v>
          </cell>
          <cell r="B1161">
            <v>0.75</v>
          </cell>
        </row>
        <row r="1162">
          <cell r="A1162">
            <v>42748</v>
          </cell>
          <cell r="B1162">
            <v>0.75</v>
          </cell>
        </row>
        <row r="1163">
          <cell r="A1163">
            <v>42749</v>
          </cell>
          <cell r="B1163">
            <v>0.75</v>
          </cell>
        </row>
        <row r="1164">
          <cell r="A1164">
            <v>42750</v>
          </cell>
          <cell r="B1164">
            <v>0.75</v>
          </cell>
        </row>
        <row r="1165">
          <cell r="A1165">
            <v>42751</v>
          </cell>
          <cell r="B1165">
            <v>0.75</v>
          </cell>
        </row>
        <row r="1166">
          <cell r="A1166">
            <v>42752</v>
          </cell>
          <cell r="B1166">
            <v>0.75</v>
          </cell>
        </row>
        <row r="1167">
          <cell r="A1167">
            <v>42753</v>
          </cell>
          <cell r="B1167">
            <v>0.75</v>
          </cell>
        </row>
        <row r="1168">
          <cell r="A1168">
            <v>42754</v>
          </cell>
          <cell r="B1168">
            <v>0.75</v>
          </cell>
        </row>
        <row r="1169">
          <cell r="A1169">
            <v>42755</v>
          </cell>
          <cell r="B1169">
            <v>0.75</v>
          </cell>
        </row>
        <row r="1170">
          <cell r="A1170">
            <v>42756</v>
          </cell>
          <cell r="B1170">
            <v>0.75</v>
          </cell>
        </row>
        <row r="1171">
          <cell r="A1171">
            <v>42757</v>
          </cell>
          <cell r="B1171">
            <v>0.75</v>
          </cell>
        </row>
        <row r="1172">
          <cell r="A1172">
            <v>42758</v>
          </cell>
          <cell r="B1172">
            <v>0.75</v>
          </cell>
        </row>
        <row r="1173">
          <cell r="A1173">
            <v>42759</v>
          </cell>
          <cell r="B1173">
            <v>0.75</v>
          </cell>
        </row>
        <row r="1174">
          <cell r="A1174">
            <v>42760</v>
          </cell>
          <cell r="B1174">
            <v>0.75</v>
          </cell>
        </row>
        <row r="1175">
          <cell r="A1175">
            <v>42761</v>
          </cell>
          <cell r="B1175">
            <v>0.75</v>
          </cell>
        </row>
        <row r="1176">
          <cell r="A1176">
            <v>42762</v>
          </cell>
          <cell r="B1176">
            <v>0.75</v>
          </cell>
        </row>
        <row r="1177">
          <cell r="A1177">
            <v>42763</v>
          </cell>
          <cell r="B1177">
            <v>0.75</v>
          </cell>
        </row>
        <row r="1178">
          <cell r="A1178">
            <v>42764</v>
          </cell>
          <cell r="B1178">
            <v>0.75</v>
          </cell>
        </row>
        <row r="1179">
          <cell r="A1179">
            <v>42765</v>
          </cell>
          <cell r="B1179">
            <v>0.75</v>
          </cell>
        </row>
        <row r="1180">
          <cell r="A1180">
            <v>42766</v>
          </cell>
          <cell r="B1180">
            <v>0.75</v>
          </cell>
        </row>
        <row r="1181">
          <cell r="A1181">
            <v>42767</v>
          </cell>
          <cell r="B1181">
            <v>0.75</v>
          </cell>
        </row>
        <row r="1182">
          <cell r="A1182">
            <v>42768</v>
          </cell>
          <cell r="B1182">
            <v>0.75</v>
          </cell>
        </row>
        <row r="1183">
          <cell r="A1183">
            <v>42769</v>
          </cell>
          <cell r="B1183">
            <v>0.75</v>
          </cell>
        </row>
        <row r="1184">
          <cell r="A1184">
            <v>42770</v>
          </cell>
          <cell r="B1184">
            <v>0.75</v>
          </cell>
        </row>
        <row r="1185">
          <cell r="A1185">
            <v>42771</v>
          </cell>
          <cell r="B1185">
            <v>0.75</v>
          </cell>
        </row>
        <row r="1186">
          <cell r="A1186">
            <v>42772</v>
          </cell>
          <cell r="B1186">
            <v>0.75</v>
          </cell>
        </row>
        <row r="1187">
          <cell r="A1187">
            <v>42773</v>
          </cell>
          <cell r="B1187">
            <v>0.75</v>
          </cell>
        </row>
        <row r="1188">
          <cell r="A1188">
            <v>42774</v>
          </cell>
          <cell r="B1188">
            <v>0.75</v>
          </cell>
        </row>
        <row r="1189">
          <cell r="A1189">
            <v>42775</v>
          </cell>
          <cell r="B1189">
            <v>0.75</v>
          </cell>
        </row>
        <row r="1190">
          <cell r="A1190">
            <v>42776</v>
          </cell>
          <cell r="B1190">
            <v>0.75</v>
          </cell>
        </row>
        <row r="1191">
          <cell r="A1191">
            <v>42777</v>
          </cell>
          <cell r="B1191">
            <v>0.75</v>
          </cell>
        </row>
        <row r="1192">
          <cell r="A1192">
            <v>42778</v>
          </cell>
          <cell r="B1192">
            <v>0.75</v>
          </cell>
        </row>
        <row r="1193">
          <cell r="A1193">
            <v>42779</v>
          </cell>
          <cell r="B1193">
            <v>0.75</v>
          </cell>
        </row>
        <row r="1194">
          <cell r="A1194">
            <v>42780</v>
          </cell>
          <cell r="B1194">
            <v>0.75</v>
          </cell>
        </row>
        <row r="1195">
          <cell r="A1195">
            <v>42781</v>
          </cell>
          <cell r="B1195">
            <v>0.75</v>
          </cell>
        </row>
        <row r="1196">
          <cell r="A1196">
            <v>42782</v>
          </cell>
          <cell r="B1196">
            <v>0.75</v>
          </cell>
        </row>
        <row r="1197">
          <cell r="A1197">
            <v>42783</v>
          </cell>
          <cell r="B1197">
            <v>0.75</v>
          </cell>
        </row>
        <row r="1198">
          <cell r="A1198">
            <v>42784</v>
          </cell>
          <cell r="B1198">
            <v>0.75</v>
          </cell>
        </row>
        <row r="1199">
          <cell r="A1199">
            <v>42785</v>
          </cell>
          <cell r="B1199">
            <v>0.75</v>
          </cell>
        </row>
        <row r="1200">
          <cell r="A1200">
            <v>42786</v>
          </cell>
          <cell r="B1200">
            <v>0.75</v>
          </cell>
        </row>
        <row r="1201">
          <cell r="A1201">
            <v>42787</v>
          </cell>
          <cell r="B1201">
            <v>0.75</v>
          </cell>
        </row>
        <row r="1202">
          <cell r="A1202">
            <v>42788</v>
          </cell>
          <cell r="B1202">
            <v>0.75</v>
          </cell>
        </row>
        <row r="1203">
          <cell r="A1203">
            <v>42789</v>
          </cell>
          <cell r="B1203">
            <v>0.75</v>
          </cell>
        </row>
        <row r="1204">
          <cell r="A1204">
            <v>42790</v>
          </cell>
          <cell r="B1204">
            <v>0.75</v>
          </cell>
        </row>
        <row r="1205">
          <cell r="A1205">
            <v>42791</v>
          </cell>
          <cell r="B1205">
            <v>0.75</v>
          </cell>
        </row>
        <row r="1206">
          <cell r="A1206">
            <v>42792</v>
          </cell>
          <cell r="B1206">
            <v>0.75</v>
          </cell>
        </row>
        <row r="1207">
          <cell r="A1207">
            <v>42793</v>
          </cell>
          <cell r="B1207">
            <v>0.75</v>
          </cell>
        </row>
        <row r="1208">
          <cell r="A1208">
            <v>42794</v>
          </cell>
          <cell r="B1208">
            <v>0.75</v>
          </cell>
        </row>
        <row r="1209">
          <cell r="A1209">
            <v>42795</v>
          </cell>
          <cell r="B1209">
            <v>0.75</v>
          </cell>
        </row>
        <row r="1210">
          <cell r="A1210">
            <v>42796</v>
          </cell>
          <cell r="B1210">
            <v>0.75</v>
          </cell>
        </row>
        <row r="1211">
          <cell r="A1211">
            <v>42797</v>
          </cell>
          <cell r="B1211">
            <v>0.75</v>
          </cell>
        </row>
        <row r="1212">
          <cell r="A1212">
            <v>42798</v>
          </cell>
          <cell r="B1212">
            <v>0.75</v>
          </cell>
        </row>
        <row r="1213">
          <cell r="A1213">
            <v>42799</v>
          </cell>
          <cell r="B1213">
            <v>0.75</v>
          </cell>
        </row>
        <row r="1214">
          <cell r="A1214">
            <v>42800</v>
          </cell>
          <cell r="B1214">
            <v>0.75</v>
          </cell>
        </row>
        <row r="1215">
          <cell r="A1215">
            <v>42801</v>
          </cell>
          <cell r="B1215">
            <v>0.75</v>
          </cell>
        </row>
        <row r="1216">
          <cell r="A1216">
            <v>42802</v>
          </cell>
          <cell r="B1216">
            <v>0.75</v>
          </cell>
        </row>
        <row r="1217">
          <cell r="A1217">
            <v>42803</v>
          </cell>
          <cell r="B1217">
            <v>0.75</v>
          </cell>
        </row>
        <row r="1218">
          <cell r="A1218">
            <v>42804</v>
          </cell>
          <cell r="B1218">
            <v>0.75</v>
          </cell>
        </row>
        <row r="1219">
          <cell r="A1219">
            <v>42805</v>
          </cell>
          <cell r="B1219">
            <v>0.75</v>
          </cell>
        </row>
        <row r="1220">
          <cell r="A1220">
            <v>42806</v>
          </cell>
          <cell r="B1220">
            <v>0.75</v>
          </cell>
        </row>
        <row r="1221">
          <cell r="A1221">
            <v>42807</v>
          </cell>
          <cell r="B1221">
            <v>0.75</v>
          </cell>
        </row>
        <row r="1222">
          <cell r="A1222">
            <v>42808</v>
          </cell>
          <cell r="B1222">
            <v>0.75</v>
          </cell>
        </row>
        <row r="1223">
          <cell r="A1223">
            <v>42809</v>
          </cell>
          <cell r="B1223">
            <v>0.75</v>
          </cell>
        </row>
        <row r="1224">
          <cell r="A1224">
            <v>42810</v>
          </cell>
          <cell r="B1224">
            <v>1</v>
          </cell>
        </row>
        <row r="1225">
          <cell r="A1225">
            <v>42811</v>
          </cell>
          <cell r="B1225">
            <v>1</v>
          </cell>
        </row>
        <row r="1226">
          <cell r="A1226">
            <v>42812</v>
          </cell>
          <cell r="B1226">
            <v>1</v>
          </cell>
        </row>
        <row r="1227">
          <cell r="A1227">
            <v>42813</v>
          </cell>
          <cell r="B1227">
            <v>1</v>
          </cell>
        </row>
        <row r="1228">
          <cell r="A1228">
            <v>42814</v>
          </cell>
          <cell r="B1228">
            <v>1</v>
          </cell>
        </row>
        <row r="1229">
          <cell r="A1229">
            <v>42815</v>
          </cell>
          <cell r="B1229">
            <v>1</v>
          </cell>
        </row>
        <row r="1230">
          <cell r="A1230">
            <v>42816</v>
          </cell>
          <cell r="B1230">
            <v>1</v>
          </cell>
        </row>
        <row r="1231">
          <cell r="A1231">
            <v>42817</v>
          </cell>
          <cell r="B1231">
            <v>1</v>
          </cell>
        </row>
        <row r="1232">
          <cell r="A1232">
            <v>42818</v>
          </cell>
          <cell r="B1232">
            <v>1</v>
          </cell>
        </row>
        <row r="1233">
          <cell r="A1233">
            <v>42819</v>
          </cell>
          <cell r="B1233">
            <v>1</v>
          </cell>
        </row>
        <row r="1234">
          <cell r="A1234">
            <v>42820</v>
          </cell>
          <cell r="B1234">
            <v>1</v>
          </cell>
        </row>
        <row r="1235">
          <cell r="A1235">
            <v>42821</v>
          </cell>
          <cell r="B1235">
            <v>1</v>
          </cell>
        </row>
        <row r="1236">
          <cell r="A1236">
            <v>42822</v>
          </cell>
          <cell r="B1236">
            <v>1</v>
          </cell>
        </row>
        <row r="1237">
          <cell r="A1237">
            <v>42823</v>
          </cell>
          <cell r="B1237">
            <v>1</v>
          </cell>
        </row>
        <row r="1238">
          <cell r="A1238">
            <v>42824</v>
          </cell>
          <cell r="B1238">
            <v>1</v>
          </cell>
        </row>
        <row r="1239">
          <cell r="A1239">
            <v>42825</v>
          </cell>
          <cell r="B1239">
            <v>1</v>
          </cell>
        </row>
        <row r="1240">
          <cell r="A1240">
            <v>42826</v>
          </cell>
          <cell r="B1240">
            <v>1</v>
          </cell>
        </row>
        <row r="1241">
          <cell r="A1241">
            <v>42827</v>
          </cell>
          <cell r="B1241">
            <v>1</v>
          </cell>
        </row>
        <row r="1242">
          <cell r="A1242">
            <v>42828</v>
          </cell>
          <cell r="B1242">
            <v>1</v>
          </cell>
        </row>
        <row r="1243">
          <cell r="A1243">
            <v>42829</v>
          </cell>
          <cell r="B1243">
            <v>1</v>
          </cell>
        </row>
        <row r="1244">
          <cell r="A1244">
            <v>42830</v>
          </cell>
          <cell r="B1244">
            <v>1</v>
          </cell>
        </row>
        <row r="1245">
          <cell r="A1245">
            <v>42831</v>
          </cell>
          <cell r="B1245">
            <v>1</v>
          </cell>
        </row>
        <row r="1246">
          <cell r="A1246">
            <v>42832</v>
          </cell>
          <cell r="B1246">
            <v>1</v>
          </cell>
        </row>
        <row r="1247">
          <cell r="A1247">
            <v>42833</v>
          </cell>
          <cell r="B1247">
            <v>1</v>
          </cell>
        </row>
        <row r="1248">
          <cell r="A1248">
            <v>42834</v>
          </cell>
          <cell r="B1248">
            <v>1</v>
          </cell>
        </row>
        <row r="1249">
          <cell r="A1249">
            <v>42835</v>
          </cell>
          <cell r="B1249">
            <v>1</v>
          </cell>
        </row>
        <row r="1250">
          <cell r="A1250">
            <v>42836</v>
          </cell>
          <cell r="B1250">
            <v>1</v>
          </cell>
        </row>
        <row r="1251">
          <cell r="A1251">
            <v>42837</v>
          </cell>
          <cell r="B1251">
            <v>1</v>
          </cell>
        </row>
        <row r="1252">
          <cell r="A1252">
            <v>42838</v>
          </cell>
          <cell r="B1252">
            <v>1</v>
          </cell>
        </row>
        <row r="1253">
          <cell r="A1253">
            <v>42839</v>
          </cell>
          <cell r="B1253">
            <v>1</v>
          </cell>
        </row>
        <row r="1254">
          <cell r="A1254">
            <v>42840</v>
          </cell>
          <cell r="B1254">
            <v>1</v>
          </cell>
        </row>
        <row r="1255">
          <cell r="A1255">
            <v>42841</v>
          </cell>
          <cell r="B1255">
            <v>1</v>
          </cell>
        </row>
        <row r="1256">
          <cell r="A1256">
            <v>42842</v>
          </cell>
          <cell r="B1256">
            <v>1</v>
          </cell>
        </row>
        <row r="1257">
          <cell r="A1257">
            <v>42843</v>
          </cell>
          <cell r="B1257">
            <v>1</v>
          </cell>
        </row>
        <row r="1258">
          <cell r="A1258">
            <v>42844</v>
          </cell>
          <cell r="B1258">
            <v>1</v>
          </cell>
        </row>
        <row r="1259">
          <cell r="A1259">
            <v>42845</v>
          </cell>
          <cell r="B1259">
            <v>1</v>
          </cell>
        </row>
        <row r="1260">
          <cell r="A1260">
            <v>42846</v>
          </cell>
          <cell r="B1260">
            <v>1</v>
          </cell>
        </row>
        <row r="1261">
          <cell r="A1261">
            <v>42847</v>
          </cell>
          <cell r="B1261">
            <v>1</v>
          </cell>
        </row>
        <row r="1262">
          <cell r="A1262">
            <v>42848</v>
          </cell>
          <cell r="B1262">
            <v>1</v>
          </cell>
        </row>
        <row r="1263">
          <cell r="A1263">
            <v>42849</v>
          </cell>
          <cell r="B1263">
            <v>1</v>
          </cell>
        </row>
        <row r="1264">
          <cell r="A1264">
            <v>42850</v>
          </cell>
          <cell r="B1264">
            <v>1</v>
          </cell>
        </row>
        <row r="1265">
          <cell r="A1265">
            <v>42851</v>
          </cell>
          <cell r="B1265">
            <v>1</v>
          </cell>
        </row>
        <row r="1266">
          <cell r="A1266">
            <v>42852</v>
          </cell>
          <cell r="B1266">
            <v>1</v>
          </cell>
        </row>
        <row r="1267">
          <cell r="A1267">
            <v>42853</v>
          </cell>
          <cell r="B1267">
            <v>1</v>
          </cell>
        </row>
        <row r="1268">
          <cell r="A1268">
            <v>42854</v>
          </cell>
          <cell r="B1268">
            <v>1</v>
          </cell>
        </row>
        <row r="1269">
          <cell r="A1269">
            <v>42855</v>
          </cell>
          <cell r="B1269">
            <v>1</v>
          </cell>
        </row>
        <row r="1270">
          <cell r="A1270">
            <v>42856</v>
          </cell>
          <cell r="B1270">
            <v>1</v>
          </cell>
        </row>
        <row r="1271">
          <cell r="A1271">
            <v>42857</v>
          </cell>
          <cell r="B1271">
            <v>1</v>
          </cell>
        </row>
        <row r="1272">
          <cell r="A1272">
            <v>42858</v>
          </cell>
          <cell r="B1272">
            <v>1</v>
          </cell>
        </row>
        <row r="1273">
          <cell r="A1273">
            <v>42859</v>
          </cell>
          <cell r="B1273">
            <v>1</v>
          </cell>
        </row>
        <row r="1274">
          <cell r="A1274">
            <v>42860</v>
          </cell>
          <cell r="B1274">
            <v>1</v>
          </cell>
        </row>
        <row r="1275">
          <cell r="A1275">
            <v>42861</v>
          </cell>
          <cell r="B1275">
            <v>1</v>
          </cell>
        </row>
        <row r="1276">
          <cell r="A1276">
            <v>42862</v>
          </cell>
          <cell r="B1276">
            <v>1</v>
          </cell>
        </row>
        <row r="1277">
          <cell r="A1277">
            <v>42863</v>
          </cell>
          <cell r="B1277">
            <v>1</v>
          </cell>
        </row>
        <row r="1278">
          <cell r="A1278">
            <v>42864</v>
          </cell>
          <cell r="B1278">
            <v>1</v>
          </cell>
        </row>
        <row r="1279">
          <cell r="A1279">
            <v>42865</v>
          </cell>
          <cell r="B1279">
            <v>1</v>
          </cell>
        </row>
        <row r="1280">
          <cell r="A1280">
            <v>42866</v>
          </cell>
          <cell r="B1280">
            <v>1</v>
          </cell>
        </row>
        <row r="1281">
          <cell r="A1281">
            <v>42867</v>
          </cell>
          <cell r="B1281">
            <v>1</v>
          </cell>
        </row>
        <row r="1282">
          <cell r="A1282">
            <v>42868</v>
          </cell>
          <cell r="B1282">
            <v>1</v>
          </cell>
        </row>
        <row r="1283">
          <cell r="A1283">
            <v>42869</v>
          </cell>
          <cell r="B1283">
            <v>1</v>
          </cell>
        </row>
        <row r="1284">
          <cell r="A1284">
            <v>42870</v>
          </cell>
          <cell r="B1284">
            <v>1</v>
          </cell>
        </row>
        <row r="1285">
          <cell r="A1285">
            <v>42871</v>
          </cell>
          <cell r="B1285">
            <v>1</v>
          </cell>
        </row>
        <row r="1286">
          <cell r="A1286">
            <v>42872</v>
          </cell>
          <cell r="B1286">
            <v>1</v>
          </cell>
        </row>
        <row r="1287">
          <cell r="A1287">
            <v>42873</v>
          </cell>
          <cell r="B1287">
            <v>1</v>
          </cell>
        </row>
        <row r="1288">
          <cell r="A1288">
            <v>42874</v>
          </cell>
          <cell r="B1288">
            <v>1</v>
          </cell>
        </row>
        <row r="1289">
          <cell r="A1289">
            <v>42875</v>
          </cell>
          <cell r="B1289">
            <v>1</v>
          </cell>
        </row>
        <row r="1290">
          <cell r="A1290">
            <v>42876</v>
          </cell>
          <cell r="B1290">
            <v>1</v>
          </cell>
        </row>
        <row r="1291">
          <cell r="A1291">
            <v>42877</v>
          </cell>
          <cell r="B1291">
            <v>1</v>
          </cell>
        </row>
        <row r="1292">
          <cell r="A1292">
            <v>42878</v>
          </cell>
          <cell r="B1292">
            <v>1</v>
          </cell>
        </row>
        <row r="1293">
          <cell r="A1293">
            <v>42879</v>
          </cell>
          <cell r="B1293">
            <v>1</v>
          </cell>
        </row>
        <row r="1294">
          <cell r="A1294">
            <v>42880</v>
          </cell>
          <cell r="B1294">
            <v>1</v>
          </cell>
        </row>
        <row r="1295">
          <cell r="A1295">
            <v>42881</v>
          </cell>
          <cell r="B1295">
            <v>1</v>
          </cell>
        </row>
        <row r="1296">
          <cell r="A1296">
            <v>42882</v>
          </cell>
          <cell r="B1296">
            <v>1</v>
          </cell>
        </row>
        <row r="1297">
          <cell r="A1297">
            <v>42883</v>
          </cell>
          <cell r="B1297">
            <v>1</v>
          </cell>
        </row>
        <row r="1298">
          <cell r="A1298">
            <v>42884</v>
          </cell>
          <cell r="B1298">
            <v>1</v>
          </cell>
        </row>
        <row r="1299">
          <cell r="A1299">
            <v>42885</v>
          </cell>
          <cell r="B1299">
            <v>1</v>
          </cell>
        </row>
        <row r="1300">
          <cell r="A1300">
            <v>42886</v>
          </cell>
          <cell r="B1300">
            <v>1</v>
          </cell>
        </row>
        <row r="1301">
          <cell r="A1301">
            <v>42887</v>
          </cell>
          <cell r="B1301">
            <v>1</v>
          </cell>
        </row>
        <row r="1302">
          <cell r="A1302">
            <v>42888</v>
          </cell>
          <cell r="B1302">
            <v>1</v>
          </cell>
        </row>
        <row r="1303">
          <cell r="A1303">
            <v>42889</v>
          </cell>
          <cell r="B1303">
            <v>1</v>
          </cell>
        </row>
        <row r="1304">
          <cell r="A1304">
            <v>42890</v>
          </cell>
          <cell r="B1304">
            <v>1</v>
          </cell>
        </row>
        <row r="1305">
          <cell r="A1305">
            <v>42891</v>
          </cell>
          <cell r="B1305">
            <v>1</v>
          </cell>
        </row>
        <row r="1306">
          <cell r="A1306">
            <v>42892</v>
          </cell>
          <cell r="B1306">
            <v>1</v>
          </cell>
        </row>
        <row r="1307">
          <cell r="A1307">
            <v>42893</v>
          </cell>
          <cell r="B1307">
            <v>1</v>
          </cell>
        </row>
        <row r="1308">
          <cell r="A1308">
            <v>42894</v>
          </cell>
          <cell r="B1308">
            <v>1</v>
          </cell>
        </row>
        <row r="1309">
          <cell r="A1309">
            <v>42895</v>
          </cell>
          <cell r="B1309">
            <v>1</v>
          </cell>
        </row>
        <row r="1310">
          <cell r="A1310">
            <v>42896</v>
          </cell>
          <cell r="B1310">
            <v>1</v>
          </cell>
        </row>
        <row r="1311">
          <cell r="A1311">
            <v>42897</v>
          </cell>
          <cell r="B1311">
            <v>1</v>
          </cell>
        </row>
        <row r="1312">
          <cell r="A1312">
            <v>42898</v>
          </cell>
          <cell r="B1312">
            <v>1</v>
          </cell>
        </row>
        <row r="1313">
          <cell r="A1313">
            <v>42899</v>
          </cell>
          <cell r="B1313">
            <v>1</v>
          </cell>
        </row>
        <row r="1314">
          <cell r="A1314">
            <v>42900</v>
          </cell>
          <cell r="B1314">
            <v>1</v>
          </cell>
        </row>
        <row r="1315">
          <cell r="A1315">
            <v>42901</v>
          </cell>
          <cell r="B1315">
            <v>1.25</v>
          </cell>
        </row>
        <row r="1316">
          <cell r="A1316">
            <v>42902</v>
          </cell>
          <cell r="B1316">
            <v>1.25</v>
          </cell>
        </row>
        <row r="1317">
          <cell r="A1317">
            <v>42903</v>
          </cell>
          <cell r="B1317">
            <v>1.25</v>
          </cell>
        </row>
        <row r="1318">
          <cell r="A1318">
            <v>42904</v>
          </cell>
          <cell r="B1318">
            <v>1.25</v>
          </cell>
        </row>
        <row r="1319">
          <cell r="A1319">
            <v>42905</v>
          </cell>
          <cell r="B1319">
            <v>1.25</v>
          </cell>
        </row>
        <row r="1320">
          <cell r="A1320">
            <v>42906</v>
          </cell>
          <cell r="B1320">
            <v>1.25</v>
          </cell>
        </row>
        <row r="1321">
          <cell r="A1321">
            <v>42907</v>
          </cell>
          <cell r="B1321">
            <v>1.25</v>
          </cell>
        </row>
        <row r="1322">
          <cell r="A1322">
            <v>42908</v>
          </cell>
          <cell r="B1322">
            <v>1.25</v>
          </cell>
        </row>
        <row r="1323">
          <cell r="A1323">
            <v>42909</v>
          </cell>
          <cell r="B1323">
            <v>1.25</v>
          </cell>
        </row>
        <row r="1324">
          <cell r="A1324">
            <v>42910</v>
          </cell>
          <cell r="B1324">
            <v>1.25</v>
          </cell>
        </row>
        <row r="1325">
          <cell r="A1325">
            <v>42911</v>
          </cell>
          <cell r="B1325">
            <v>1.25</v>
          </cell>
        </row>
        <row r="1326">
          <cell r="A1326">
            <v>42912</v>
          </cell>
          <cell r="B1326">
            <v>1.25</v>
          </cell>
        </row>
        <row r="1327">
          <cell r="A1327">
            <v>42913</v>
          </cell>
          <cell r="B1327">
            <v>1.25</v>
          </cell>
        </row>
        <row r="1328">
          <cell r="A1328">
            <v>42914</v>
          </cell>
          <cell r="B1328">
            <v>1.25</v>
          </cell>
        </row>
        <row r="1329">
          <cell r="A1329">
            <v>42915</v>
          </cell>
          <cell r="B1329">
            <v>1.25</v>
          </cell>
        </row>
        <row r="1330">
          <cell r="A1330">
            <v>42916</v>
          </cell>
          <cell r="B1330">
            <v>1.25</v>
          </cell>
        </row>
        <row r="1331">
          <cell r="A1331">
            <v>42917</v>
          </cell>
          <cell r="B1331">
            <v>1.25</v>
          </cell>
        </row>
        <row r="1332">
          <cell r="A1332">
            <v>42918</v>
          </cell>
          <cell r="B1332">
            <v>1.25</v>
          </cell>
        </row>
        <row r="1333">
          <cell r="A1333">
            <v>42919</v>
          </cell>
          <cell r="B1333">
            <v>1.25</v>
          </cell>
        </row>
        <row r="1334">
          <cell r="A1334">
            <v>42920</v>
          </cell>
          <cell r="B1334">
            <v>1.25</v>
          </cell>
        </row>
        <row r="1335">
          <cell r="A1335">
            <v>42921</v>
          </cell>
          <cell r="B1335">
            <v>1.25</v>
          </cell>
        </row>
        <row r="1336">
          <cell r="A1336">
            <v>42922</v>
          </cell>
          <cell r="B1336">
            <v>1.25</v>
          </cell>
        </row>
        <row r="1337">
          <cell r="A1337">
            <v>42923</v>
          </cell>
          <cell r="B1337">
            <v>1.25</v>
          </cell>
        </row>
        <row r="1338">
          <cell r="A1338">
            <v>42924</v>
          </cell>
          <cell r="B1338">
            <v>1.25</v>
          </cell>
        </row>
        <row r="1339">
          <cell r="A1339">
            <v>42925</v>
          </cell>
          <cell r="B1339">
            <v>1.25</v>
          </cell>
        </row>
        <row r="1340">
          <cell r="A1340">
            <v>42926</v>
          </cell>
          <cell r="B1340">
            <v>1.25</v>
          </cell>
        </row>
        <row r="1341">
          <cell r="A1341">
            <v>42927</v>
          </cell>
          <cell r="B1341">
            <v>1.25</v>
          </cell>
        </row>
        <row r="1342">
          <cell r="A1342">
            <v>42928</v>
          </cell>
          <cell r="B1342">
            <v>1.25</v>
          </cell>
        </row>
        <row r="1343">
          <cell r="A1343">
            <v>42929</v>
          </cell>
          <cell r="B1343">
            <v>1.25</v>
          </cell>
        </row>
        <row r="1344">
          <cell r="A1344">
            <v>42930</v>
          </cell>
          <cell r="B1344">
            <v>1.25</v>
          </cell>
        </row>
        <row r="1345">
          <cell r="A1345">
            <v>42931</v>
          </cell>
          <cell r="B1345">
            <v>1.25</v>
          </cell>
        </row>
        <row r="1346">
          <cell r="A1346">
            <v>42932</v>
          </cell>
          <cell r="B1346">
            <v>1.25</v>
          </cell>
        </row>
        <row r="1347">
          <cell r="A1347">
            <v>42933</v>
          </cell>
          <cell r="B1347">
            <v>1.25</v>
          </cell>
        </row>
        <row r="1348">
          <cell r="A1348">
            <v>42934</v>
          </cell>
          <cell r="B1348">
            <v>1.25</v>
          </cell>
        </row>
        <row r="1349">
          <cell r="A1349">
            <v>42935</v>
          </cell>
          <cell r="B1349">
            <v>1.25</v>
          </cell>
        </row>
        <row r="1350">
          <cell r="A1350">
            <v>42936</v>
          </cell>
          <cell r="B1350">
            <v>1.25</v>
          </cell>
        </row>
        <row r="1351">
          <cell r="A1351">
            <v>42937</v>
          </cell>
          <cell r="B1351">
            <v>1.25</v>
          </cell>
        </row>
        <row r="1352">
          <cell r="A1352">
            <v>42938</v>
          </cell>
          <cell r="B1352">
            <v>1.25</v>
          </cell>
        </row>
        <row r="1353">
          <cell r="A1353">
            <v>42939</v>
          </cell>
          <cell r="B1353">
            <v>1.25</v>
          </cell>
        </row>
        <row r="1354">
          <cell r="A1354">
            <v>42940</v>
          </cell>
          <cell r="B1354">
            <v>1.25</v>
          </cell>
        </row>
        <row r="1355">
          <cell r="A1355">
            <v>42941</v>
          </cell>
          <cell r="B1355">
            <v>1.25</v>
          </cell>
        </row>
        <row r="1356">
          <cell r="A1356">
            <v>42942</v>
          </cell>
          <cell r="B1356">
            <v>1.25</v>
          </cell>
        </row>
        <row r="1357">
          <cell r="A1357">
            <v>42943</v>
          </cell>
          <cell r="B1357">
            <v>1.25</v>
          </cell>
        </row>
        <row r="1358">
          <cell r="A1358">
            <v>42944</v>
          </cell>
          <cell r="B1358">
            <v>1.25</v>
          </cell>
        </row>
        <row r="1359">
          <cell r="A1359">
            <v>42945</v>
          </cell>
          <cell r="B1359">
            <v>1.25</v>
          </cell>
        </row>
        <row r="1360">
          <cell r="A1360">
            <v>42946</v>
          </cell>
          <cell r="B1360">
            <v>1.25</v>
          </cell>
        </row>
        <row r="1361">
          <cell r="A1361">
            <v>42947</v>
          </cell>
          <cell r="B1361">
            <v>1.25</v>
          </cell>
        </row>
        <row r="1362">
          <cell r="A1362">
            <v>42948</v>
          </cell>
          <cell r="B1362">
            <v>1.25</v>
          </cell>
        </row>
        <row r="1363">
          <cell r="A1363">
            <v>42949</v>
          </cell>
          <cell r="B1363">
            <v>1.25</v>
          </cell>
        </row>
        <row r="1364">
          <cell r="A1364">
            <v>42950</v>
          </cell>
          <cell r="B1364">
            <v>1.25</v>
          </cell>
        </row>
        <row r="1365">
          <cell r="A1365">
            <v>42951</v>
          </cell>
          <cell r="B1365">
            <v>1.25</v>
          </cell>
        </row>
        <row r="1366">
          <cell r="A1366">
            <v>42952</v>
          </cell>
          <cell r="B1366">
            <v>1.25</v>
          </cell>
        </row>
        <row r="1367">
          <cell r="A1367">
            <v>42953</v>
          </cell>
          <cell r="B1367">
            <v>1.25</v>
          </cell>
        </row>
        <row r="1368">
          <cell r="A1368">
            <v>42954</v>
          </cell>
          <cell r="B1368">
            <v>1.25</v>
          </cell>
        </row>
        <row r="1369">
          <cell r="A1369">
            <v>42955</v>
          </cell>
          <cell r="B1369">
            <v>1.25</v>
          </cell>
        </row>
        <row r="1370">
          <cell r="A1370">
            <v>42956</v>
          </cell>
          <cell r="B1370">
            <v>1.25</v>
          </cell>
        </row>
        <row r="1371">
          <cell r="A1371">
            <v>42957</v>
          </cell>
          <cell r="B1371">
            <v>1.25</v>
          </cell>
        </row>
        <row r="1372">
          <cell r="A1372">
            <v>42958</v>
          </cell>
          <cell r="B1372">
            <v>1.25</v>
          </cell>
        </row>
        <row r="1373">
          <cell r="A1373">
            <v>42959</v>
          </cell>
          <cell r="B1373">
            <v>1.25</v>
          </cell>
        </row>
        <row r="1374">
          <cell r="A1374">
            <v>42960</v>
          </cell>
          <cell r="B1374">
            <v>1.25</v>
          </cell>
        </row>
        <row r="1375">
          <cell r="A1375">
            <v>42961</v>
          </cell>
          <cell r="B1375">
            <v>1.25</v>
          </cell>
        </row>
        <row r="1376">
          <cell r="A1376">
            <v>42962</v>
          </cell>
          <cell r="B1376">
            <v>1.25</v>
          </cell>
        </row>
        <row r="1377">
          <cell r="A1377">
            <v>42963</v>
          </cell>
          <cell r="B1377">
            <v>1.25</v>
          </cell>
        </row>
        <row r="1378">
          <cell r="A1378">
            <v>42964</v>
          </cell>
          <cell r="B1378">
            <v>1.25</v>
          </cell>
        </row>
        <row r="1379">
          <cell r="A1379">
            <v>42965</v>
          </cell>
          <cell r="B1379">
            <v>1.25</v>
          </cell>
        </row>
        <row r="1380">
          <cell r="A1380">
            <v>42966</v>
          </cell>
          <cell r="B1380">
            <v>1.25</v>
          </cell>
        </row>
        <row r="1381">
          <cell r="A1381">
            <v>42967</v>
          </cell>
          <cell r="B1381">
            <v>1.25</v>
          </cell>
        </row>
        <row r="1382">
          <cell r="A1382">
            <v>42968</v>
          </cell>
          <cell r="B1382">
            <v>1.25</v>
          </cell>
        </row>
        <row r="1383">
          <cell r="A1383">
            <v>42969</v>
          </cell>
          <cell r="B1383">
            <v>1.25</v>
          </cell>
        </row>
        <row r="1384">
          <cell r="A1384">
            <v>42970</v>
          </cell>
          <cell r="B1384">
            <v>1.25</v>
          </cell>
        </row>
        <row r="1385">
          <cell r="A1385">
            <v>42971</v>
          </cell>
          <cell r="B1385">
            <v>1.25</v>
          </cell>
        </row>
        <row r="1386">
          <cell r="A1386">
            <v>42972</v>
          </cell>
          <cell r="B1386">
            <v>1.25</v>
          </cell>
        </row>
        <row r="1387">
          <cell r="A1387">
            <v>42973</v>
          </cell>
          <cell r="B1387">
            <v>1.25</v>
          </cell>
        </row>
        <row r="1388">
          <cell r="A1388">
            <v>42974</v>
          </cell>
          <cell r="B1388">
            <v>1.25</v>
          </cell>
        </row>
        <row r="1389">
          <cell r="A1389">
            <v>42975</v>
          </cell>
          <cell r="B1389">
            <v>1.25</v>
          </cell>
        </row>
        <row r="1390">
          <cell r="A1390">
            <v>42976</v>
          </cell>
          <cell r="B1390">
            <v>1.25</v>
          </cell>
        </row>
        <row r="1391">
          <cell r="A1391">
            <v>42977</v>
          </cell>
          <cell r="B1391">
            <v>1.25</v>
          </cell>
        </row>
        <row r="1392">
          <cell r="A1392">
            <v>42978</v>
          </cell>
          <cell r="B1392">
            <v>1.25</v>
          </cell>
        </row>
        <row r="1393">
          <cell r="A1393">
            <v>42979</v>
          </cell>
          <cell r="B1393">
            <v>1.25</v>
          </cell>
        </row>
        <row r="1394">
          <cell r="A1394">
            <v>42980</v>
          </cell>
          <cell r="B1394">
            <v>1.25</v>
          </cell>
        </row>
        <row r="1395">
          <cell r="A1395">
            <v>42981</v>
          </cell>
          <cell r="B1395">
            <v>1.25</v>
          </cell>
        </row>
        <row r="1396">
          <cell r="A1396">
            <v>42982</v>
          </cell>
          <cell r="B1396">
            <v>1.25</v>
          </cell>
        </row>
        <row r="1397">
          <cell r="A1397">
            <v>42983</v>
          </cell>
          <cell r="B1397">
            <v>1.25</v>
          </cell>
        </row>
        <row r="1398">
          <cell r="A1398">
            <v>42984</v>
          </cell>
          <cell r="B1398">
            <v>1.25</v>
          </cell>
        </row>
        <row r="1399">
          <cell r="A1399">
            <v>42985</v>
          </cell>
          <cell r="B1399">
            <v>1.25</v>
          </cell>
        </row>
        <row r="1400">
          <cell r="A1400">
            <v>42986</v>
          </cell>
          <cell r="B1400">
            <v>1.25</v>
          </cell>
        </row>
        <row r="1401">
          <cell r="A1401">
            <v>42987</v>
          </cell>
          <cell r="B1401">
            <v>1.25</v>
          </cell>
        </row>
        <row r="1402">
          <cell r="A1402">
            <v>42988</v>
          </cell>
          <cell r="B1402">
            <v>1.25</v>
          </cell>
        </row>
        <row r="1403">
          <cell r="A1403">
            <v>42989</v>
          </cell>
          <cell r="B1403">
            <v>1.25</v>
          </cell>
        </row>
        <row r="1404">
          <cell r="A1404">
            <v>42990</v>
          </cell>
          <cell r="B1404">
            <v>1.25</v>
          </cell>
        </row>
        <row r="1405">
          <cell r="A1405">
            <v>42991</v>
          </cell>
          <cell r="B1405">
            <v>1.25</v>
          </cell>
        </row>
        <row r="1406">
          <cell r="A1406">
            <v>42992</v>
          </cell>
          <cell r="B1406">
            <v>1.25</v>
          </cell>
        </row>
        <row r="1407">
          <cell r="A1407">
            <v>42993</v>
          </cell>
          <cell r="B1407">
            <v>1.25</v>
          </cell>
        </row>
        <row r="1408">
          <cell r="A1408">
            <v>42994</v>
          </cell>
          <cell r="B1408">
            <v>1.25</v>
          </cell>
        </row>
        <row r="1409">
          <cell r="A1409">
            <v>42995</v>
          </cell>
          <cell r="B1409">
            <v>1.25</v>
          </cell>
        </row>
        <row r="1410">
          <cell r="A1410">
            <v>42996</v>
          </cell>
          <cell r="B1410">
            <v>1.25</v>
          </cell>
        </row>
        <row r="1411">
          <cell r="A1411">
            <v>42997</v>
          </cell>
          <cell r="B1411">
            <v>1.25</v>
          </cell>
        </row>
        <row r="1412">
          <cell r="A1412">
            <v>42998</v>
          </cell>
          <cell r="B1412">
            <v>1.25</v>
          </cell>
        </row>
        <row r="1413">
          <cell r="A1413">
            <v>42999</v>
          </cell>
          <cell r="B1413">
            <v>1.25</v>
          </cell>
        </row>
        <row r="1414">
          <cell r="A1414">
            <v>43000</v>
          </cell>
          <cell r="B1414">
            <v>1.25</v>
          </cell>
        </row>
        <row r="1415">
          <cell r="A1415">
            <v>43001</v>
          </cell>
          <cell r="B1415">
            <v>1.25</v>
          </cell>
        </row>
        <row r="1416">
          <cell r="A1416">
            <v>43002</v>
          </cell>
          <cell r="B1416">
            <v>1.25</v>
          </cell>
        </row>
        <row r="1417">
          <cell r="A1417">
            <v>43003</v>
          </cell>
          <cell r="B1417">
            <v>1.25</v>
          </cell>
        </row>
        <row r="1418">
          <cell r="A1418">
            <v>43004</v>
          </cell>
          <cell r="B1418">
            <v>1.25</v>
          </cell>
        </row>
        <row r="1419">
          <cell r="A1419">
            <v>43005</v>
          </cell>
          <cell r="B1419">
            <v>1.25</v>
          </cell>
        </row>
        <row r="1420">
          <cell r="A1420">
            <v>43006</v>
          </cell>
          <cell r="B1420">
            <v>1.25</v>
          </cell>
        </row>
        <row r="1421">
          <cell r="A1421">
            <v>43007</v>
          </cell>
          <cell r="B1421">
            <v>1.25</v>
          </cell>
        </row>
        <row r="1422">
          <cell r="A1422">
            <v>43008</v>
          </cell>
          <cell r="B1422">
            <v>1.25</v>
          </cell>
        </row>
        <row r="1423">
          <cell r="A1423">
            <v>43009</v>
          </cell>
          <cell r="B1423">
            <v>1.25</v>
          </cell>
        </row>
        <row r="1424">
          <cell r="A1424">
            <v>43010</v>
          </cell>
          <cell r="B1424">
            <v>1.25</v>
          </cell>
        </row>
        <row r="1425">
          <cell r="A1425">
            <v>43011</v>
          </cell>
          <cell r="B1425">
            <v>1.25</v>
          </cell>
        </row>
        <row r="1426">
          <cell r="A1426">
            <v>43012</v>
          </cell>
          <cell r="B1426">
            <v>1.25</v>
          </cell>
        </row>
        <row r="1427">
          <cell r="A1427">
            <v>43013</v>
          </cell>
          <cell r="B1427">
            <v>1.25</v>
          </cell>
        </row>
        <row r="1428">
          <cell r="A1428">
            <v>43014</v>
          </cell>
          <cell r="B1428">
            <v>1.25</v>
          </cell>
        </row>
        <row r="1429">
          <cell r="A1429">
            <v>43015</v>
          </cell>
          <cell r="B1429">
            <v>1.25</v>
          </cell>
        </row>
        <row r="1430">
          <cell r="A1430">
            <v>43016</v>
          </cell>
          <cell r="B1430">
            <v>1.25</v>
          </cell>
        </row>
        <row r="1431">
          <cell r="A1431">
            <v>43017</v>
          </cell>
          <cell r="B1431">
            <v>1.25</v>
          </cell>
        </row>
        <row r="1432">
          <cell r="A1432">
            <v>43018</v>
          </cell>
          <cell r="B1432">
            <v>1.25</v>
          </cell>
        </row>
        <row r="1433">
          <cell r="A1433">
            <v>43019</v>
          </cell>
          <cell r="B1433">
            <v>1.25</v>
          </cell>
        </row>
        <row r="1434">
          <cell r="A1434">
            <v>43020</v>
          </cell>
          <cell r="B1434">
            <v>1.25</v>
          </cell>
        </row>
        <row r="1435">
          <cell r="A1435">
            <v>43021</v>
          </cell>
          <cell r="B1435">
            <v>1.25</v>
          </cell>
        </row>
        <row r="1436">
          <cell r="A1436">
            <v>43022</v>
          </cell>
          <cell r="B1436">
            <v>1.25</v>
          </cell>
        </row>
        <row r="1437">
          <cell r="A1437">
            <v>43023</v>
          </cell>
          <cell r="B1437">
            <v>1.25</v>
          </cell>
        </row>
        <row r="1438">
          <cell r="A1438">
            <v>43024</v>
          </cell>
          <cell r="B1438">
            <v>1.25</v>
          </cell>
        </row>
        <row r="1439">
          <cell r="A1439">
            <v>43025</v>
          </cell>
          <cell r="B1439">
            <v>1.25</v>
          </cell>
        </row>
        <row r="1440">
          <cell r="A1440">
            <v>43026</v>
          </cell>
          <cell r="B1440">
            <v>1.25</v>
          </cell>
        </row>
        <row r="1441">
          <cell r="A1441">
            <v>43027</v>
          </cell>
          <cell r="B1441">
            <v>1.25</v>
          </cell>
        </row>
        <row r="1442">
          <cell r="A1442">
            <v>43028</v>
          </cell>
          <cell r="B1442">
            <v>1.25</v>
          </cell>
        </row>
        <row r="1443">
          <cell r="A1443">
            <v>43029</v>
          </cell>
          <cell r="B1443">
            <v>1.25</v>
          </cell>
        </row>
        <row r="1444">
          <cell r="A1444">
            <v>43030</v>
          </cell>
          <cell r="B1444">
            <v>1.25</v>
          </cell>
        </row>
        <row r="1445">
          <cell r="A1445">
            <v>43031</v>
          </cell>
          <cell r="B1445">
            <v>1.25</v>
          </cell>
        </row>
        <row r="1446">
          <cell r="A1446">
            <v>43032</v>
          </cell>
          <cell r="B1446">
            <v>1.25</v>
          </cell>
        </row>
        <row r="1447">
          <cell r="A1447">
            <v>43033</v>
          </cell>
          <cell r="B1447">
            <v>1.25</v>
          </cell>
        </row>
        <row r="1448">
          <cell r="A1448">
            <v>43034</v>
          </cell>
          <cell r="B1448">
            <v>1.25</v>
          </cell>
        </row>
        <row r="1449">
          <cell r="A1449">
            <v>43035</v>
          </cell>
          <cell r="B1449">
            <v>1.25</v>
          </cell>
        </row>
        <row r="1450">
          <cell r="A1450">
            <v>43036</v>
          </cell>
          <cell r="B1450">
            <v>1.25</v>
          </cell>
        </row>
        <row r="1451">
          <cell r="A1451">
            <v>43037</v>
          </cell>
          <cell r="B1451">
            <v>1.25</v>
          </cell>
        </row>
        <row r="1452">
          <cell r="A1452">
            <v>43038</v>
          </cell>
          <cell r="B1452">
            <v>1.25</v>
          </cell>
        </row>
        <row r="1453">
          <cell r="A1453">
            <v>43039</v>
          </cell>
          <cell r="B1453">
            <v>1.25</v>
          </cell>
        </row>
        <row r="1454">
          <cell r="A1454">
            <v>43040</v>
          </cell>
          <cell r="B1454">
            <v>1.25</v>
          </cell>
        </row>
        <row r="1455">
          <cell r="A1455">
            <v>43041</v>
          </cell>
          <cell r="B1455">
            <v>1.25</v>
          </cell>
        </row>
        <row r="1456">
          <cell r="A1456">
            <v>43042</v>
          </cell>
          <cell r="B1456">
            <v>1.25</v>
          </cell>
        </row>
        <row r="1457">
          <cell r="A1457">
            <v>43043</v>
          </cell>
          <cell r="B1457">
            <v>1.25</v>
          </cell>
        </row>
        <row r="1458">
          <cell r="A1458">
            <v>43044</v>
          </cell>
          <cell r="B1458">
            <v>1.25</v>
          </cell>
        </row>
        <row r="1459">
          <cell r="A1459">
            <v>43045</v>
          </cell>
          <cell r="B1459">
            <v>1.25</v>
          </cell>
        </row>
        <row r="1460">
          <cell r="A1460">
            <v>43046</v>
          </cell>
          <cell r="B1460">
            <v>1.25</v>
          </cell>
        </row>
        <row r="1461">
          <cell r="A1461">
            <v>43047</v>
          </cell>
          <cell r="B1461">
            <v>1.25</v>
          </cell>
        </row>
        <row r="1462">
          <cell r="A1462">
            <v>43048</v>
          </cell>
          <cell r="B1462">
            <v>1.25</v>
          </cell>
        </row>
        <row r="1463">
          <cell r="A1463">
            <v>43049</v>
          </cell>
          <cell r="B1463">
            <v>1.25</v>
          </cell>
        </row>
        <row r="1464">
          <cell r="A1464">
            <v>43050</v>
          </cell>
          <cell r="B1464">
            <v>1.25</v>
          </cell>
        </row>
        <row r="1465">
          <cell r="A1465">
            <v>43051</v>
          </cell>
          <cell r="B1465">
            <v>1.25</v>
          </cell>
        </row>
        <row r="1466">
          <cell r="A1466">
            <v>43052</v>
          </cell>
          <cell r="B1466">
            <v>1.25</v>
          </cell>
        </row>
        <row r="1467">
          <cell r="A1467">
            <v>43053</v>
          </cell>
          <cell r="B1467">
            <v>1.25</v>
          </cell>
        </row>
        <row r="1468">
          <cell r="A1468">
            <v>43054</v>
          </cell>
          <cell r="B1468">
            <v>1.25</v>
          </cell>
        </row>
        <row r="1469">
          <cell r="A1469">
            <v>43055</v>
          </cell>
          <cell r="B1469">
            <v>1.25</v>
          </cell>
        </row>
        <row r="1470">
          <cell r="A1470">
            <v>43056</v>
          </cell>
          <cell r="B1470">
            <v>1.25</v>
          </cell>
        </row>
        <row r="1471">
          <cell r="A1471">
            <v>43057</v>
          </cell>
          <cell r="B1471">
            <v>1.25</v>
          </cell>
        </row>
        <row r="1472">
          <cell r="A1472">
            <v>43058</v>
          </cell>
          <cell r="B1472">
            <v>1.25</v>
          </cell>
        </row>
        <row r="1473">
          <cell r="A1473">
            <v>43059</v>
          </cell>
          <cell r="B1473">
            <v>1.25</v>
          </cell>
        </row>
        <row r="1474">
          <cell r="A1474">
            <v>43060</v>
          </cell>
          <cell r="B1474">
            <v>1.25</v>
          </cell>
        </row>
        <row r="1475">
          <cell r="A1475">
            <v>43061</v>
          </cell>
          <cell r="B1475">
            <v>1.25</v>
          </cell>
        </row>
        <row r="1476">
          <cell r="A1476">
            <v>43062</v>
          </cell>
          <cell r="B1476">
            <v>1.25</v>
          </cell>
        </row>
        <row r="1477">
          <cell r="A1477">
            <v>43063</v>
          </cell>
          <cell r="B1477">
            <v>1.25</v>
          </cell>
        </row>
        <row r="1478">
          <cell r="A1478">
            <v>43064</v>
          </cell>
          <cell r="B1478">
            <v>1.25</v>
          </cell>
        </row>
        <row r="1479">
          <cell r="A1479">
            <v>43065</v>
          </cell>
          <cell r="B1479">
            <v>1.25</v>
          </cell>
        </row>
        <row r="1480">
          <cell r="A1480">
            <v>43066</v>
          </cell>
          <cell r="B1480">
            <v>1.25</v>
          </cell>
        </row>
        <row r="1481">
          <cell r="A1481">
            <v>43067</v>
          </cell>
          <cell r="B1481">
            <v>1.25</v>
          </cell>
        </row>
        <row r="1482">
          <cell r="A1482">
            <v>43068</v>
          </cell>
          <cell r="B1482">
            <v>1.25</v>
          </cell>
        </row>
        <row r="1483">
          <cell r="A1483">
            <v>43069</v>
          </cell>
          <cell r="B1483">
            <v>1.25</v>
          </cell>
        </row>
        <row r="1484">
          <cell r="A1484">
            <v>43070</v>
          </cell>
          <cell r="B1484">
            <v>1.25</v>
          </cell>
        </row>
        <row r="1485">
          <cell r="A1485">
            <v>43071</v>
          </cell>
          <cell r="B1485">
            <v>1.25</v>
          </cell>
        </row>
        <row r="1486">
          <cell r="A1486">
            <v>43072</v>
          </cell>
          <cell r="B1486">
            <v>1.25</v>
          </cell>
        </row>
        <row r="1487">
          <cell r="A1487">
            <v>43073</v>
          </cell>
          <cell r="B1487">
            <v>1.25</v>
          </cell>
        </row>
        <row r="1488">
          <cell r="A1488">
            <v>43074</v>
          </cell>
          <cell r="B1488">
            <v>1.25</v>
          </cell>
        </row>
        <row r="1489">
          <cell r="A1489">
            <v>43075</v>
          </cell>
          <cell r="B1489">
            <v>1.25</v>
          </cell>
        </row>
        <row r="1490">
          <cell r="A1490">
            <v>43076</v>
          </cell>
          <cell r="B1490">
            <v>1.25</v>
          </cell>
        </row>
        <row r="1491">
          <cell r="A1491">
            <v>43077</v>
          </cell>
          <cell r="B1491">
            <v>1.25</v>
          </cell>
        </row>
        <row r="1492">
          <cell r="A1492">
            <v>43078</v>
          </cell>
          <cell r="B1492">
            <v>1.25</v>
          </cell>
        </row>
        <row r="1493">
          <cell r="A1493">
            <v>43079</v>
          </cell>
          <cell r="B1493">
            <v>1.25</v>
          </cell>
        </row>
        <row r="1494">
          <cell r="A1494">
            <v>43080</v>
          </cell>
          <cell r="B1494">
            <v>1.25</v>
          </cell>
        </row>
        <row r="1495">
          <cell r="A1495">
            <v>43081</v>
          </cell>
          <cell r="B1495">
            <v>1.25</v>
          </cell>
        </row>
        <row r="1496">
          <cell r="A1496">
            <v>43082</v>
          </cell>
          <cell r="B1496">
            <v>1.25</v>
          </cell>
        </row>
        <row r="1497">
          <cell r="A1497">
            <v>43083</v>
          </cell>
          <cell r="B1497">
            <v>1.5</v>
          </cell>
        </row>
        <row r="1498">
          <cell r="A1498">
            <v>43084</v>
          </cell>
          <cell r="B1498">
            <v>1.5</v>
          </cell>
        </row>
        <row r="1499">
          <cell r="A1499">
            <v>43085</v>
          </cell>
          <cell r="B1499">
            <v>1.5</v>
          </cell>
        </row>
        <row r="1500">
          <cell r="A1500">
            <v>43086</v>
          </cell>
          <cell r="B1500">
            <v>1.5</v>
          </cell>
        </row>
        <row r="1501">
          <cell r="A1501">
            <v>43087</v>
          </cell>
          <cell r="B1501">
            <v>1.5</v>
          </cell>
        </row>
        <row r="1502">
          <cell r="A1502">
            <v>43088</v>
          </cell>
          <cell r="B1502">
            <v>1.5</v>
          </cell>
        </row>
        <row r="1503">
          <cell r="A1503">
            <v>43089</v>
          </cell>
          <cell r="B1503">
            <v>1.5</v>
          </cell>
        </row>
        <row r="1504">
          <cell r="A1504">
            <v>43090</v>
          </cell>
          <cell r="B1504">
            <v>1.5</v>
          </cell>
        </row>
        <row r="1505">
          <cell r="A1505">
            <v>43091</v>
          </cell>
          <cell r="B1505">
            <v>1.5</v>
          </cell>
        </row>
        <row r="1506">
          <cell r="A1506">
            <v>43092</v>
          </cell>
          <cell r="B1506">
            <v>1.5</v>
          </cell>
        </row>
        <row r="1507">
          <cell r="A1507">
            <v>43093</v>
          </cell>
          <cell r="B1507">
            <v>1.5</v>
          </cell>
        </row>
        <row r="1508">
          <cell r="A1508">
            <v>43094</v>
          </cell>
          <cell r="B1508">
            <v>1.5</v>
          </cell>
        </row>
        <row r="1509">
          <cell r="A1509">
            <v>43095</v>
          </cell>
          <cell r="B1509">
            <v>1.5</v>
          </cell>
        </row>
        <row r="1510">
          <cell r="A1510">
            <v>43096</v>
          </cell>
          <cell r="B1510">
            <v>1.5</v>
          </cell>
        </row>
        <row r="1511">
          <cell r="A1511">
            <v>43097</v>
          </cell>
          <cell r="B1511">
            <v>1.5</v>
          </cell>
        </row>
        <row r="1512">
          <cell r="A1512">
            <v>43098</v>
          </cell>
          <cell r="B1512">
            <v>1.5</v>
          </cell>
        </row>
        <row r="1513">
          <cell r="A1513">
            <v>43099</v>
          </cell>
          <cell r="B1513">
            <v>1.5</v>
          </cell>
        </row>
        <row r="1514">
          <cell r="A1514">
            <v>43100</v>
          </cell>
          <cell r="B1514">
            <v>1.5</v>
          </cell>
        </row>
        <row r="1515">
          <cell r="A1515">
            <v>43101</v>
          </cell>
          <cell r="B1515">
            <v>1.5</v>
          </cell>
        </row>
        <row r="1516">
          <cell r="A1516">
            <v>43102</v>
          </cell>
          <cell r="B1516">
            <v>1.5</v>
          </cell>
        </row>
        <row r="1517">
          <cell r="A1517">
            <v>43103</v>
          </cell>
          <cell r="B1517">
            <v>1.5</v>
          </cell>
        </row>
        <row r="1518">
          <cell r="A1518">
            <v>43104</v>
          </cell>
          <cell r="B1518">
            <v>1.5</v>
          </cell>
        </row>
        <row r="1519">
          <cell r="A1519">
            <v>43105</v>
          </cell>
          <cell r="B1519">
            <v>1.5</v>
          </cell>
        </row>
        <row r="1520">
          <cell r="A1520">
            <v>43106</v>
          </cell>
          <cell r="B1520">
            <v>1.5</v>
          </cell>
        </row>
        <row r="1521">
          <cell r="A1521">
            <v>43107</v>
          </cell>
          <cell r="B1521">
            <v>1.5</v>
          </cell>
        </row>
        <row r="1522">
          <cell r="A1522">
            <v>43108</v>
          </cell>
          <cell r="B1522">
            <v>1.5</v>
          </cell>
        </row>
        <row r="1523">
          <cell r="A1523">
            <v>43109</v>
          </cell>
          <cell r="B1523">
            <v>1.5</v>
          </cell>
        </row>
        <row r="1524">
          <cell r="A1524">
            <v>43110</v>
          </cell>
          <cell r="B1524">
            <v>1.5</v>
          </cell>
        </row>
        <row r="1525">
          <cell r="A1525">
            <v>43111</v>
          </cell>
          <cell r="B1525">
            <v>1.5</v>
          </cell>
        </row>
        <row r="1526">
          <cell r="A1526">
            <v>43112</v>
          </cell>
          <cell r="B1526">
            <v>1.5</v>
          </cell>
        </row>
        <row r="1527">
          <cell r="A1527">
            <v>43113</v>
          </cell>
          <cell r="B1527">
            <v>1.5</v>
          </cell>
        </row>
        <row r="1528">
          <cell r="A1528">
            <v>43114</v>
          </cell>
          <cell r="B1528">
            <v>1.5</v>
          </cell>
        </row>
        <row r="1529">
          <cell r="A1529">
            <v>43115</v>
          </cell>
          <cell r="B1529">
            <v>1.5</v>
          </cell>
        </row>
        <row r="1530">
          <cell r="A1530">
            <v>43116</v>
          </cell>
          <cell r="B1530">
            <v>1.5</v>
          </cell>
        </row>
        <row r="1531">
          <cell r="A1531">
            <v>43117</v>
          </cell>
          <cell r="B1531">
            <v>1.5</v>
          </cell>
        </row>
        <row r="1532">
          <cell r="A1532">
            <v>43118</v>
          </cell>
          <cell r="B1532">
            <v>1.5</v>
          </cell>
        </row>
        <row r="1533">
          <cell r="A1533">
            <v>43119</v>
          </cell>
          <cell r="B1533">
            <v>1.5</v>
          </cell>
        </row>
        <row r="1534">
          <cell r="A1534">
            <v>43120</v>
          </cell>
          <cell r="B1534">
            <v>1.5</v>
          </cell>
        </row>
        <row r="1535">
          <cell r="A1535">
            <v>43121</v>
          </cell>
          <cell r="B1535">
            <v>1.5</v>
          </cell>
        </row>
        <row r="1536">
          <cell r="A1536">
            <v>43122</v>
          </cell>
          <cell r="B1536">
            <v>1.5</v>
          </cell>
        </row>
        <row r="1537">
          <cell r="A1537">
            <v>43123</v>
          </cell>
          <cell r="B1537">
            <v>1.5</v>
          </cell>
        </row>
        <row r="1538">
          <cell r="A1538">
            <v>43124</v>
          </cell>
          <cell r="B1538">
            <v>1.5</v>
          </cell>
        </row>
        <row r="1539">
          <cell r="A1539">
            <v>43125</v>
          </cell>
          <cell r="B1539">
            <v>1.5</v>
          </cell>
        </row>
        <row r="1540">
          <cell r="A1540">
            <v>43126</v>
          </cell>
          <cell r="B1540">
            <v>1.5</v>
          </cell>
        </row>
        <row r="1541">
          <cell r="A1541">
            <v>43127</v>
          </cell>
          <cell r="B1541">
            <v>1.5</v>
          </cell>
        </row>
        <row r="1542">
          <cell r="A1542">
            <v>43128</v>
          </cell>
          <cell r="B1542">
            <v>1.5</v>
          </cell>
        </row>
        <row r="1543">
          <cell r="A1543">
            <v>43129</v>
          </cell>
          <cell r="B1543">
            <v>1.5</v>
          </cell>
        </row>
        <row r="1544">
          <cell r="A1544">
            <v>43130</v>
          </cell>
          <cell r="B1544">
            <v>1.5</v>
          </cell>
        </row>
        <row r="1545">
          <cell r="A1545">
            <v>43131</v>
          </cell>
          <cell r="B1545">
            <v>1.5</v>
          </cell>
        </row>
        <row r="1546">
          <cell r="A1546">
            <v>43132</v>
          </cell>
          <cell r="B1546">
            <v>1.5</v>
          </cell>
        </row>
        <row r="1547">
          <cell r="A1547">
            <v>43133</v>
          </cell>
          <cell r="B1547">
            <v>1.5</v>
          </cell>
        </row>
        <row r="1548">
          <cell r="A1548">
            <v>43134</v>
          </cell>
          <cell r="B1548">
            <v>1.5</v>
          </cell>
        </row>
        <row r="1549">
          <cell r="A1549">
            <v>43135</v>
          </cell>
          <cell r="B1549">
            <v>1.5</v>
          </cell>
        </row>
        <row r="1550">
          <cell r="A1550">
            <v>43136</v>
          </cell>
          <cell r="B1550">
            <v>1.5</v>
          </cell>
        </row>
        <row r="1551">
          <cell r="A1551">
            <v>43137</v>
          </cell>
          <cell r="B1551">
            <v>1.5</v>
          </cell>
        </row>
        <row r="1552">
          <cell r="A1552">
            <v>43138</v>
          </cell>
          <cell r="B1552">
            <v>1.5</v>
          </cell>
        </row>
        <row r="1553">
          <cell r="A1553">
            <v>43139</v>
          </cell>
          <cell r="B1553">
            <v>1.5</v>
          </cell>
        </row>
        <row r="1554">
          <cell r="A1554">
            <v>43140</v>
          </cell>
          <cell r="B1554">
            <v>1.5</v>
          </cell>
        </row>
        <row r="1555">
          <cell r="A1555">
            <v>43141</v>
          </cell>
          <cell r="B1555">
            <v>1.5</v>
          </cell>
        </row>
        <row r="1556">
          <cell r="A1556">
            <v>43142</v>
          </cell>
          <cell r="B1556">
            <v>1.5</v>
          </cell>
        </row>
        <row r="1557">
          <cell r="A1557">
            <v>43143</v>
          </cell>
          <cell r="B1557">
            <v>1.5</v>
          </cell>
        </row>
        <row r="1558">
          <cell r="A1558">
            <v>43144</v>
          </cell>
          <cell r="B1558">
            <v>1.5</v>
          </cell>
        </row>
        <row r="1559">
          <cell r="A1559">
            <v>43145</v>
          </cell>
          <cell r="B1559">
            <v>1.5</v>
          </cell>
        </row>
        <row r="1560">
          <cell r="A1560">
            <v>43146</v>
          </cell>
          <cell r="B1560">
            <v>1.5</v>
          </cell>
        </row>
        <row r="1561">
          <cell r="A1561">
            <v>43147</v>
          </cell>
          <cell r="B1561">
            <v>1.5</v>
          </cell>
        </row>
        <row r="1562">
          <cell r="A1562">
            <v>43148</v>
          </cell>
          <cell r="B1562">
            <v>1.5</v>
          </cell>
        </row>
        <row r="1563">
          <cell r="A1563">
            <v>43149</v>
          </cell>
          <cell r="B1563">
            <v>1.5</v>
          </cell>
        </row>
        <row r="1564">
          <cell r="A1564">
            <v>43150</v>
          </cell>
          <cell r="B1564">
            <v>1.5</v>
          </cell>
        </row>
        <row r="1565">
          <cell r="A1565">
            <v>43151</v>
          </cell>
          <cell r="B1565">
            <v>1.5</v>
          </cell>
        </row>
        <row r="1566">
          <cell r="A1566">
            <v>43152</v>
          </cell>
          <cell r="B1566">
            <v>1.5</v>
          </cell>
        </row>
        <row r="1567">
          <cell r="A1567">
            <v>43153</v>
          </cell>
          <cell r="B1567">
            <v>1.5</v>
          </cell>
        </row>
        <row r="1568">
          <cell r="A1568">
            <v>43154</v>
          </cell>
          <cell r="B1568">
            <v>1.5</v>
          </cell>
        </row>
        <row r="1569">
          <cell r="A1569">
            <v>43155</v>
          </cell>
          <cell r="B1569">
            <v>1.5</v>
          </cell>
        </row>
        <row r="1570">
          <cell r="A1570">
            <v>43156</v>
          </cell>
          <cell r="B1570">
            <v>1.5</v>
          </cell>
        </row>
        <row r="1571">
          <cell r="A1571">
            <v>43157</v>
          </cell>
          <cell r="B1571">
            <v>1.5</v>
          </cell>
        </row>
        <row r="1572">
          <cell r="A1572">
            <v>43158</v>
          </cell>
          <cell r="B1572">
            <v>1.5</v>
          </cell>
        </row>
        <row r="1573">
          <cell r="A1573">
            <v>43159</v>
          </cell>
          <cell r="B1573">
            <v>1.5</v>
          </cell>
        </row>
        <row r="1574">
          <cell r="A1574">
            <v>43160</v>
          </cell>
          <cell r="B1574">
            <v>1.5</v>
          </cell>
        </row>
        <row r="1575">
          <cell r="A1575">
            <v>43161</v>
          </cell>
          <cell r="B1575">
            <v>1.5</v>
          </cell>
        </row>
        <row r="1576">
          <cell r="A1576">
            <v>43162</v>
          </cell>
          <cell r="B1576">
            <v>1.5</v>
          </cell>
        </row>
        <row r="1577">
          <cell r="A1577">
            <v>43163</v>
          </cell>
          <cell r="B1577">
            <v>1.5</v>
          </cell>
        </row>
        <row r="1578">
          <cell r="A1578">
            <v>43164</v>
          </cell>
          <cell r="B1578">
            <v>1.5</v>
          </cell>
        </row>
        <row r="1579">
          <cell r="A1579">
            <v>43165</v>
          </cell>
          <cell r="B1579">
            <v>1.5</v>
          </cell>
        </row>
        <row r="1580">
          <cell r="A1580">
            <v>43166</v>
          </cell>
          <cell r="B1580">
            <v>1.5</v>
          </cell>
        </row>
        <row r="1581">
          <cell r="A1581">
            <v>43167</v>
          </cell>
          <cell r="B1581">
            <v>1.5</v>
          </cell>
        </row>
        <row r="1582">
          <cell r="A1582">
            <v>43168</v>
          </cell>
          <cell r="B1582">
            <v>1.5</v>
          </cell>
        </row>
        <row r="1583">
          <cell r="A1583">
            <v>43169</v>
          </cell>
          <cell r="B1583">
            <v>1.5</v>
          </cell>
        </row>
        <row r="1584">
          <cell r="A1584">
            <v>43170</v>
          </cell>
          <cell r="B1584">
            <v>1.5</v>
          </cell>
        </row>
        <row r="1585">
          <cell r="A1585">
            <v>43171</v>
          </cell>
          <cell r="B1585">
            <v>1.5</v>
          </cell>
        </row>
        <row r="1586">
          <cell r="A1586">
            <v>43172</v>
          </cell>
          <cell r="B1586">
            <v>1.5</v>
          </cell>
        </row>
        <row r="1587">
          <cell r="A1587">
            <v>43173</v>
          </cell>
          <cell r="B1587">
            <v>1.5</v>
          </cell>
        </row>
        <row r="1588">
          <cell r="A1588">
            <v>43174</v>
          </cell>
          <cell r="B1588">
            <v>1.5</v>
          </cell>
        </row>
        <row r="1589">
          <cell r="A1589">
            <v>43175</v>
          </cell>
          <cell r="B1589">
            <v>1.5</v>
          </cell>
        </row>
        <row r="1590">
          <cell r="A1590">
            <v>43176</v>
          </cell>
          <cell r="B1590">
            <v>1.5</v>
          </cell>
        </row>
        <row r="1591">
          <cell r="A1591">
            <v>43177</v>
          </cell>
          <cell r="B1591">
            <v>1.5</v>
          </cell>
        </row>
        <row r="1592">
          <cell r="A1592">
            <v>43178</v>
          </cell>
          <cell r="B1592">
            <v>1.5</v>
          </cell>
        </row>
        <row r="1593">
          <cell r="A1593">
            <v>43179</v>
          </cell>
          <cell r="B1593">
            <v>1.5</v>
          </cell>
        </row>
        <row r="1594">
          <cell r="A1594">
            <v>43180</v>
          </cell>
          <cell r="B1594">
            <v>1.5</v>
          </cell>
        </row>
        <row r="1595">
          <cell r="A1595">
            <v>43181</v>
          </cell>
          <cell r="B1595">
            <v>1.75</v>
          </cell>
        </row>
        <row r="1596">
          <cell r="A1596">
            <v>43182</v>
          </cell>
          <cell r="B1596">
            <v>1.75</v>
          </cell>
        </row>
        <row r="1597">
          <cell r="A1597">
            <v>43183</v>
          </cell>
          <cell r="B1597">
            <v>1.75</v>
          </cell>
        </row>
        <row r="1598">
          <cell r="A1598">
            <v>43184</v>
          </cell>
          <cell r="B1598">
            <v>1.75</v>
          </cell>
        </row>
        <row r="1599">
          <cell r="A1599">
            <v>43185</v>
          </cell>
          <cell r="B1599">
            <v>1.75</v>
          </cell>
        </row>
        <row r="1600">
          <cell r="A1600">
            <v>43186</v>
          </cell>
          <cell r="B1600">
            <v>1.75</v>
          </cell>
        </row>
        <row r="1601">
          <cell r="A1601">
            <v>43187</v>
          </cell>
          <cell r="B1601">
            <v>1.75</v>
          </cell>
        </row>
        <row r="1602">
          <cell r="A1602">
            <v>43188</v>
          </cell>
          <cell r="B1602">
            <v>1.75</v>
          </cell>
        </row>
        <row r="1603">
          <cell r="A1603">
            <v>43189</v>
          </cell>
          <cell r="B1603">
            <v>1.75</v>
          </cell>
        </row>
        <row r="1604">
          <cell r="A1604">
            <v>43190</v>
          </cell>
          <cell r="B1604">
            <v>1.75</v>
          </cell>
        </row>
        <row r="1605">
          <cell r="A1605">
            <v>43191</v>
          </cell>
          <cell r="B1605">
            <v>1.75</v>
          </cell>
        </row>
        <row r="1606">
          <cell r="A1606">
            <v>43192</v>
          </cell>
          <cell r="B1606">
            <v>1.75</v>
          </cell>
        </row>
        <row r="1607">
          <cell r="A1607">
            <v>43193</v>
          </cell>
          <cell r="B1607">
            <v>1.75</v>
          </cell>
        </row>
        <row r="1608">
          <cell r="A1608">
            <v>43194</v>
          </cell>
          <cell r="B1608">
            <v>1.75</v>
          </cell>
        </row>
        <row r="1609">
          <cell r="A1609">
            <v>43195</v>
          </cell>
          <cell r="B1609">
            <v>1.75</v>
          </cell>
        </row>
        <row r="1610">
          <cell r="A1610">
            <v>43196</v>
          </cell>
          <cell r="B1610">
            <v>1.75</v>
          </cell>
        </row>
        <row r="1611">
          <cell r="A1611">
            <v>43197</v>
          </cell>
          <cell r="B1611">
            <v>1.75</v>
          </cell>
        </row>
        <row r="1612">
          <cell r="A1612">
            <v>43198</v>
          </cell>
          <cell r="B1612">
            <v>1.75</v>
          </cell>
        </row>
        <row r="1613">
          <cell r="A1613">
            <v>43199</v>
          </cell>
          <cell r="B1613">
            <v>1.75</v>
          </cell>
        </row>
        <row r="1614">
          <cell r="A1614">
            <v>43200</v>
          </cell>
          <cell r="B1614">
            <v>1.75</v>
          </cell>
        </row>
        <row r="1615">
          <cell r="A1615">
            <v>43201</v>
          </cell>
          <cell r="B1615">
            <v>1.75</v>
          </cell>
        </row>
        <row r="1616">
          <cell r="A1616">
            <v>43202</v>
          </cell>
          <cell r="B1616">
            <v>1.75</v>
          </cell>
        </row>
        <row r="1617">
          <cell r="A1617">
            <v>43203</v>
          </cell>
          <cell r="B1617">
            <v>1.75</v>
          </cell>
        </row>
        <row r="1618">
          <cell r="A1618">
            <v>43204</v>
          </cell>
          <cell r="B1618">
            <v>1.75</v>
          </cell>
        </row>
        <row r="1619">
          <cell r="A1619">
            <v>43205</v>
          </cell>
          <cell r="B1619">
            <v>1.75</v>
          </cell>
        </row>
        <row r="1620">
          <cell r="A1620">
            <v>43206</v>
          </cell>
          <cell r="B1620">
            <v>1.75</v>
          </cell>
        </row>
        <row r="1621">
          <cell r="A1621">
            <v>43207</v>
          </cell>
          <cell r="B1621">
            <v>1.75</v>
          </cell>
        </row>
        <row r="1622">
          <cell r="A1622">
            <v>43208</v>
          </cell>
          <cell r="B1622">
            <v>1.75</v>
          </cell>
        </row>
        <row r="1623">
          <cell r="A1623">
            <v>43209</v>
          </cell>
          <cell r="B1623">
            <v>1.75</v>
          </cell>
        </row>
        <row r="1624">
          <cell r="A1624">
            <v>43210</v>
          </cell>
          <cell r="B1624">
            <v>1.75</v>
          </cell>
        </row>
        <row r="1625">
          <cell r="A1625">
            <v>43211</v>
          </cell>
          <cell r="B1625">
            <v>1.75</v>
          </cell>
        </row>
        <row r="1626">
          <cell r="A1626">
            <v>43212</v>
          </cell>
          <cell r="B1626">
            <v>1.75</v>
          </cell>
        </row>
        <row r="1627">
          <cell r="A1627">
            <v>43213</v>
          </cell>
          <cell r="B1627">
            <v>1.75</v>
          </cell>
        </row>
        <row r="1628">
          <cell r="A1628">
            <v>43214</v>
          </cell>
          <cell r="B1628">
            <v>1.75</v>
          </cell>
        </row>
        <row r="1629">
          <cell r="A1629">
            <v>43215</v>
          </cell>
          <cell r="B1629">
            <v>1.75</v>
          </cell>
        </row>
        <row r="1630">
          <cell r="A1630">
            <v>43216</v>
          </cell>
          <cell r="B1630">
            <v>1.75</v>
          </cell>
        </row>
        <row r="1631">
          <cell r="A1631">
            <v>43217</v>
          </cell>
          <cell r="B1631">
            <v>1.75</v>
          </cell>
        </row>
        <row r="1632">
          <cell r="A1632">
            <v>43218</v>
          </cell>
          <cell r="B1632">
            <v>1.75</v>
          </cell>
        </row>
        <row r="1633">
          <cell r="A1633">
            <v>43219</v>
          </cell>
          <cell r="B1633">
            <v>1.75</v>
          </cell>
        </row>
        <row r="1634">
          <cell r="A1634">
            <v>43220</v>
          </cell>
          <cell r="B1634">
            <v>1.75</v>
          </cell>
        </row>
        <row r="1635">
          <cell r="A1635">
            <v>43221</v>
          </cell>
          <cell r="B1635">
            <v>1.75</v>
          </cell>
        </row>
        <row r="1636">
          <cell r="A1636">
            <v>43222</v>
          </cell>
          <cell r="B1636">
            <v>1.75</v>
          </cell>
        </row>
        <row r="1637">
          <cell r="A1637">
            <v>43223</v>
          </cell>
          <cell r="B1637">
            <v>1.75</v>
          </cell>
        </row>
        <row r="1638">
          <cell r="A1638">
            <v>43224</v>
          </cell>
          <cell r="B1638">
            <v>1.75</v>
          </cell>
        </row>
        <row r="1639">
          <cell r="A1639">
            <v>43225</v>
          </cell>
          <cell r="B1639">
            <v>1.75</v>
          </cell>
        </row>
        <row r="1640">
          <cell r="A1640">
            <v>43226</v>
          </cell>
          <cell r="B1640">
            <v>1.75</v>
          </cell>
        </row>
        <row r="1641">
          <cell r="A1641">
            <v>43227</v>
          </cell>
          <cell r="B1641">
            <v>1.75</v>
          </cell>
        </row>
        <row r="1642">
          <cell r="A1642">
            <v>43228</v>
          </cell>
          <cell r="B1642">
            <v>1.75</v>
          </cell>
        </row>
        <row r="1643">
          <cell r="A1643">
            <v>43229</v>
          </cell>
          <cell r="B1643">
            <v>1.75</v>
          </cell>
        </row>
        <row r="1644">
          <cell r="A1644">
            <v>43230</v>
          </cell>
          <cell r="B1644">
            <v>1.75</v>
          </cell>
        </row>
        <row r="1645">
          <cell r="A1645">
            <v>43231</v>
          </cell>
          <cell r="B1645">
            <v>1.75</v>
          </cell>
        </row>
        <row r="1646">
          <cell r="A1646">
            <v>43232</v>
          </cell>
          <cell r="B1646">
            <v>1.75</v>
          </cell>
        </row>
        <row r="1647">
          <cell r="A1647">
            <v>43233</v>
          </cell>
          <cell r="B1647">
            <v>1.75</v>
          </cell>
        </row>
        <row r="1648">
          <cell r="A1648">
            <v>43234</v>
          </cell>
          <cell r="B1648">
            <v>1.75</v>
          </cell>
        </row>
        <row r="1649">
          <cell r="A1649">
            <v>43235</v>
          </cell>
          <cell r="B1649">
            <v>1.75</v>
          </cell>
        </row>
        <row r="1650">
          <cell r="A1650">
            <v>43236</v>
          </cell>
          <cell r="B1650">
            <v>1.75</v>
          </cell>
        </row>
        <row r="1651">
          <cell r="A1651">
            <v>43237</v>
          </cell>
          <cell r="B1651">
            <v>1.75</v>
          </cell>
        </row>
        <row r="1652">
          <cell r="A1652">
            <v>43238</v>
          </cell>
          <cell r="B1652">
            <v>1.75</v>
          </cell>
        </row>
        <row r="1653">
          <cell r="A1653">
            <v>43239</v>
          </cell>
          <cell r="B1653">
            <v>1.75</v>
          </cell>
        </row>
        <row r="1654">
          <cell r="A1654">
            <v>43240</v>
          </cell>
          <cell r="B1654">
            <v>1.75</v>
          </cell>
        </row>
        <row r="1655">
          <cell r="A1655">
            <v>43241</v>
          </cell>
          <cell r="B1655">
            <v>1.75</v>
          </cell>
        </row>
        <row r="1656">
          <cell r="A1656">
            <v>43242</v>
          </cell>
          <cell r="B1656">
            <v>1.75</v>
          </cell>
        </row>
        <row r="1657">
          <cell r="A1657">
            <v>43243</v>
          </cell>
          <cell r="B1657">
            <v>1.75</v>
          </cell>
        </row>
        <row r="1658">
          <cell r="A1658">
            <v>43244</v>
          </cell>
          <cell r="B1658">
            <v>1.75</v>
          </cell>
        </row>
        <row r="1659">
          <cell r="A1659">
            <v>43245</v>
          </cell>
          <cell r="B1659">
            <v>1.75</v>
          </cell>
        </row>
        <row r="1660">
          <cell r="A1660">
            <v>43246</v>
          </cell>
          <cell r="B1660">
            <v>1.75</v>
          </cell>
        </row>
        <row r="1661">
          <cell r="A1661">
            <v>43247</v>
          </cell>
          <cell r="B1661">
            <v>1.75</v>
          </cell>
        </row>
        <row r="1662">
          <cell r="A1662">
            <v>43248</v>
          </cell>
          <cell r="B1662">
            <v>1.75</v>
          </cell>
        </row>
        <row r="1663">
          <cell r="A1663">
            <v>43249</v>
          </cell>
          <cell r="B1663">
            <v>1.75</v>
          </cell>
        </row>
        <row r="1664">
          <cell r="A1664">
            <v>43250</v>
          </cell>
          <cell r="B1664">
            <v>1.75</v>
          </cell>
        </row>
        <row r="1665">
          <cell r="A1665">
            <v>43251</v>
          </cell>
          <cell r="B1665">
            <v>1.75</v>
          </cell>
        </row>
        <row r="1666">
          <cell r="A1666">
            <v>43252</v>
          </cell>
          <cell r="B1666">
            <v>1.75</v>
          </cell>
        </row>
        <row r="1667">
          <cell r="A1667">
            <v>43253</v>
          </cell>
          <cell r="B1667">
            <v>1.75</v>
          </cell>
        </row>
        <row r="1668">
          <cell r="A1668">
            <v>43254</v>
          </cell>
          <cell r="B1668">
            <v>1.75</v>
          </cell>
        </row>
        <row r="1669">
          <cell r="A1669">
            <v>43255</v>
          </cell>
          <cell r="B1669">
            <v>1.75</v>
          </cell>
        </row>
        <row r="1670">
          <cell r="A1670">
            <v>43256</v>
          </cell>
          <cell r="B1670">
            <v>1.75</v>
          </cell>
        </row>
        <row r="1671">
          <cell r="A1671">
            <v>43257</v>
          </cell>
          <cell r="B1671">
            <v>1.75</v>
          </cell>
        </row>
        <row r="1672">
          <cell r="A1672">
            <v>43258</v>
          </cell>
          <cell r="B1672">
            <v>1.75</v>
          </cell>
        </row>
        <row r="1673">
          <cell r="A1673">
            <v>43259</v>
          </cell>
          <cell r="B1673">
            <v>1.75</v>
          </cell>
        </row>
        <row r="1674">
          <cell r="A1674">
            <v>43260</v>
          </cell>
          <cell r="B1674">
            <v>1.75</v>
          </cell>
        </row>
        <row r="1675">
          <cell r="A1675">
            <v>43261</v>
          </cell>
          <cell r="B1675">
            <v>1.75</v>
          </cell>
        </row>
        <row r="1676">
          <cell r="A1676">
            <v>43262</v>
          </cell>
          <cell r="B1676">
            <v>1.75</v>
          </cell>
        </row>
        <row r="1677">
          <cell r="A1677">
            <v>43263</v>
          </cell>
          <cell r="B1677">
            <v>1.75</v>
          </cell>
        </row>
        <row r="1678">
          <cell r="A1678">
            <v>43264</v>
          </cell>
          <cell r="B1678">
            <v>1.75</v>
          </cell>
        </row>
        <row r="1679">
          <cell r="A1679">
            <v>43265</v>
          </cell>
          <cell r="B1679">
            <v>2</v>
          </cell>
        </row>
        <row r="1680">
          <cell r="A1680">
            <v>43266</v>
          </cell>
          <cell r="B1680">
            <v>2</v>
          </cell>
        </row>
        <row r="1681">
          <cell r="A1681">
            <v>43267</v>
          </cell>
          <cell r="B1681">
            <v>2</v>
          </cell>
        </row>
        <row r="1682">
          <cell r="A1682">
            <v>43268</v>
          </cell>
          <cell r="B1682">
            <v>2</v>
          </cell>
        </row>
        <row r="1683">
          <cell r="A1683">
            <v>43269</v>
          </cell>
          <cell r="B1683">
            <v>2</v>
          </cell>
        </row>
        <row r="1684">
          <cell r="A1684">
            <v>43270</v>
          </cell>
          <cell r="B1684">
            <v>2</v>
          </cell>
        </row>
        <row r="1685">
          <cell r="A1685">
            <v>43271</v>
          </cell>
          <cell r="B1685">
            <v>2</v>
          </cell>
        </row>
        <row r="1686">
          <cell r="A1686">
            <v>43272</v>
          </cell>
          <cell r="B1686">
            <v>2</v>
          </cell>
        </row>
        <row r="1687">
          <cell r="A1687">
            <v>43273</v>
          </cell>
          <cell r="B1687">
            <v>2</v>
          </cell>
        </row>
        <row r="1688">
          <cell r="A1688">
            <v>43274</v>
          </cell>
          <cell r="B1688">
            <v>2</v>
          </cell>
        </row>
        <row r="1689">
          <cell r="A1689">
            <v>43275</v>
          </cell>
          <cell r="B1689">
            <v>2</v>
          </cell>
        </row>
        <row r="1690">
          <cell r="A1690">
            <v>43276</v>
          </cell>
          <cell r="B1690">
            <v>2</v>
          </cell>
        </row>
        <row r="1691">
          <cell r="A1691">
            <v>43277</v>
          </cell>
          <cell r="B1691">
            <v>2</v>
          </cell>
        </row>
        <row r="1692">
          <cell r="A1692">
            <v>43278</v>
          </cell>
          <cell r="B1692">
            <v>2</v>
          </cell>
        </row>
        <row r="1693">
          <cell r="A1693">
            <v>43279</v>
          </cell>
          <cell r="B1693">
            <v>2</v>
          </cell>
        </row>
        <row r="1694">
          <cell r="A1694">
            <v>43280</v>
          </cell>
          <cell r="B1694">
            <v>2</v>
          </cell>
        </row>
        <row r="1695">
          <cell r="A1695">
            <v>43281</v>
          </cell>
          <cell r="B1695">
            <v>2</v>
          </cell>
        </row>
        <row r="1696">
          <cell r="A1696">
            <v>43282</v>
          </cell>
          <cell r="B1696">
            <v>2</v>
          </cell>
        </row>
        <row r="1697">
          <cell r="A1697">
            <v>43283</v>
          </cell>
          <cell r="B1697">
            <v>2</v>
          </cell>
        </row>
        <row r="1698">
          <cell r="A1698">
            <v>43284</v>
          </cell>
          <cell r="B1698">
            <v>2</v>
          </cell>
        </row>
        <row r="1699">
          <cell r="A1699">
            <v>43285</v>
          </cell>
          <cell r="B1699">
            <v>2</v>
          </cell>
        </row>
        <row r="1700">
          <cell r="A1700">
            <v>43286</v>
          </cell>
          <cell r="B1700">
            <v>2</v>
          </cell>
        </row>
        <row r="1701">
          <cell r="A1701">
            <v>43287</v>
          </cell>
          <cell r="B1701">
            <v>2</v>
          </cell>
        </row>
        <row r="1702">
          <cell r="A1702">
            <v>43288</v>
          </cell>
          <cell r="B1702">
            <v>2</v>
          </cell>
        </row>
        <row r="1703">
          <cell r="A1703">
            <v>43289</v>
          </cell>
          <cell r="B1703">
            <v>2</v>
          </cell>
        </row>
        <row r="1704">
          <cell r="A1704">
            <v>43290</v>
          </cell>
          <cell r="B1704">
            <v>2</v>
          </cell>
        </row>
        <row r="1705">
          <cell r="A1705">
            <v>43291</v>
          </cell>
          <cell r="B1705">
            <v>2</v>
          </cell>
        </row>
        <row r="1706">
          <cell r="A1706">
            <v>43292</v>
          </cell>
          <cell r="B1706">
            <v>2</v>
          </cell>
        </row>
        <row r="1707">
          <cell r="A1707">
            <v>43293</v>
          </cell>
          <cell r="B1707">
            <v>2</v>
          </cell>
        </row>
        <row r="1708">
          <cell r="A1708">
            <v>43294</v>
          </cell>
          <cell r="B1708">
            <v>2</v>
          </cell>
        </row>
        <row r="1709">
          <cell r="A1709">
            <v>43295</v>
          </cell>
          <cell r="B1709">
            <v>2</v>
          </cell>
        </row>
        <row r="1710">
          <cell r="A1710">
            <v>43296</v>
          </cell>
          <cell r="B1710">
            <v>2</v>
          </cell>
        </row>
        <row r="1711">
          <cell r="A1711">
            <v>43297</v>
          </cell>
          <cell r="B1711">
            <v>2</v>
          </cell>
        </row>
        <row r="1712">
          <cell r="A1712">
            <v>43298</v>
          </cell>
          <cell r="B1712">
            <v>2</v>
          </cell>
        </row>
        <row r="1713">
          <cell r="A1713">
            <v>43299</v>
          </cell>
          <cell r="B1713">
            <v>2</v>
          </cell>
        </row>
        <row r="1714">
          <cell r="A1714">
            <v>43300</v>
          </cell>
          <cell r="B1714">
            <v>2</v>
          </cell>
        </row>
        <row r="1715">
          <cell r="A1715">
            <v>43301</v>
          </cell>
          <cell r="B1715">
            <v>2</v>
          </cell>
        </row>
        <row r="1716">
          <cell r="A1716">
            <v>43302</v>
          </cell>
          <cell r="B1716">
            <v>2</v>
          </cell>
        </row>
        <row r="1717">
          <cell r="A1717">
            <v>43303</v>
          </cell>
          <cell r="B1717">
            <v>2</v>
          </cell>
        </row>
        <row r="1718">
          <cell r="A1718">
            <v>43304</v>
          </cell>
          <cell r="B1718">
            <v>2</v>
          </cell>
        </row>
        <row r="1719">
          <cell r="A1719">
            <v>43305</v>
          </cell>
          <cell r="B1719">
            <v>2</v>
          </cell>
        </row>
        <row r="1720">
          <cell r="A1720">
            <v>43306</v>
          </cell>
          <cell r="B1720">
            <v>2</v>
          </cell>
        </row>
        <row r="1721">
          <cell r="A1721">
            <v>43307</v>
          </cell>
          <cell r="B1721">
            <v>2</v>
          </cell>
        </row>
        <row r="1722">
          <cell r="A1722">
            <v>43308</v>
          </cell>
          <cell r="B1722">
            <v>2</v>
          </cell>
        </row>
        <row r="1723">
          <cell r="A1723">
            <v>43309</v>
          </cell>
          <cell r="B1723">
            <v>2</v>
          </cell>
        </row>
        <row r="1724">
          <cell r="A1724">
            <v>43310</v>
          </cell>
          <cell r="B1724">
            <v>2</v>
          </cell>
        </row>
        <row r="1725">
          <cell r="A1725">
            <v>43311</v>
          </cell>
          <cell r="B1725">
            <v>2</v>
          </cell>
        </row>
        <row r="1726">
          <cell r="A1726">
            <v>43312</v>
          </cell>
          <cell r="B1726">
            <v>2</v>
          </cell>
        </row>
        <row r="1727">
          <cell r="A1727">
            <v>43313</v>
          </cell>
          <cell r="B1727">
            <v>2</v>
          </cell>
        </row>
        <row r="1728">
          <cell r="A1728">
            <v>43314</v>
          </cell>
          <cell r="B1728">
            <v>2</v>
          </cell>
        </row>
        <row r="1729">
          <cell r="A1729">
            <v>43315</v>
          </cell>
          <cell r="B1729">
            <v>2</v>
          </cell>
        </row>
        <row r="1730">
          <cell r="A1730">
            <v>43316</v>
          </cell>
          <cell r="B1730">
            <v>2</v>
          </cell>
        </row>
        <row r="1731">
          <cell r="A1731">
            <v>43317</v>
          </cell>
          <cell r="B1731">
            <v>2</v>
          </cell>
        </row>
        <row r="1732">
          <cell r="A1732">
            <v>43318</v>
          </cell>
          <cell r="B1732">
            <v>2</v>
          </cell>
        </row>
        <row r="1733">
          <cell r="A1733">
            <v>43319</v>
          </cell>
          <cell r="B1733">
            <v>2</v>
          </cell>
        </row>
        <row r="1734">
          <cell r="A1734">
            <v>43320</v>
          </cell>
          <cell r="B1734">
            <v>2</v>
          </cell>
        </row>
        <row r="1735">
          <cell r="A1735">
            <v>43321</v>
          </cell>
          <cell r="B1735">
            <v>2</v>
          </cell>
        </row>
        <row r="1736">
          <cell r="A1736">
            <v>43322</v>
          </cell>
          <cell r="B1736">
            <v>2</v>
          </cell>
        </row>
        <row r="1737">
          <cell r="A1737">
            <v>43323</v>
          </cell>
          <cell r="B1737">
            <v>2</v>
          </cell>
        </row>
        <row r="1738">
          <cell r="A1738">
            <v>43324</v>
          </cell>
          <cell r="B1738">
            <v>2</v>
          </cell>
        </row>
        <row r="1739">
          <cell r="A1739">
            <v>43325</v>
          </cell>
          <cell r="B1739">
            <v>2</v>
          </cell>
        </row>
        <row r="1740">
          <cell r="A1740">
            <v>43326</v>
          </cell>
          <cell r="B1740">
            <v>2</v>
          </cell>
        </row>
        <row r="1741">
          <cell r="A1741">
            <v>43327</v>
          </cell>
          <cell r="B1741">
            <v>2</v>
          </cell>
        </row>
        <row r="1742">
          <cell r="A1742">
            <v>43328</v>
          </cell>
          <cell r="B1742">
            <v>2</v>
          </cell>
        </row>
        <row r="1743">
          <cell r="A1743">
            <v>43329</v>
          </cell>
          <cell r="B1743">
            <v>2</v>
          </cell>
        </row>
        <row r="1744">
          <cell r="A1744">
            <v>43330</v>
          </cell>
          <cell r="B1744">
            <v>2</v>
          </cell>
        </row>
        <row r="1745">
          <cell r="A1745">
            <v>43331</v>
          </cell>
          <cell r="B1745">
            <v>2</v>
          </cell>
        </row>
        <row r="1746">
          <cell r="A1746">
            <v>43332</v>
          </cell>
          <cell r="B1746">
            <v>2</v>
          </cell>
        </row>
        <row r="1747">
          <cell r="A1747">
            <v>43333</v>
          </cell>
          <cell r="B1747">
            <v>2</v>
          </cell>
        </row>
        <row r="1748">
          <cell r="A1748">
            <v>43334</v>
          </cell>
          <cell r="B1748">
            <v>2</v>
          </cell>
        </row>
        <row r="1749">
          <cell r="A1749">
            <v>43335</v>
          </cell>
          <cell r="B1749">
            <v>2</v>
          </cell>
        </row>
        <row r="1750">
          <cell r="A1750">
            <v>43336</v>
          </cell>
          <cell r="B1750">
            <v>2</v>
          </cell>
        </row>
        <row r="1751">
          <cell r="A1751">
            <v>43337</v>
          </cell>
          <cell r="B1751">
            <v>2</v>
          </cell>
        </row>
        <row r="1752">
          <cell r="A1752">
            <v>43338</v>
          </cell>
          <cell r="B1752">
            <v>2</v>
          </cell>
        </row>
        <row r="1753">
          <cell r="A1753">
            <v>43339</v>
          </cell>
          <cell r="B1753">
            <v>2</v>
          </cell>
        </row>
        <row r="1754">
          <cell r="A1754">
            <v>43340</v>
          </cell>
          <cell r="B1754">
            <v>2</v>
          </cell>
        </row>
        <row r="1755">
          <cell r="A1755">
            <v>43341</v>
          </cell>
          <cell r="B1755">
            <v>2</v>
          </cell>
        </row>
        <row r="1756">
          <cell r="A1756">
            <v>43342</v>
          </cell>
          <cell r="B1756">
            <v>2</v>
          </cell>
        </row>
        <row r="1757">
          <cell r="A1757">
            <v>43343</v>
          </cell>
          <cell r="B1757">
            <v>2</v>
          </cell>
        </row>
        <row r="1758">
          <cell r="A1758">
            <v>43344</v>
          </cell>
          <cell r="B1758">
            <v>2</v>
          </cell>
        </row>
        <row r="1759">
          <cell r="A1759">
            <v>43345</v>
          </cell>
          <cell r="B1759">
            <v>2</v>
          </cell>
        </row>
        <row r="1760">
          <cell r="A1760">
            <v>43346</v>
          </cell>
          <cell r="B1760">
            <v>2</v>
          </cell>
        </row>
        <row r="1761">
          <cell r="A1761">
            <v>43347</v>
          </cell>
          <cell r="B1761">
            <v>2</v>
          </cell>
        </row>
        <row r="1762">
          <cell r="A1762">
            <v>43348</v>
          </cell>
          <cell r="B1762">
            <v>2</v>
          </cell>
        </row>
        <row r="1763">
          <cell r="A1763">
            <v>43349</v>
          </cell>
          <cell r="B1763">
            <v>2</v>
          </cell>
        </row>
        <row r="1764">
          <cell r="A1764">
            <v>43350</v>
          </cell>
          <cell r="B1764">
            <v>2</v>
          </cell>
        </row>
        <row r="1765">
          <cell r="A1765">
            <v>43351</v>
          </cell>
          <cell r="B1765">
            <v>2</v>
          </cell>
        </row>
        <row r="1766">
          <cell r="A1766">
            <v>43352</v>
          </cell>
          <cell r="B1766">
            <v>2</v>
          </cell>
        </row>
        <row r="1767">
          <cell r="A1767">
            <v>43353</v>
          </cell>
          <cell r="B1767">
            <v>2</v>
          </cell>
        </row>
        <row r="1768">
          <cell r="A1768">
            <v>43354</v>
          </cell>
          <cell r="B1768">
            <v>2</v>
          </cell>
        </row>
        <row r="1769">
          <cell r="A1769">
            <v>43355</v>
          </cell>
          <cell r="B1769">
            <v>2</v>
          </cell>
        </row>
        <row r="1770">
          <cell r="A1770">
            <v>43356</v>
          </cell>
          <cell r="B1770">
            <v>2</v>
          </cell>
        </row>
        <row r="1771">
          <cell r="A1771">
            <v>43357</v>
          </cell>
          <cell r="B1771">
            <v>2</v>
          </cell>
        </row>
        <row r="1772">
          <cell r="A1772">
            <v>43358</v>
          </cell>
          <cell r="B1772">
            <v>2</v>
          </cell>
        </row>
        <row r="1773">
          <cell r="A1773">
            <v>43359</v>
          </cell>
          <cell r="B1773">
            <v>2</v>
          </cell>
        </row>
        <row r="1774">
          <cell r="A1774">
            <v>43360</v>
          </cell>
          <cell r="B1774">
            <v>2</v>
          </cell>
        </row>
        <row r="1775">
          <cell r="A1775">
            <v>43361</v>
          </cell>
          <cell r="B1775">
            <v>2</v>
          </cell>
        </row>
        <row r="1776">
          <cell r="A1776">
            <v>43362</v>
          </cell>
          <cell r="B1776">
            <v>2</v>
          </cell>
        </row>
        <row r="1777">
          <cell r="A1777">
            <v>43363</v>
          </cell>
          <cell r="B1777">
            <v>2</v>
          </cell>
        </row>
        <row r="1778">
          <cell r="A1778">
            <v>43364</v>
          </cell>
          <cell r="B1778">
            <v>2</v>
          </cell>
        </row>
        <row r="1779">
          <cell r="A1779">
            <v>43365</v>
          </cell>
          <cell r="B1779">
            <v>2</v>
          </cell>
        </row>
        <row r="1780">
          <cell r="A1780">
            <v>43366</v>
          </cell>
          <cell r="B1780">
            <v>2</v>
          </cell>
        </row>
        <row r="1781">
          <cell r="A1781">
            <v>43367</v>
          </cell>
          <cell r="B1781">
            <v>2</v>
          </cell>
        </row>
        <row r="1782">
          <cell r="A1782">
            <v>43368</v>
          </cell>
          <cell r="B1782">
            <v>2</v>
          </cell>
        </row>
        <row r="1783">
          <cell r="A1783">
            <v>43369</v>
          </cell>
          <cell r="B1783">
            <v>2</v>
          </cell>
        </row>
        <row r="1784">
          <cell r="A1784">
            <v>43370</v>
          </cell>
          <cell r="B1784">
            <v>2.25</v>
          </cell>
        </row>
        <row r="1785">
          <cell r="A1785">
            <v>43371</v>
          </cell>
          <cell r="B1785">
            <v>2.25</v>
          </cell>
        </row>
        <row r="1786">
          <cell r="A1786">
            <v>43372</v>
          </cell>
          <cell r="B1786">
            <v>2.25</v>
          </cell>
        </row>
        <row r="1787">
          <cell r="A1787">
            <v>43373</v>
          </cell>
          <cell r="B1787">
            <v>2.25</v>
          </cell>
        </row>
        <row r="1788">
          <cell r="A1788">
            <v>43374</v>
          </cell>
          <cell r="B1788">
            <v>2.25</v>
          </cell>
        </row>
        <row r="1789">
          <cell r="A1789">
            <v>43375</v>
          </cell>
          <cell r="B1789">
            <v>2.25</v>
          </cell>
        </row>
        <row r="1790">
          <cell r="A1790">
            <v>43376</v>
          </cell>
          <cell r="B1790">
            <v>2.25</v>
          </cell>
        </row>
        <row r="1791">
          <cell r="A1791">
            <v>43377</v>
          </cell>
          <cell r="B1791">
            <v>2.25</v>
          </cell>
        </row>
        <row r="1792">
          <cell r="A1792">
            <v>43378</v>
          </cell>
          <cell r="B1792">
            <v>2.25</v>
          </cell>
        </row>
        <row r="1793">
          <cell r="A1793">
            <v>43379</v>
          </cell>
          <cell r="B1793">
            <v>2.25</v>
          </cell>
        </row>
        <row r="1794">
          <cell r="A1794">
            <v>43380</v>
          </cell>
          <cell r="B1794">
            <v>2.25</v>
          </cell>
        </row>
        <row r="1795">
          <cell r="A1795">
            <v>43381</v>
          </cell>
          <cell r="B1795">
            <v>2.25</v>
          </cell>
        </row>
        <row r="1796">
          <cell r="A1796">
            <v>43382</v>
          </cell>
          <cell r="B1796">
            <v>2.25</v>
          </cell>
        </row>
        <row r="1797">
          <cell r="A1797">
            <v>43383</v>
          </cell>
          <cell r="B1797">
            <v>2.25</v>
          </cell>
        </row>
        <row r="1798">
          <cell r="A1798">
            <v>43384</v>
          </cell>
          <cell r="B1798">
            <v>2.25</v>
          </cell>
        </row>
        <row r="1799">
          <cell r="A1799">
            <v>43385</v>
          </cell>
          <cell r="B1799">
            <v>2.25</v>
          </cell>
        </row>
        <row r="1800">
          <cell r="A1800">
            <v>43386</v>
          </cell>
          <cell r="B1800">
            <v>2.25</v>
          </cell>
        </row>
        <row r="1801">
          <cell r="A1801">
            <v>43387</v>
          </cell>
          <cell r="B1801">
            <v>2.25</v>
          </cell>
        </row>
        <row r="1802">
          <cell r="A1802">
            <v>43388</v>
          </cell>
          <cell r="B1802">
            <v>2.25</v>
          </cell>
        </row>
        <row r="1803">
          <cell r="A1803">
            <v>43389</v>
          </cell>
          <cell r="B1803">
            <v>2.25</v>
          </cell>
        </row>
        <row r="1804">
          <cell r="A1804">
            <v>43390</v>
          </cell>
          <cell r="B1804">
            <v>2.25</v>
          </cell>
        </row>
        <row r="1805">
          <cell r="A1805">
            <v>43391</v>
          </cell>
          <cell r="B1805">
            <v>2.25</v>
          </cell>
        </row>
        <row r="1806">
          <cell r="A1806">
            <v>43392</v>
          </cell>
          <cell r="B1806">
            <v>2.25</v>
          </cell>
        </row>
        <row r="1807">
          <cell r="A1807">
            <v>43393</v>
          </cell>
          <cell r="B1807">
            <v>2.25</v>
          </cell>
        </row>
        <row r="1808">
          <cell r="A1808">
            <v>43394</v>
          </cell>
          <cell r="B1808">
            <v>2.25</v>
          </cell>
        </row>
        <row r="1809">
          <cell r="A1809">
            <v>43395</v>
          </cell>
          <cell r="B1809">
            <v>2.25</v>
          </cell>
        </row>
        <row r="1810">
          <cell r="A1810">
            <v>43396</v>
          </cell>
          <cell r="B1810">
            <v>2.25</v>
          </cell>
        </row>
        <row r="1811">
          <cell r="A1811">
            <v>43397</v>
          </cell>
          <cell r="B1811">
            <v>2.25</v>
          </cell>
        </row>
        <row r="1812">
          <cell r="A1812">
            <v>43398</v>
          </cell>
          <cell r="B1812">
            <v>2.25</v>
          </cell>
        </row>
        <row r="1813">
          <cell r="A1813">
            <v>43399</v>
          </cell>
          <cell r="B1813">
            <v>2.25</v>
          </cell>
        </row>
        <row r="1814">
          <cell r="A1814">
            <v>43400</v>
          </cell>
          <cell r="B1814">
            <v>2.25</v>
          </cell>
        </row>
        <row r="1815">
          <cell r="A1815">
            <v>43401</v>
          </cell>
          <cell r="B1815">
            <v>2.25</v>
          </cell>
        </row>
        <row r="1816">
          <cell r="A1816">
            <v>43402</v>
          </cell>
          <cell r="B1816">
            <v>2.25</v>
          </cell>
        </row>
        <row r="1817">
          <cell r="A1817">
            <v>43403</v>
          </cell>
          <cell r="B1817">
            <v>2.25</v>
          </cell>
        </row>
        <row r="1818">
          <cell r="A1818">
            <v>43404</v>
          </cell>
          <cell r="B1818">
            <v>2.25</v>
          </cell>
        </row>
        <row r="1819">
          <cell r="A1819">
            <v>43405</v>
          </cell>
          <cell r="B1819">
            <v>2.25</v>
          </cell>
        </row>
        <row r="1820">
          <cell r="A1820">
            <v>43406</v>
          </cell>
          <cell r="B1820">
            <v>2.25</v>
          </cell>
        </row>
        <row r="1821">
          <cell r="A1821">
            <v>43407</v>
          </cell>
          <cell r="B1821">
            <v>2.25</v>
          </cell>
        </row>
        <row r="1822">
          <cell r="A1822">
            <v>43408</v>
          </cell>
          <cell r="B1822">
            <v>2.25</v>
          </cell>
        </row>
        <row r="1823">
          <cell r="A1823">
            <v>43409</v>
          </cell>
          <cell r="B1823">
            <v>2.25</v>
          </cell>
        </row>
        <row r="1824">
          <cell r="A1824">
            <v>43410</v>
          </cell>
          <cell r="B1824">
            <v>2.25</v>
          </cell>
        </row>
        <row r="1825">
          <cell r="A1825">
            <v>43411</v>
          </cell>
          <cell r="B1825">
            <v>2.25</v>
          </cell>
        </row>
        <row r="1826">
          <cell r="A1826">
            <v>43412</v>
          </cell>
          <cell r="B1826">
            <v>2.25</v>
          </cell>
        </row>
        <row r="1827">
          <cell r="A1827">
            <v>43413</v>
          </cell>
          <cell r="B1827">
            <v>2.25</v>
          </cell>
        </row>
        <row r="1828">
          <cell r="A1828">
            <v>43414</v>
          </cell>
          <cell r="B1828">
            <v>2.25</v>
          </cell>
        </row>
        <row r="1829">
          <cell r="A1829">
            <v>43415</v>
          </cell>
          <cell r="B1829">
            <v>2.25</v>
          </cell>
        </row>
        <row r="1830">
          <cell r="A1830">
            <v>43416</v>
          </cell>
          <cell r="B1830">
            <v>2.25</v>
          </cell>
        </row>
        <row r="1831">
          <cell r="A1831">
            <v>43417</v>
          </cell>
          <cell r="B1831">
            <v>2.25</v>
          </cell>
        </row>
        <row r="1832">
          <cell r="A1832">
            <v>43418</v>
          </cell>
          <cell r="B1832">
            <v>2.25</v>
          </cell>
        </row>
        <row r="1833">
          <cell r="A1833">
            <v>43419</v>
          </cell>
          <cell r="B1833">
            <v>2.25</v>
          </cell>
        </row>
        <row r="1834">
          <cell r="A1834">
            <v>43420</v>
          </cell>
          <cell r="B1834">
            <v>2.25</v>
          </cell>
        </row>
        <row r="1835">
          <cell r="A1835">
            <v>43421</v>
          </cell>
          <cell r="B1835">
            <v>2.25</v>
          </cell>
        </row>
        <row r="1836">
          <cell r="A1836">
            <v>43422</v>
          </cell>
          <cell r="B1836">
            <v>2.25</v>
          </cell>
        </row>
        <row r="1837">
          <cell r="A1837">
            <v>43423</v>
          </cell>
          <cell r="B1837">
            <v>2.25</v>
          </cell>
        </row>
        <row r="1838">
          <cell r="A1838">
            <v>43424</v>
          </cell>
          <cell r="B1838">
            <v>2.25</v>
          </cell>
        </row>
        <row r="1839">
          <cell r="A1839">
            <v>43425</v>
          </cell>
          <cell r="B1839">
            <v>2.25</v>
          </cell>
        </row>
        <row r="1840">
          <cell r="A1840">
            <v>43426</v>
          </cell>
          <cell r="B1840">
            <v>2.25</v>
          </cell>
        </row>
        <row r="1841">
          <cell r="A1841">
            <v>43427</v>
          </cell>
          <cell r="B1841">
            <v>2.25</v>
          </cell>
        </row>
        <row r="1842">
          <cell r="A1842">
            <v>43428</v>
          </cell>
          <cell r="B1842">
            <v>2.25</v>
          </cell>
        </row>
        <row r="1843">
          <cell r="A1843">
            <v>43429</v>
          </cell>
          <cell r="B1843">
            <v>2.25</v>
          </cell>
        </row>
        <row r="1844">
          <cell r="A1844">
            <v>43430</v>
          </cell>
          <cell r="B1844">
            <v>2.25</v>
          </cell>
        </row>
        <row r="1845">
          <cell r="A1845">
            <v>43431</v>
          </cell>
          <cell r="B1845">
            <v>2.25</v>
          </cell>
        </row>
        <row r="1846">
          <cell r="A1846">
            <v>43432</v>
          </cell>
          <cell r="B1846">
            <v>2.25</v>
          </cell>
        </row>
        <row r="1847">
          <cell r="A1847">
            <v>43433</v>
          </cell>
          <cell r="B1847">
            <v>2.25</v>
          </cell>
        </row>
        <row r="1848">
          <cell r="A1848">
            <v>43434</v>
          </cell>
          <cell r="B1848">
            <v>2.25</v>
          </cell>
        </row>
        <row r="1849">
          <cell r="A1849">
            <v>43435</v>
          </cell>
          <cell r="B1849">
            <v>2.25</v>
          </cell>
        </row>
        <row r="1850">
          <cell r="A1850">
            <v>43436</v>
          </cell>
          <cell r="B1850">
            <v>2.25</v>
          </cell>
        </row>
        <row r="1851">
          <cell r="A1851">
            <v>43437</v>
          </cell>
          <cell r="B1851">
            <v>2.25</v>
          </cell>
        </row>
        <row r="1852">
          <cell r="A1852">
            <v>43438</v>
          </cell>
          <cell r="B1852">
            <v>2.25</v>
          </cell>
        </row>
        <row r="1853">
          <cell r="A1853">
            <v>43439</v>
          </cell>
          <cell r="B1853">
            <v>2.25</v>
          </cell>
        </row>
        <row r="1854">
          <cell r="A1854">
            <v>43440</v>
          </cell>
          <cell r="B1854">
            <v>2.25</v>
          </cell>
        </row>
        <row r="1855">
          <cell r="A1855">
            <v>43441</v>
          </cell>
          <cell r="B1855">
            <v>2.25</v>
          </cell>
        </row>
        <row r="1856">
          <cell r="A1856">
            <v>43442</v>
          </cell>
          <cell r="B1856">
            <v>2.25</v>
          </cell>
        </row>
        <row r="1857">
          <cell r="A1857">
            <v>43443</v>
          </cell>
          <cell r="B1857">
            <v>2.25</v>
          </cell>
        </row>
        <row r="1858">
          <cell r="A1858">
            <v>43444</v>
          </cell>
          <cell r="B1858">
            <v>2.25</v>
          </cell>
        </row>
        <row r="1859">
          <cell r="A1859">
            <v>43445</v>
          </cell>
          <cell r="B1859">
            <v>2.25</v>
          </cell>
        </row>
        <row r="1860">
          <cell r="A1860">
            <v>43446</v>
          </cell>
          <cell r="B1860">
            <v>2.25</v>
          </cell>
        </row>
        <row r="1861">
          <cell r="A1861">
            <v>43447</v>
          </cell>
          <cell r="B1861">
            <v>2.25</v>
          </cell>
        </row>
        <row r="1862">
          <cell r="A1862">
            <v>43448</v>
          </cell>
          <cell r="B1862">
            <v>2.25</v>
          </cell>
        </row>
        <row r="1863">
          <cell r="A1863">
            <v>43449</v>
          </cell>
          <cell r="B1863">
            <v>2.25</v>
          </cell>
        </row>
        <row r="1864">
          <cell r="A1864">
            <v>43450</v>
          </cell>
          <cell r="B1864">
            <v>2.25</v>
          </cell>
        </row>
        <row r="1865">
          <cell r="A1865">
            <v>43451</v>
          </cell>
          <cell r="B1865">
            <v>2.25</v>
          </cell>
        </row>
        <row r="1866">
          <cell r="A1866">
            <v>43452</v>
          </cell>
          <cell r="B1866">
            <v>2.5</v>
          </cell>
          <cell r="C1866" t="str">
            <v>x</v>
          </cell>
        </row>
        <row r="1867">
          <cell r="A1867">
            <v>43453</v>
          </cell>
          <cell r="B1867">
            <v>2.5</v>
          </cell>
        </row>
        <row r="1868">
          <cell r="A1868">
            <v>43454</v>
          </cell>
          <cell r="B1868">
            <v>2.5</v>
          </cell>
        </row>
        <row r="1869">
          <cell r="A1869">
            <v>43455</v>
          </cell>
          <cell r="B1869">
            <v>2.5</v>
          </cell>
        </row>
        <row r="1870">
          <cell r="A1870">
            <v>43456</v>
          </cell>
          <cell r="B1870">
            <v>2.5</v>
          </cell>
        </row>
        <row r="1871">
          <cell r="A1871">
            <v>43457</v>
          </cell>
          <cell r="B1871">
            <v>2.5</v>
          </cell>
        </row>
        <row r="1872">
          <cell r="A1872">
            <v>43458</v>
          </cell>
          <cell r="B1872">
            <v>2.5</v>
          </cell>
        </row>
        <row r="1873">
          <cell r="A1873">
            <v>43459</v>
          </cell>
          <cell r="B1873">
            <v>2.5</v>
          </cell>
        </row>
        <row r="1874">
          <cell r="A1874">
            <v>43460</v>
          </cell>
          <cell r="B1874">
            <v>2.5</v>
          </cell>
        </row>
        <row r="1875">
          <cell r="A1875">
            <v>43461</v>
          </cell>
          <cell r="B1875">
            <v>2.5</v>
          </cell>
        </row>
        <row r="1876">
          <cell r="A1876">
            <v>43462</v>
          </cell>
          <cell r="B1876">
            <v>2.5</v>
          </cell>
        </row>
        <row r="1877">
          <cell r="A1877">
            <v>43463</v>
          </cell>
          <cell r="B1877">
            <v>2.5</v>
          </cell>
        </row>
        <row r="1878">
          <cell r="A1878">
            <v>43464</v>
          </cell>
          <cell r="B1878">
            <v>2.5</v>
          </cell>
        </row>
        <row r="1879">
          <cell r="A1879">
            <v>43465</v>
          </cell>
          <cell r="B1879">
            <v>2.5</v>
          </cell>
        </row>
        <row r="1880">
          <cell r="A1880">
            <v>43466</v>
          </cell>
          <cell r="B1880">
            <v>2.5</v>
          </cell>
        </row>
        <row r="1881">
          <cell r="A1881">
            <v>43467</v>
          </cell>
          <cell r="B1881">
            <v>2.5</v>
          </cell>
        </row>
        <row r="1882">
          <cell r="A1882">
            <v>43468</v>
          </cell>
          <cell r="B1882">
            <v>2.5</v>
          </cell>
        </row>
        <row r="1883">
          <cell r="A1883">
            <v>43469</v>
          </cell>
          <cell r="B1883">
            <v>2.5</v>
          </cell>
        </row>
        <row r="1884">
          <cell r="A1884">
            <v>43470</v>
          </cell>
          <cell r="B1884">
            <v>2.5</v>
          </cell>
        </row>
        <row r="1885">
          <cell r="A1885">
            <v>43471</v>
          </cell>
          <cell r="B1885">
            <v>2.5</v>
          </cell>
        </row>
        <row r="1886">
          <cell r="A1886">
            <v>43472</v>
          </cell>
          <cell r="B1886">
            <v>2.5</v>
          </cell>
        </row>
        <row r="1887">
          <cell r="A1887">
            <v>43473</v>
          </cell>
          <cell r="B1887">
            <v>2.5</v>
          </cell>
        </row>
        <row r="1888">
          <cell r="A1888">
            <v>43474</v>
          </cell>
          <cell r="B1888">
            <v>2.5</v>
          </cell>
        </row>
        <row r="1889">
          <cell r="A1889">
            <v>43475</v>
          </cell>
          <cell r="B1889">
            <v>2.5</v>
          </cell>
        </row>
        <row r="1890">
          <cell r="A1890">
            <v>43476</v>
          </cell>
          <cell r="B1890">
            <v>2.5</v>
          </cell>
        </row>
        <row r="1891">
          <cell r="A1891">
            <v>43477</v>
          </cell>
          <cell r="B1891">
            <v>2.5</v>
          </cell>
        </row>
        <row r="1892">
          <cell r="A1892">
            <v>43478</v>
          </cell>
          <cell r="B1892">
            <v>2.5</v>
          </cell>
        </row>
        <row r="1893">
          <cell r="A1893">
            <v>43479</v>
          </cell>
          <cell r="B1893">
            <v>2.5</v>
          </cell>
        </row>
        <row r="1894">
          <cell r="A1894">
            <v>43480</v>
          </cell>
          <cell r="B1894">
            <v>2.5</v>
          </cell>
        </row>
        <row r="1895">
          <cell r="A1895">
            <v>43481</v>
          </cell>
          <cell r="B1895">
            <v>2.5</v>
          </cell>
        </row>
        <row r="1896">
          <cell r="A1896">
            <v>43482</v>
          </cell>
          <cell r="B1896">
            <v>2.5</v>
          </cell>
        </row>
        <row r="1897">
          <cell r="A1897">
            <v>43483</v>
          </cell>
          <cell r="B1897">
            <v>2.5</v>
          </cell>
        </row>
        <row r="1898">
          <cell r="A1898">
            <v>43484</v>
          </cell>
          <cell r="B1898">
            <v>2.5</v>
          </cell>
        </row>
        <row r="1899">
          <cell r="A1899">
            <v>43485</v>
          </cell>
          <cell r="B1899">
            <v>2.5</v>
          </cell>
        </row>
        <row r="1900">
          <cell r="A1900">
            <v>43486</v>
          </cell>
          <cell r="B1900">
            <v>2.5</v>
          </cell>
        </row>
        <row r="1901">
          <cell r="A1901">
            <v>43487</v>
          </cell>
          <cell r="B1901">
            <v>2.5</v>
          </cell>
        </row>
        <row r="1902">
          <cell r="A1902">
            <v>43488</v>
          </cell>
          <cell r="B1902">
            <v>2.5</v>
          </cell>
        </row>
        <row r="1903">
          <cell r="A1903">
            <v>43489</v>
          </cell>
          <cell r="B1903">
            <v>2.5</v>
          </cell>
        </row>
        <row r="1904">
          <cell r="A1904">
            <v>43490</v>
          </cell>
          <cell r="B1904">
            <v>2.5</v>
          </cell>
        </row>
        <row r="1905">
          <cell r="A1905">
            <v>43491</v>
          </cell>
          <cell r="B1905">
            <v>2.5</v>
          </cell>
        </row>
        <row r="1906">
          <cell r="A1906">
            <v>43492</v>
          </cell>
          <cell r="B1906">
            <v>2.5</v>
          </cell>
        </row>
        <row r="1907">
          <cell r="A1907">
            <v>43493</v>
          </cell>
          <cell r="B1907">
            <v>2.5</v>
          </cell>
        </row>
        <row r="1908">
          <cell r="A1908">
            <v>43494</v>
          </cell>
          <cell r="B1908">
            <v>2.5</v>
          </cell>
          <cell r="C1908" t="str">
            <v>x</v>
          </cell>
        </row>
        <row r="1909">
          <cell r="A1909">
            <v>43495</v>
          </cell>
          <cell r="B1909">
            <v>2.5</v>
          </cell>
        </row>
        <row r="1910">
          <cell r="A1910">
            <v>43496</v>
          </cell>
          <cell r="B1910">
            <v>2.5</v>
          </cell>
        </row>
        <row r="1911">
          <cell r="A1911">
            <v>43497</v>
          </cell>
          <cell r="B1911">
            <v>2.5</v>
          </cell>
        </row>
        <row r="1912">
          <cell r="A1912">
            <v>43498</v>
          </cell>
          <cell r="B1912">
            <v>2.5</v>
          </cell>
        </row>
        <row r="1913">
          <cell r="A1913">
            <v>43499</v>
          </cell>
          <cell r="B1913">
            <v>2.5</v>
          </cell>
        </row>
        <row r="1914">
          <cell r="A1914">
            <v>43500</v>
          </cell>
          <cell r="B1914">
            <v>2.5</v>
          </cell>
        </row>
        <row r="1915">
          <cell r="A1915">
            <v>43501</v>
          </cell>
          <cell r="B1915">
            <v>2.5</v>
          </cell>
        </row>
        <row r="1916">
          <cell r="A1916">
            <v>43502</v>
          </cell>
          <cell r="B1916">
            <v>2.5</v>
          </cell>
        </row>
        <row r="1917">
          <cell r="A1917">
            <v>43503</v>
          </cell>
          <cell r="B1917">
            <v>2.5</v>
          </cell>
        </row>
        <row r="1918">
          <cell r="A1918">
            <v>43504</v>
          </cell>
          <cell r="B1918">
            <v>2.5</v>
          </cell>
        </row>
        <row r="1919">
          <cell r="A1919">
            <v>43505</v>
          </cell>
          <cell r="B1919">
            <v>2.5</v>
          </cell>
        </row>
        <row r="1920">
          <cell r="A1920">
            <v>43506</v>
          </cell>
          <cell r="B1920">
            <v>2.5</v>
          </cell>
        </row>
        <row r="1921">
          <cell r="A1921">
            <v>43507</v>
          </cell>
          <cell r="B1921">
            <v>2.5</v>
          </cell>
        </row>
        <row r="1922">
          <cell r="A1922">
            <v>43508</v>
          </cell>
          <cell r="B1922">
            <v>2.5</v>
          </cell>
        </row>
        <row r="1923">
          <cell r="A1923">
            <v>43509</v>
          </cell>
          <cell r="B1923">
            <v>2.5</v>
          </cell>
        </row>
        <row r="1924">
          <cell r="A1924">
            <v>43510</v>
          </cell>
          <cell r="B1924">
            <v>2.5</v>
          </cell>
        </row>
        <row r="1925">
          <cell r="A1925">
            <v>43511</v>
          </cell>
          <cell r="B1925">
            <v>2.5</v>
          </cell>
        </row>
        <row r="1926">
          <cell r="A1926">
            <v>43512</v>
          </cell>
          <cell r="B1926">
            <v>2.5</v>
          </cell>
        </row>
        <row r="1927">
          <cell r="A1927">
            <v>43513</v>
          </cell>
          <cell r="B1927">
            <v>2.5</v>
          </cell>
        </row>
        <row r="1928">
          <cell r="A1928">
            <v>43514</v>
          </cell>
          <cell r="B1928">
            <v>2.5</v>
          </cell>
        </row>
        <row r="1929">
          <cell r="A1929">
            <v>43515</v>
          </cell>
          <cell r="B1929">
            <v>2.5</v>
          </cell>
        </row>
        <row r="1930">
          <cell r="A1930">
            <v>43516</v>
          </cell>
          <cell r="B1930">
            <v>2.5</v>
          </cell>
        </row>
        <row r="1931">
          <cell r="A1931">
            <v>43517</v>
          </cell>
          <cell r="B1931">
            <v>2.5</v>
          </cell>
        </row>
        <row r="1932">
          <cell r="A1932">
            <v>43518</v>
          </cell>
          <cell r="B1932">
            <v>2.5</v>
          </cell>
        </row>
        <row r="1933">
          <cell r="A1933">
            <v>43519</v>
          </cell>
          <cell r="B1933">
            <v>2.5</v>
          </cell>
        </row>
        <row r="1934">
          <cell r="A1934">
            <v>43520</v>
          </cell>
          <cell r="B1934">
            <v>2.5</v>
          </cell>
        </row>
        <row r="1935">
          <cell r="A1935">
            <v>43521</v>
          </cell>
          <cell r="B1935">
            <v>2.5</v>
          </cell>
        </row>
        <row r="1936">
          <cell r="A1936">
            <v>43522</v>
          </cell>
          <cell r="B1936">
            <v>2.5</v>
          </cell>
        </row>
        <row r="1937">
          <cell r="A1937">
            <v>43523</v>
          </cell>
          <cell r="B1937">
            <v>2.5</v>
          </cell>
        </row>
        <row r="1938">
          <cell r="A1938">
            <v>43524</v>
          </cell>
          <cell r="B1938">
            <v>2.5</v>
          </cell>
        </row>
        <row r="1939">
          <cell r="A1939">
            <v>43525</v>
          </cell>
          <cell r="B1939">
            <v>2.5</v>
          </cell>
        </row>
        <row r="1940">
          <cell r="A1940">
            <v>43526</v>
          </cell>
          <cell r="B1940">
            <v>2.5</v>
          </cell>
        </row>
        <row r="1941">
          <cell r="A1941">
            <v>43527</v>
          </cell>
          <cell r="B1941">
            <v>2.5</v>
          </cell>
        </row>
        <row r="1942">
          <cell r="A1942">
            <v>43528</v>
          </cell>
          <cell r="B1942">
            <v>2.5</v>
          </cell>
        </row>
        <row r="1943">
          <cell r="A1943">
            <v>43529</v>
          </cell>
          <cell r="B1943">
            <v>2.5</v>
          </cell>
        </row>
        <row r="1944">
          <cell r="A1944">
            <v>43530</v>
          </cell>
          <cell r="B1944">
            <v>2.5</v>
          </cell>
        </row>
        <row r="1945">
          <cell r="A1945">
            <v>43531</v>
          </cell>
          <cell r="B1945">
            <v>2.5</v>
          </cell>
        </row>
        <row r="1946">
          <cell r="A1946">
            <v>43532</v>
          </cell>
          <cell r="B1946">
            <v>2.5</v>
          </cell>
        </row>
        <row r="1947">
          <cell r="A1947">
            <v>43533</v>
          </cell>
          <cell r="B1947">
            <v>2.5</v>
          </cell>
        </row>
        <row r="1948">
          <cell r="A1948">
            <v>43534</v>
          </cell>
          <cell r="B1948">
            <v>2.5</v>
          </cell>
        </row>
        <row r="1949">
          <cell r="A1949">
            <v>43535</v>
          </cell>
          <cell r="B1949">
            <v>2.5</v>
          </cell>
        </row>
        <row r="1950">
          <cell r="A1950">
            <v>43536</v>
          </cell>
          <cell r="B1950">
            <v>2.5</v>
          </cell>
        </row>
        <row r="1951">
          <cell r="A1951">
            <v>43537</v>
          </cell>
          <cell r="B1951">
            <v>2.5</v>
          </cell>
        </row>
        <row r="1952">
          <cell r="A1952">
            <v>43538</v>
          </cell>
          <cell r="B1952">
            <v>2.5</v>
          </cell>
        </row>
        <row r="1953">
          <cell r="A1953">
            <v>43539</v>
          </cell>
          <cell r="B1953">
            <v>2.5</v>
          </cell>
        </row>
        <row r="1954">
          <cell r="A1954">
            <v>43540</v>
          </cell>
          <cell r="B1954">
            <v>2.5</v>
          </cell>
        </row>
        <row r="1955">
          <cell r="A1955">
            <v>43541</v>
          </cell>
          <cell r="B1955">
            <v>2.5</v>
          </cell>
        </row>
        <row r="1956">
          <cell r="A1956">
            <v>43542</v>
          </cell>
          <cell r="B1956">
            <v>2.5</v>
          </cell>
        </row>
        <row r="1957">
          <cell r="A1957">
            <v>43543</v>
          </cell>
          <cell r="B1957">
            <v>2.75</v>
          </cell>
          <cell r="C1957" t="str">
            <v>x</v>
          </cell>
        </row>
        <row r="1958">
          <cell r="A1958">
            <v>43544</v>
          </cell>
          <cell r="B1958">
            <v>2.75</v>
          </cell>
        </row>
        <row r="1959">
          <cell r="A1959">
            <v>43545</v>
          </cell>
          <cell r="B1959">
            <v>2.75</v>
          </cell>
        </row>
        <row r="1960">
          <cell r="A1960">
            <v>43546</v>
          </cell>
          <cell r="B1960">
            <v>2.75</v>
          </cell>
        </row>
        <row r="1961">
          <cell r="A1961">
            <v>43547</v>
          </cell>
          <cell r="B1961">
            <v>2.75</v>
          </cell>
        </row>
        <row r="1962">
          <cell r="A1962">
            <v>43548</v>
          </cell>
          <cell r="B1962">
            <v>2.75</v>
          </cell>
        </row>
        <row r="1963">
          <cell r="A1963">
            <v>43549</v>
          </cell>
          <cell r="B1963">
            <v>2.75</v>
          </cell>
        </row>
        <row r="1964">
          <cell r="A1964">
            <v>43550</v>
          </cell>
          <cell r="B1964">
            <v>2.75</v>
          </cell>
        </row>
        <row r="1965">
          <cell r="A1965">
            <v>43551</v>
          </cell>
          <cell r="B1965">
            <v>2.75</v>
          </cell>
        </row>
        <row r="1966">
          <cell r="A1966">
            <v>43552</v>
          </cell>
          <cell r="B1966">
            <v>2.75</v>
          </cell>
        </row>
        <row r="1967">
          <cell r="A1967">
            <v>43553</v>
          </cell>
          <cell r="B1967">
            <v>2.75</v>
          </cell>
        </row>
        <row r="1968">
          <cell r="A1968">
            <v>43554</v>
          </cell>
          <cell r="B1968">
            <v>2.75</v>
          </cell>
        </row>
        <row r="1969">
          <cell r="A1969">
            <v>43555</v>
          </cell>
          <cell r="B1969">
            <v>2.75</v>
          </cell>
        </row>
        <row r="1970">
          <cell r="A1970">
            <v>43556</v>
          </cell>
          <cell r="B1970">
            <v>2.75</v>
          </cell>
        </row>
        <row r="1971">
          <cell r="A1971">
            <v>43557</v>
          </cell>
          <cell r="B1971">
            <v>2.75</v>
          </cell>
        </row>
        <row r="1972">
          <cell r="A1972">
            <v>43558</v>
          </cell>
          <cell r="B1972">
            <v>2.75</v>
          </cell>
        </row>
        <row r="1973">
          <cell r="A1973">
            <v>43559</v>
          </cell>
          <cell r="B1973">
            <v>2.75</v>
          </cell>
        </row>
        <row r="1974">
          <cell r="A1974">
            <v>43560</v>
          </cell>
          <cell r="B1974">
            <v>2.75</v>
          </cell>
        </row>
        <row r="1975">
          <cell r="A1975">
            <v>43561</v>
          </cell>
          <cell r="B1975">
            <v>2.75</v>
          </cell>
        </row>
        <row r="1976">
          <cell r="A1976">
            <v>43562</v>
          </cell>
          <cell r="B1976">
            <v>2.75</v>
          </cell>
        </row>
        <row r="1977">
          <cell r="A1977">
            <v>43563</v>
          </cell>
          <cell r="B1977">
            <v>2.75</v>
          </cell>
        </row>
        <row r="1978">
          <cell r="A1978">
            <v>43564</v>
          </cell>
          <cell r="B1978">
            <v>2.75</v>
          </cell>
        </row>
        <row r="1979">
          <cell r="A1979">
            <v>43565</v>
          </cell>
          <cell r="B1979">
            <v>2.75</v>
          </cell>
        </row>
        <row r="1980">
          <cell r="A1980">
            <v>43566</v>
          </cell>
          <cell r="B1980">
            <v>2.75</v>
          </cell>
        </row>
        <row r="1981">
          <cell r="A1981">
            <v>43567</v>
          </cell>
          <cell r="B1981">
            <v>2.75</v>
          </cell>
        </row>
        <row r="1982">
          <cell r="A1982">
            <v>43568</v>
          </cell>
          <cell r="B1982">
            <v>2.75</v>
          </cell>
        </row>
        <row r="1983">
          <cell r="A1983">
            <v>43569</v>
          </cell>
          <cell r="B1983">
            <v>2.75</v>
          </cell>
        </row>
        <row r="1984">
          <cell r="A1984">
            <v>43570</v>
          </cell>
          <cell r="B1984">
            <v>2.75</v>
          </cell>
        </row>
        <row r="1985">
          <cell r="A1985">
            <v>43571</v>
          </cell>
          <cell r="B1985">
            <v>2.75</v>
          </cell>
        </row>
        <row r="1986">
          <cell r="A1986">
            <v>43572</v>
          </cell>
          <cell r="B1986">
            <v>2.75</v>
          </cell>
        </row>
        <row r="1987">
          <cell r="A1987">
            <v>43573</v>
          </cell>
          <cell r="B1987">
            <v>2.75</v>
          </cell>
        </row>
        <row r="1988">
          <cell r="A1988">
            <v>43574</v>
          </cell>
          <cell r="B1988">
            <v>2.75</v>
          </cell>
        </row>
        <row r="1989">
          <cell r="A1989">
            <v>43575</v>
          </cell>
          <cell r="B1989">
            <v>2.75</v>
          </cell>
        </row>
        <row r="1990">
          <cell r="A1990">
            <v>43576</v>
          </cell>
          <cell r="B1990">
            <v>2.75</v>
          </cell>
        </row>
        <row r="1991">
          <cell r="A1991">
            <v>43577</v>
          </cell>
          <cell r="B1991">
            <v>2.75</v>
          </cell>
        </row>
        <row r="1992">
          <cell r="A1992">
            <v>43578</v>
          </cell>
          <cell r="B1992">
            <v>2.75</v>
          </cell>
        </row>
        <row r="1993">
          <cell r="A1993">
            <v>43579</v>
          </cell>
          <cell r="B1993">
            <v>2.75</v>
          </cell>
        </row>
        <row r="1994">
          <cell r="A1994">
            <v>43580</v>
          </cell>
          <cell r="B1994">
            <v>2.75</v>
          </cell>
        </row>
        <row r="1995">
          <cell r="A1995">
            <v>43581</v>
          </cell>
          <cell r="B1995">
            <v>2.75</v>
          </cell>
        </row>
        <row r="1996">
          <cell r="A1996">
            <v>43582</v>
          </cell>
          <cell r="B1996">
            <v>2.75</v>
          </cell>
        </row>
        <row r="1997">
          <cell r="A1997">
            <v>43583</v>
          </cell>
          <cell r="B1997">
            <v>2.75</v>
          </cell>
        </row>
        <row r="1998">
          <cell r="A1998">
            <v>43584</v>
          </cell>
          <cell r="B1998">
            <v>2.75</v>
          </cell>
        </row>
        <row r="1999">
          <cell r="A1999">
            <v>43585</v>
          </cell>
          <cell r="B1999">
            <v>2.75</v>
          </cell>
          <cell r="C1999" t="str">
            <v>x</v>
          </cell>
        </row>
        <row r="2000">
          <cell r="A2000">
            <v>43586</v>
          </cell>
          <cell r="B2000">
            <v>2.75</v>
          </cell>
        </row>
        <row r="2001">
          <cell r="A2001">
            <v>43587</v>
          </cell>
          <cell r="B2001">
            <v>2.75</v>
          </cell>
        </row>
        <row r="2002">
          <cell r="A2002">
            <v>43588</v>
          </cell>
          <cell r="B2002">
            <v>2.75</v>
          </cell>
        </row>
        <row r="2003">
          <cell r="A2003">
            <v>43589</v>
          </cell>
          <cell r="B2003">
            <v>2.75</v>
          </cell>
        </row>
        <row r="2004">
          <cell r="A2004">
            <v>43590</v>
          </cell>
          <cell r="B2004">
            <v>2.75</v>
          </cell>
        </row>
        <row r="2005">
          <cell r="A2005">
            <v>43591</v>
          </cell>
          <cell r="B2005">
            <v>2.75</v>
          </cell>
        </row>
        <row r="2006">
          <cell r="A2006">
            <v>43592</v>
          </cell>
          <cell r="B2006">
            <v>2.75</v>
          </cell>
        </row>
        <row r="2007">
          <cell r="A2007">
            <v>43593</v>
          </cell>
          <cell r="B2007">
            <v>2.75</v>
          </cell>
        </row>
        <row r="2008">
          <cell r="A2008">
            <v>43594</v>
          </cell>
          <cell r="B2008">
            <v>2.75</v>
          </cell>
        </row>
        <row r="2009">
          <cell r="A2009">
            <v>43595</v>
          </cell>
          <cell r="B2009">
            <v>2.75</v>
          </cell>
        </row>
        <row r="2010">
          <cell r="A2010">
            <v>43596</v>
          </cell>
          <cell r="B2010">
            <v>2.75</v>
          </cell>
        </row>
        <row r="2011">
          <cell r="A2011">
            <v>43597</v>
          </cell>
          <cell r="B2011">
            <v>2.75</v>
          </cell>
        </row>
        <row r="2012">
          <cell r="A2012">
            <v>43598</v>
          </cell>
          <cell r="B2012">
            <v>2.75</v>
          </cell>
        </row>
        <row r="2013">
          <cell r="A2013">
            <v>43599</v>
          </cell>
          <cell r="B2013">
            <v>2.75</v>
          </cell>
        </row>
        <row r="2014">
          <cell r="A2014">
            <v>43600</v>
          </cell>
          <cell r="B2014">
            <v>2.75</v>
          </cell>
        </row>
        <row r="2015">
          <cell r="A2015">
            <v>43601</v>
          </cell>
          <cell r="B2015">
            <v>2.75</v>
          </cell>
        </row>
        <row r="2016">
          <cell r="A2016">
            <v>43602</v>
          </cell>
          <cell r="B2016">
            <v>2.75</v>
          </cell>
        </row>
        <row r="2017">
          <cell r="A2017">
            <v>43603</v>
          </cell>
          <cell r="B2017">
            <v>2.75</v>
          </cell>
        </row>
        <row r="2018">
          <cell r="A2018">
            <v>43604</v>
          </cell>
          <cell r="B2018">
            <v>2.75</v>
          </cell>
        </row>
        <row r="2019">
          <cell r="A2019">
            <v>43605</v>
          </cell>
          <cell r="B2019">
            <v>2.75</v>
          </cell>
        </row>
        <row r="2020">
          <cell r="A2020">
            <v>43606</v>
          </cell>
          <cell r="B2020">
            <v>2.75</v>
          </cell>
        </row>
        <row r="2021">
          <cell r="A2021">
            <v>43607</v>
          </cell>
          <cell r="B2021">
            <v>2.75</v>
          </cell>
        </row>
        <row r="2022">
          <cell r="A2022">
            <v>43608</v>
          </cell>
          <cell r="B2022">
            <v>2.75</v>
          </cell>
        </row>
        <row r="2023">
          <cell r="A2023">
            <v>43609</v>
          </cell>
          <cell r="B2023">
            <v>2.75</v>
          </cell>
        </row>
        <row r="2024">
          <cell r="A2024">
            <v>43610</v>
          </cell>
          <cell r="B2024">
            <v>2.75</v>
          </cell>
        </row>
        <row r="2025">
          <cell r="A2025">
            <v>43611</v>
          </cell>
          <cell r="B2025">
            <v>2.75</v>
          </cell>
        </row>
        <row r="2026">
          <cell r="A2026">
            <v>43612</v>
          </cell>
          <cell r="B2026">
            <v>2.75</v>
          </cell>
        </row>
        <row r="2027">
          <cell r="A2027">
            <v>43613</v>
          </cell>
          <cell r="B2027">
            <v>2.75</v>
          </cell>
        </row>
        <row r="2028">
          <cell r="A2028">
            <v>43614</v>
          </cell>
          <cell r="B2028">
            <v>2.75</v>
          </cell>
        </row>
        <row r="2029">
          <cell r="A2029">
            <v>43615</v>
          </cell>
          <cell r="B2029">
            <v>2.75</v>
          </cell>
        </row>
        <row r="2030">
          <cell r="A2030">
            <v>43616</v>
          </cell>
          <cell r="B2030">
            <v>2.75</v>
          </cell>
        </row>
        <row r="2031">
          <cell r="A2031">
            <v>43617</v>
          </cell>
          <cell r="B2031">
            <v>2.75</v>
          </cell>
        </row>
        <row r="2032">
          <cell r="A2032">
            <v>43618</v>
          </cell>
          <cell r="B2032">
            <v>2.75</v>
          </cell>
        </row>
        <row r="2033">
          <cell r="A2033">
            <v>43619</v>
          </cell>
          <cell r="B2033">
            <v>2.75</v>
          </cell>
        </row>
        <row r="2034">
          <cell r="A2034">
            <v>43620</v>
          </cell>
          <cell r="B2034">
            <v>2.75</v>
          </cell>
        </row>
        <row r="2035">
          <cell r="A2035">
            <v>43621</v>
          </cell>
          <cell r="B2035">
            <v>2.75</v>
          </cell>
        </row>
        <row r="2036">
          <cell r="A2036">
            <v>43622</v>
          </cell>
          <cell r="B2036">
            <v>2.75</v>
          </cell>
        </row>
        <row r="2037">
          <cell r="A2037">
            <v>43623</v>
          </cell>
          <cell r="B2037">
            <v>2.75</v>
          </cell>
        </row>
        <row r="2038">
          <cell r="A2038">
            <v>43624</v>
          </cell>
          <cell r="B2038">
            <v>2.75</v>
          </cell>
        </row>
        <row r="2039">
          <cell r="A2039">
            <v>43625</v>
          </cell>
          <cell r="B2039">
            <v>2.75</v>
          </cell>
        </row>
        <row r="2040">
          <cell r="A2040">
            <v>43626</v>
          </cell>
          <cell r="B2040">
            <v>2.75</v>
          </cell>
        </row>
        <row r="2041">
          <cell r="A2041">
            <v>43627</v>
          </cell>
          <cell r="B2041">
            <v>2.75</v>
          </cell>
        </row>
        <row r="2042">
          <cell r="A2042">
            <v>43628</v>
          </cell>
          <cell r="B2042">
            <v>2.75</v>
          </cell>
        </row>
        <row r="2043">
          <cell r="A2043">
            <v>43629</v>
          </cell>
          <cell r="B2043">
            <v>2.75</v>
          </cell>
        </row>
        <row r="2044">
          <cell r="A2044">
            <v>43630</v>
          </cell>
          <cell r="B2044">
            <v>2.75</v>
          </cell>
        </row>
        <row r="2045">
          <cell r="A2045">
            <v>43631</v>
          </cell>
          <cell r="B2045">
            <v>2.75</v>
          </cell>
        </row>
        <row r="2046">
          <cell r="A2046">
            <v>43632</v>
          </cell>
          <cell r="B2046">
            <v>2.75</v>
          </cell>
        </row>
        <row r="2047">
          <cell r="A2047">
            <v>43633</v>
          </cell>
          <cell r="B2047">
            <v>2.75</v>
          </cell>
        </row>
        <row r="2048">
          <cell r="A2048">
            <v>43634</v>
          </cell>
          <cell r="B2048">
            <v>3</v>
          </cell>
          <cell r="C2048" t="str">
            <v>x</v>
          </cell>
        </row>
        <row r="2049">
          <cell r="A2049">
            <v>43635</v>
          </cell>
          <cell r="B2049">
            <v>3</v>
          </cell>
        </row>
        <row r="2050">
          <cell r="A2050">
            <v>43636</v>
          </cell>
          <cell r="B2050">
            <v>3</v>
          </cell>
        </row>
        <row r="2051">
          <cell r="A2051">
            <v>43637</v>
          </cell>
          <cell r="B2051">
            <v>3</v>
          </cell>
        </row>
        <row r="2052">
          <cell r="A2052">
            <v>43638</v>
          </cell>
          <cell r="B2052">
            <v>3</v>
          </cell>
        </row>
        <row r="2053">
          <cell r="A2053">
            <v>43639</v>
          </cell>
          <cell r="B2053">
            <v>3</v>
          </cell>
        </row>
        <row r="2054">
          <cell r="A2054">
            <v>43640</v>
          </cell>
          <cell r="B2054">
            <v>3</v>
          </cell>
        </row>
        <row r="2055">
          <cell r="A2055">
            <v>43641</v>
          </cell>
          <cell r="B2055">
            <v>3</v>
          </cell>
        </row>
        <row r="2056">
          <cell r="A2056">
            <v>43642</v>
          </cell>
          <cell r="B2056">
            <v>3</v>
          </cell>
        </row>
        <row r="2057">
          <cell r="A2057">
            <v>43643</v>
          </cell>
          <cell r="B2057">
            <v>3</v>
          </cell>
        </row>
        <row r="2058">
          <cell r="A2058">
            <v>43644</v>
          </cell>
          <cell r="B2058">
            <v>3</v>
          </cell>
        </row>
        <row r="2059">
          <cell r="A2059">
            <v>43645</v>
          </cell>
          <cell r="B2059">
            <v>3</v>
          </cell>
        </row>
        <row r="2060">
          <cell r="A2060">
            <v>43646</v>
          </cell>
          <cell r="B2060">
            <v>3</v>
          </cell>
        </row>
        <row r="2061">
          <cell r="A2061">
            <v>43647</v>
          </cell>
          <cell r="B2061">
            <v>3</v>
          </cell>
        </row>
        <row r="2062">
          <cell r="A2062">
            <v>43648</v>
          </cell>
          <cell r="B2062">
            <v>3</v>
          </cell>
        </row>
        <row r="2063">
          <cell r="A2063">
            <v>43649</v>
          </cell>
          <cell r="B2063">
            <v>3</v>
          </cell>
        </row>
        <row r="2064">
          <cell r="A2064">
            <v>43650</v>
          </cell>
          <cell r="B2064">
            <v>3</v>
          </cell>
        </row>
        <row r="2065">
          <cell r="A2065">
            <v>43651</v>
          </cell>
          <cell r="B2065">
            <v>3</v>
          </cell>
        </row>
        <row r="2066">
          <cell r="A2066">
            <v>43652</v>
          </cell>
          <cell r="B2066">
            <v>3</v>
          </cell>
        </row>
        <row r="2067">
          <cell r="A2067">
            <v>43653</v>
          </cell>
          <cell r="B2067">
            <v>3</v>
          </cell>
        </row>
        <row r="2068">
          <cell r="A2068">
            <v>43654</v>
          </cell>
          <cell r="B2068">
            <v>3</v>
          </cell>
        </row>
        <row r="2069">
          <cell r="A2069">
            <v>43655</v>
          </cell>
          <cell r="B2069">
            <v>3</v>
          </cell>
        </row>
        <row r="2070">
          <cell r="A2070">
            <v>43656</v>
          </cell>
          <cell r="B2070">
            <v>3</v>
          </cell>
        </row>
        <row r="2071">
          <cell r="A2071">
            <v>43657</v>
          </cell>
          <cell r="B2071">
            <v>3</v>
          </cell>
        </row>
        <row r="2072">
          <cell r="A2072">
            <v>43658</v>
          </cell>
          <cell r="B2072">
            <v>3</v>
          </cell>
        </row>
        <row r="2073">
          <cell r="A2073">
            <v>43659</v>
          </cell>
          <cell r="B2073">
            <v>3</v>
          </cell>
        </row>
        <row r="2074">
          <cell r="A2074">
            <v>43660</v>
          </cell>
          <cell r="B2074">
            <v>3</v>
          </cell>
        </row>
        <row r="2075">
          <cell r="A2075">
            <v>43661</v>
          </cell>
          <cell r="B2075">
            <v>3</v>
          </cell>
        </row>
        <row r="2076">
          <cell r="A2076">
            <v>43662</v>
          </cell>
          <cell r="B2076">
            <v>3</v>
          </cell>
        </row>
        <row r="2077">
          <cell r="A2077">
            <v>43663</v>
          </cell>
          <cell r="B2077">
            <v>3</v>
          </cell>
        </row>
        <row r="2078">
          <cell r="A2078">
            <v>43664</v>
          </cell>
          <cell r="B2078">
            <v>3</v>
          </cell>
        </row>
        <row r="2079">
          <cell r="A2079">
            <v>43665</v>
          </cell>
          <cell r="B2079">
            <v>3</v>
          </cell>
        </row>
        <row r="2080">
          <cell r="A2080">
            <v>43666</v>
          </cell>
          <cell r="B2080">
            <v>3</v>
          </cell>
        </row>
        <row r="2081">
          <cell r="A2081">
            <v>43667</v>
          </cell>
          <cell r="B2081">
            <v>3</v>
          </cell>
        </row>
        <row r="2082">
          <cell r="A2082">
            <v>43668</v>
          </cell>
          <cell r="B2082">
            <v>3</v>
          </cell>
        </row>
        <row r="2083">
          <cell r="A2083">
            <v>43669</v>
          </cell>
          <cell r="B2083">
            <v>3</v>
          </cell>
        </row>
        <row r="2084">
          <cell r="A2084">
            <v>43670</v>
          </cell>
          <cell r="B2084">
            <v>3</v>
          </cell>
        </row>
        <row r="2085">
          <cell r="A2085">
            <v>43671</v>
          </cell>
          <cell r="B2085">
            <v>3</v>
          </cell>
        </row>
        <row r="2086">
          <cell r="A2086">
            <v>43672</v>
          </cell>
          <cell r="B2086">
            <v>3</v>
          </cell>
        </row>
        <row r="2087">
          <cell r="A2087">
            <v>43673</v>
          </cell>
          <cell r="B2087">
            <v>3</v>
          </cell>
        </row>
        <row r="2088">
          <cell r="A2088">
            <v>43674</v>
          </cell>
          <cell r="B2088">
            <v>3</v>
          </cell>
        </row>
        <row r="2089">
          <cell r="A2089">
            <v>43675</v>
          </cell>
          <cell r="B2089">
            <v>3</v>
          </cell>
        </row>
        <row r="2090">
          <cell r="A2090">
            <v>43676</v>
          </cell>
          <cell r="B2090">
            <v>3</v>
          </cell>
          <cell r="C2090" t="str">
            <v>x</v>
          </cell>
        </row>
        <row r="2091">
          <cell r="A2091">
            <v>43677</v>
          </cell>
          <cell r="B2091">
            <v>3</v>
          </cell>
        </row>
        <row r="2092">
          <cell r="A2092">
            <v>43678</v>
          </cell>
          <cell r="B2092">
            <v>3</v>
          </cell>
        </row>
        <row r="2093">
          <cell r="A2093">
            <v>43679</v>
          </cell>
          <cell r="B2093">
            <v>3</v>
          </cell>
        </row>
        <row r="2094">
          <cell r="A2094">
            <v>43680</v>
          </cell>
          <cell r="B2094">
            <v>3</v>
          </cell>
        </row>
        <row r="2095">
          <cell r="A2095">
            <v>43681</v>
          </cell>
          <cell r="B2095">
            <v>3</v>
          </cell>
        </row>
        <row r="2096">
          <cell r="A2096">
            <v>43682</v>
          </cell>
          <cell r="B2096">
            <v>3</v>
          </cell>
        </row>
        <row r="2097">
          <cell r="A2097">
            <v>43683</v>
          </cell>
          <cell r="B2097">
            <v>3</v>
          </cell>
        </row>
        <row r="2098">
          <cell r="A2098">
            <v>43684</v>
          </cell>
          <cell r="B2098">
            <v>3</v>
          </cell>
        </row>
        <row r="2099">
          <cell r="A2099">
            <v>43685</v>
          </cell>
          <cell r="B2099">
            <v>3</v>
          </cell>
        </row>
        <row r="2100">
          <cell r="A2100">
            <v>43686</v>
          </cell>
          <cell r="B2100">
            <v>3</v>
          </cell>
        </row>
        <row r="2101">
          <cell r="A2101">
            <v>43687</v>
          </cell>
          <cell r="B2101">
            <v>3</v>
          </cell>
        </row>
        <row r="2102">
          <cell r="A2102">
            <v>43688</v>
          </cell>
          <cell r="B2102">
            <v>3</v>
          </cell>
        </row>
        <row r="2103">
          <cell r="A2103">
            <v>43689</v>
          </cell>
          <cell r="B2103">
            <v>3</v>
          </cell>
        </row>
        <row r="2104">
          <cell r="A2104">
            <v>43690</v>
          </cell>
          <cell r="B2104">
            <v>3</v>
          </cell>
        </row>
        <row r="2105">
          <cell r="A2105">
            <v>43691</v>
          </cell>
          <cell r="B2105">
            <v>3</v>
          </cell>
        </row>
        <row r="2106">
          <cell r="A2106">
            <v>43692</v>
          </cell>
          <cell r="B2106">
            <v>3</v>
          </cell>
        </row>
        <row r="2107">
          <cell r="A2107">
            <v>43693</v>
          </cell>
          <cell r="B2107">
            <v>3</v>
          </cell>
        </row>
        <row r="2108">
          <cell r="A2108">
            <v>43694</v>
          </cell>
          <cell r="B2108">
            <v>3</v>
          </cell>
        </row>
        <row r="2109">
          <cell r="A2109">
            <v>43695</v>
          </cell>
          <cell r="B2109">
            <v>3</v>
          </cell>
        </row>
        <row r="2110">
          <cell r="A2110">
            <v>43696</v>
          </cell>
          <cell r="B2110">
            <v>3</v>
          </cell>
        </row>
        <row r="2111">
          <cell r="A2111">
            <v>43697</v>
          </cell>
          <cell r="B2111">
            <v>3</v>
          </cell>
        </row>
        <row r="2112">
          <cell r="A2112">
            <v>43698</v>
          </cell>
          <cell r="B2112">
            <v>3</v>
          </cell>
        </row>
        <row r="2113">
          <cell r="A2113">
            <v>43699</v>
          </cell>
          <cell r="B2113">
            <v>3</v>
          </cell>
        </row>
        <row r="2114">
          <cell r="A2114">
            <v>43700</v>
          </cell>
          <cell r="B2114">
            <v>3</v>
          </cell>
        </row>
        <row r="2115">
          <cell r="A2115">
            <v>43701</v>
          </cell>
          <cell r="B2115">
            <v>3</v>
          </cell>
        </row>
        <row r="2116">
          <cell r="A2116">
            <v>43702</v>
          </cell>
          <cell r="B2116">
            <v>3</v>
          </cell>
        </row>
        <row r="2117">
          <cell r="A2117">
            <v>43703</v>
          </cell>
          <cell r="B2117">
            <v>3</v>
          </cell>
        </row>
        <row r="2118">
          <cell r="A2118">
            <v>43704</v>
          </cell>
          <cell r="B2118">
            <v>3</v>
          </cell>
        </row>
        <row r="2119">
          <cell r="A2119">
            <v>43705</v>
          </cell>
          <cell r="B2119">
            <v>3</v>
          </cell>
        </row>
        <row r="2120">
          <cell r="A2120">
            <v>43706</v>
          </cell>
          <cell r="B2120">
            <v>3</v>
          </cell>
        </row>
        <row r="2121">
          <cell r="A2121">
            <v>43707</v>
          </cell>
          <cell r="B2121">
            <v>3</v>
          </cell>
        </row>
        <row r="2122">
          <cell r="A2122">
            <v>43708</v>
          </cell>
          <cell r="B2122">
            <v>3</v>
          </cell>
        </row>
        <row r="2123">
          <cell r="A2123">
            <v>43709</v>
          </cell>
          <cell r="B2123">
            <v>3</v>
          </cell>
        </row>
        <row r="2124">
          <cell r="A2124">
            <v>43710</v>
          </cell>
          <cell r="B2124">
            <v>3</v>
          </cell>
        </row>
        <row r="2125">
          <cell r="A2125">
            <v>43711</v>
          </cell>
          <cell r="B2125">
            <v>3</v>
          </cell>
        </row>
        <row r="2126">
          <cell r="A2126">
            <v>43712</v>
          </cell>
          <cell r="B2126">
            <v>3</v>
          </cell>
        </row>
        <row r="2127">
          <cell r="A2127">
            <v>43713</v>
          </cell>
          <cell r="B2127">
            <v>3</v>
          </cell>
        </row>
        <row r="2128">
          <cell r="A2128">
            <v>43714</v>
          </cell>
          <cell r="B2128">
            <v>3</v>
          </cell>
        </row>
        <row r="2129">
          <cell r="A2129">
            <v>43715</v>
          </cell>
          <cell r="B2129">
            <v>3</v>
          </cell>
        </row>
        <row r="2130">
          <cell r="A2130">
            <v>43716</v>
          </cell>
          <cell r="B2130">
            <v>3</v>
          </cell>
        </row>
        <row r="2131">
          <cell r="A2131">
            <v>43717</v>
          </cell>
          <cell r="B2131">
            <v>3</v>
          </cell>
        </row>
        <row r="2132">
          <cell r="A2132">
            <v>43718</v>
          </cell>
          <cell r="B2132">
            <v>3</v>
          </cell>
        </row>
        <row r="2133">
          <cell r="A2133">
            <v>43719</v>
          </cell>
          <cell r="B2133">
            <v>3</v>
          </cell>
        </row>
        <row r="2134">
          <cell r="A2134">
            <v>43720</v>
          </cell>
          <cell r="B2134">
            <v>3</v>
          </cell>
        </row>
        <row r="2135">
          <cell r="A2135">
            <v>43721</v>
          </cell>
          <cell r="B2135">
            <v>3</v>
          </cell>
        </row>
        <row r="2136">
          <cell r="A2136">
            <v>43722</v>
          </cell>
          <cell r="B2136">
            <v>3</v>
          </cell>
        </row>
        <row r="2137">
          <cell r="A2137">
            <v>43723</v>
          </cell>
          <cell r="B2137">
            <v>3</v>
          </cell>
        </row>
        <row r="2138">
          <cell r="A2138">
            <v>43724</v>
          </cell>
          <cell r="B2138">
            <v>3</v>
          </cell>
        </row>
        <row r="2139">
          <cell r="A2139">
            <v>43725</v>
          </cell>
          <cell r="B2139">
            <v>3.25</v>
          </cell>
          <cell r="C2139" t="str">
            <v>x</v>
          </cell>
        </row>
        <row r="2140">
          <cell r="A2140">
            <v>43726</v>
          </cell>
          <cell r="B2140">
            <v>3.25</v>
          </cell>
        </row>
        <row r="2141">
          <cell r="A2141">
            <v>43727</v>
          </cell>
          <cell r="B2141">
            <v>3.25</v>
          </cell>
        </row>
        <row r="2142">
          <cell r="A2142">
            <v>43728</v>
          </cell>
          <cell r="B2142">
            <v>3.25</v>
          </cell>
        </row>
        <row r="2143">
          <cell r="A2143">
            <v>43729</v>
          </cell>
          <cell r="B2143">
            <v>3.25</v>
          </cell>
        </row>
        <row r="2144">
          <cell r="A2144">
            <v>43730</v>
          </cell>
          <cell r="B2144">
            <v>3.25</v>
          </cell>
        </row>
        <row r="2145">
          <cell r="A2145">
            <v>43731</v>
          </cell>
          <cell r="B2145">
            <v>3.25</v>
          </cell>
        </row>
        <row r="2146">
          <cell r="A2146">
            <v>43732</v>
          </cell>
          <cell r="B2146">
            <v>3.25</v>
          </cell>
        </row>
        <row r="2147">
          <cell r="A2147">
            <v>43733</v>
          </cell>
          <cell r="B2147">
            <v>3.25</v>
          </cell>
        </row>
        <row r="2148">
          <cell r="A2148">
            <v>43734</v>
          </cell>
          <cell r="B2148">
            <v>3.25</v>
          </cell>
        </row>
        <row r="2149">
          <cell r="A2149">
            <v>43735</v>
          </cell>
          <cell r="B2149">
            <v>3.25</v>
          </cell>
        </row>
        <row r="2150">
          <cell r="A2150">
            <v>43736</v>
          </cell>
          <cell r="B2150">
            <v>3.25</v>
          </cell>
        </row>
        <row r="2151">
          <cell r="A2151">
            <v>43737</v>
          </cell>
          <cell r="B2151">
            <v>3.25</v>
          </cell>
        </row>
        <row r="2152">
          <cell r="A2152">
            <v>43738</v>
          </cell>
          <cell r="B2152">
            <v>3.25</v>
          </cell>
        </row>
        <row r="2153">
          <cell r="A2153">
            <v>43739</v>
          </cell>
          <cell r="B2153">
            <v>3.25</v>
          </cell>
        </row>
        <row r="2154">
          <cell r="A2154">
            <v>43740</v>
          </cell>
          <cell r="B2154">
            <v>3.25</v>
          </cell>
        </row>
        <row r="2155">
          <cell r="A2155">
            <v>43741</v>
          </cell>
          <cell r="B2155">
            <v>3.25</v>
          </cell>
        </row>
        <row r="2156">
          <cell r="A2156">
            <v>43742</v>
          </cell>
          <cell r="B2156">
            <v>3.25</v>
          </cell>
        </row>
        <row r="2157">
          <cell r="A2157">
            <v>43743</v>
          </cell>
          <cell r="B2157">
            <v>3.25</v>
          </cell>
        </row>
        <row r="2158">
          <cell r="A2158">
            <v>43744</v>
          </cell>
          <cell r="B2158">
            <v>3.25</v>
          </cell>
        </row>
        <row r="2159">
          <cell r="A2159">
            <v>43745</v>
          </cell>
          <cell r="B2159">
            <v>3.25</v>
          </cell>
        </row>
        <row r="2160">
          <cell r="A2160">
            <v>43746</v>
          </cell>
          <cell r="B2160">
            <v>3.25</v>
          </cell>
        </row>
        <row r="2161">
          <cell r="A2161">
            <v>43747</v>
          </cell>
          <cell r="B2161">
            <v>3.25</v>
          </cell>
        </row>
        <row r="2162">
          <cell r="A2162">
            <v>43748</v>
          </cell>
          <cell r="B2162">
            <v>3.25</v>
          </cell>
        </row>
        <row r="2163">
          <cell r="A2163">
            <v>43749</v>
          </cell>
          <cell r="B2163">
            <v>3.25</v>
          </cell>
        </row>
        <row r="2164">
          <cell r="A2164">
            <v>43750</v>
          </cell>
          <cell r="B2164">
            <v>3.25</v>
          </cell>
        </row>
        <row r="2165">
          <cell r="A2165">
            <v>43751</v>
          </cell>
          <cell r="B2165">
            <v>3.25</v>
          </cell>
        </row>
        <row r="2166">
          <cell r="A2166">
            <v>43752</v>
          </cell>
          <cell r="B2166">
            <v>3.25</v>
          </cell>
        </row>
        <row r="2167">
          <cell r="A2167">
            <v>43753</v>
          </cell>
          <cell r="B2167">
            <v>3.25</v>
          </cell>
        </row>
        <row r="2168">
          <cell r="A2168">
            <v>43754</v>
          </cell>
          <cell r="B2168">
            <v>3.25</v>
          </cell>
        </row>
        <row r="2169">
          <cell r="A2169">
            <v>43755</v>
          </cell>
          <cell r="B2169">
            <v>3.25</v>
          </cell>
        </row>
        <row r="2170">
          <cell r="A2170">
            <v>43756</v>
          </cell>
          <cell r="B2170">
            <v>3.25</v>
          </cell>
        </row>
        <row r="2171">
          <cell r="A2171">
            <v>43757</v>
          </cell>
          <cell r="B2171">
            <v>3.25</v>
          </cell>
        </row>
        <row r="2172">
          <cell r="A2172">
            <v>43758</v>
          </cell>
          <cell r="B2172">
            <v>3.25</v>
          </cell>
        </row>
        <row r="2173">
          <cell r="A2173">
            <v>43759</v>
          </cell>
          <cell r="B2173">
            <v>3.25</v>
          </cell>
        </row>
        <row r="2174">
          <cell r="A2174">
            <v>43760</v>
          </cell>
          <cell r="B2174">
            <v>3.25</v>
          </cell>
        </row>
        <row r="2175">
          <cell r="A2175">
            <v>43761</v>
          </cell>
          <cell r="B2175">
            <v>3.25</v>
          </cell>
        </row>
        <row r="2176">
          <cell r="A2176">
            <v>43762</v>
          </cell>
          <cell r="B2176">
            <v>3.25</v>
          </cell>
        </row>
        <row r="2177">
          <cell r="A2177">
            <v>43763</v>
          </cell>
          <cell r="B2177">
            <v>3.25</v>
          </cell>
        </row>
        <row r="2178">
          <cell r="A2178">
            <v>43764</v>
          </cell>
          <cell r="B2178">
            <v>3.25</v>
          </cell>
        </row>
        <row r="2179">
          <cell r="A2179">
            <v>43765</v>
          </cell>
          <cell r="B2179">
            <v>3.25</v>
          </cell>
        </row>
        <row r="2180">
          <cell r="A2180">
            <v>43766</v>
          </cell>
          <cell r="B2180">
            <v>3.25</v>
          </cell>
        </row>
        <row r="2181">
          <cell r="A2181">
            <v>43767</v>
          </cell>
          <cell r="B2181">
            <v>3.25</v>
          </cell>
          <cell r="C2181" t="str">
            <v>x</v>
          </cell>
        </row>
        <row r="2182">
          <cell r="A2182">
            <v>43768</v>
          </cell>
          <cell r="B2182">
            <v>3.25</v>
          </cell>
        </row>
        <row r="2183">
          <cell r="A2183">
            <v>43769</v>
          </cell>
          <cell r="B2183">
            <v>3.25</v>
          </cell>
        </row>
        <row r="2184">
          <cell r="A2184">
            <v>43770</v>
          </cell>
          <cell r="B2184">
            <v>3.25</v>
          </cell>
        </row>
        <row r="2185">
          <cell r="A2185">
            <v>43771</v>
          </cell>
          <cell r="B2185">
            <v>3.25</v>
          </cell>
        </row>
        <row r="2186">
          <cell r="A2186">
            <v>43772</v>
          </cell>
          <cell r="B2186">
            <v>3.25</v>
          </cell>
        </row>
        <row r="2187">
          <cell r="A2187">
            <v>43773</v>
          </cell>
          <cell r="B2187">
            <v>3.25</v>
          </cell>
        </row>
        <row r="2188">
          <cell r="A2188">
            <v>43774</v>
          </cell>
          <cell r="B2188">
            <v>3.25</v>
          </cell>
        </row>
        <row r="2189">
          <cell r="A2189">
            <v>43775</v>
          </cell>
          <cell r="B2189">
            <v>3.25</v>
          </cell>
        </row>
        <row r="2190">
          <cell r="A2190">
            <v>43776</v>
          </cell>
          <cell r="B2190">
            <v>3.25</v>
          </cell>
        </row>
        <row r="2191">
          <cell r="A2191">
            <v>43777</v>
          </cell>
          <cell r="B2191">
            <v>3.25</v>
          </cell>
        </row>
        <row r="2192">
          <cell r="A2192">
            <v>43778</v>
          </cell>
          <cell r="B2192">
            <v>3.25</v>
          </cell>
        </row>
        <row r="2193">
          <cell r="A2193">
            <v>43779</v>
          </cell>
          <cell r="B2193">
            <v>3.25</v>
          </cell>
        </row>
        <row r="2194">
          <cell r="A2194">
            <v>43780</v>
          </cell>
          <cell r="B2194">
            <v>3.25</v>
          </cell>
        </row>
        <row r="2195">
          <cell r="A2195">
            <v>43781</v>
          </cell>
          <cell r="B2195">
            <v>3.25</v>
          </cell>
        </row>
        <row r="2196">
          <cell r="A2196">
            <v>43782</v>
          </cell>
          <cell r="B2196">
            <v>3.25</v>
          </cell>
        </row>
        <row r="2197">
          <cell r="A2197">
            <v>43783</v>
          </cell>
          <cell r="B2197">
            <v>3.25</v>
          </cell>
        </row>
        <row r="2198">
          <cell r="A2198">
            <v>43784</v>
          </cell>
          <cell r="B2198">
            <v>3.25</v>
          </cell>
        </row>
        <row r="2199">
          <cell r="A2199">
            <v>43785</v>
          </cell>
          <cell r="B2199">
            <v>3.25</v>
          </cell>
        </row>
        <row r="2200">
          <cell r="A2200">
            <v>43786</v>
          </cell>
          <cell r="B2200">
            <v>3.25</v>
          </cell>
        </row>
        <row r="2201">
          <cell r="A2201">
            <v>43787</v>
          </cell>
          <cell r="B2201">
            <v>3.25</v>
          </cell>
        </row>
        <row r="2202">
          <cell r="A2202">
            <v>43788</v>
          </cell>
          <cell r="B2202">
            <v>3.25</v>
          </cell>
        </row>
        <row r="2203">
          <cell r="A2203">
            <v>43789</v>
          </cell>
          <cell r="B2203">
            <v>3.25</v>
          </cell>
        </row>
        <row r="2204">
          <cell r="A2204">
            <v>43790</v>
          </cell>
          <cell r="B2204">
            <v>3.25</v>
          </cell>
        </row>
        <row r="2205">
          <cell r="A2205">
            <v>43791</v>
          </cell>
          <cell r="B2205">
            <v>3.25</v>
          </cell>
        </row>
        <row r="2206">
          <cell r="A2206">
            <v>43792</v>
          </cell>
          <cell r="B2206">
            <v>3.25</v>
          </cell>
        </row>
        <row r="2207">
          <cell r="A2207">
            <v>43793</v>
          </cell>
          <cell r="B2207">
            <v>3.25</v>
          </cell>
        </row>
        <row r="2208">
          <cell r="A2208">
            <v>43794</v>
          </cell>
          <cell r="B2208">
            <v>3.25</v>
          </cell>
        </row>
        <row r="2209">
          <cell r="A2209">
            <v>43795</v>
          </cell>
          <cell r="B2209">
            <v>3.25</v>
          </cell>
        </row>
        <row r="2210">
          <cell r="A2210">
            <v>43796</v>
          </cell>
          <cell r="B2210">
            <v>3.25</v>
          </cell>
        </row>
        <row r="2211">
          <cell r="A2211">
            <v>43797</v>
          </cell>
          <cell r="B2211">
            <v>3.25</v>
          </cell>
        </row>
        <row r="2212">
          <cell r="A2212">
            <v>43798</v>
          </cell>
          <cell r="B2212">
            <v>3.25</v>
          </cell>
        </row>
        <row r="2213">
          <cell r="A2213">
            <v>43799</v>
          </cell>
          <cell r="B2213">
            <v>3.25</v>
          </cell>
        </row>
        <row r="2214">
          <cell r="A2214">
            <v>43800</v>
          </cell>
          <cell r="B2214">
            <v>3.25</v>
          </cell>
        </row>
        <row r="2215">
          <cell r="A2215">
            <v>43801</v>
          </cell>
          <cell r="B2215">
            <v>3.25</v>
          </cell>
        </row>
        <row r="2216">
          <cell r="A2216">
            <v>43802</v>
          </cell>
          <cell r="B2216">
            <v>3.25</v>
          </cell>
        </row>
        <row r="2217">
          <cell r="A2217">
            <v>43803</v>
          </cell>
          <cell r="B2217">
            <v>3.25</v>
          </cell>
        </row>
        <row r="2218">
          <cell r="A2218">
            <v>43804</v>
          </cell>
          <cell r="B2218">
            <v>3.25</v>
          </cell>
        </row>
        <row r="2219">
          <cell r="A2219">
            <v>43805</v>
          </cell>
          <cell r="B2219">
            <v>3.25</v>
          </cell>
        </row>
        <row r="2220">
          <cell r="A2220">
            <v>43806</v>
          </cell>
          <cell r="B2220">
            <v>3.25</v>
          </cell>
        </row>
        <row r="2221">
          <cell r="A2221">
            <v>43807</v>
          </cell>
          <cell r="B2221">
            <v>3.25</v>
          </cell>
        </row>
        <row r="2222">
          <cell r="A2222">
            <v>43808</v>
          </cell>
          <cell r="B2222">
            <v>3.25</v>
          </cell>
        </row>
        <row r="2223">
          <cell r="A2223">
            <v>43809</v>
          </cell>
          <cell r="B2223">
            <v>3.5</v>
          </cell>
          <cell r="C2223" t="str">
            <v>x</v>
          </cell>
        </row>
        <row r="2224">
          <cell r="A2224">
            <v>43810</v>
          </cell>
          <cell r="B2224">
            <v>3.5</v>
          </cell>
        </row>
        <row r="2225">
          <cell r="A2225">
            <v>43811</v>
          </cell>
          <cell r="B2225">
            <v>3.5</v>
          </cell>
        </row>
        <row r="2226">
          <cell r="A2226">
            <v>43812</v>
          </cell>
          <cell r="B2226">
            <v>3.5</v>
          </cell>
        </row>
        <row r="2227">
          <cell r="A2227">
            <v>43813</v>
          </cell>
          <cell r="B2227">
            <v>3.5</v>
          </cell>
        </row>
        <row r="2228">
          <cell r="A2228">
            <v>43814</v>
          </cell>
          <cell r="B2228">
            <v>3.5</v>
          </cell>
        </row>
        <row r="2229">
          <cell r="A2229">
            <v>43815</v>
          </cell>
          <cell r="B2229">
            <v>3.5</v>
          </cell>
        </row>
        <row r="2230">
          <cell r="A2230">
            <v>43816</v>
          </cell>
          <cell r="B2230">
            <v>3.5</v>
          </cell>
        </row>
        <row r="2231">
          <cell r="A2231">
            <v>43817</v>
          </cell>
          <cell r="B2231">
            <v>3.5</v>
          </cell>
        </row>
        <row r="2232">
          <cell r="A2232">
            <v>43818</v>
          </cell>
          <cell r="B2232">
            <v>3.5</v>
          </cell>
        </row>
        <row r="2233">
          <cell r="A2233">
            <v>43819</v>
          </cell>
          <cell r="B2233">
            <v>3.5</v>
          </cell>
        </row>
        <row r="2234">
          <cell r="A2234">
            <v>43820</v>
          </cell>
          <cell r="B2234">
            <v>3.5</v>
          </cell>
        </row>
        <row r="2235">
          <cell r="A2235">
            <v>43821</v>
          </cell>
          <cell r="B2235">
            <v>3.5</v>
          </cell>
        </row>
        <row r="2236">
          <cell r="A2236">
            <v>43822</v>
          </cell>
          <cell r="B2236">
            <v>3.5</v>
          </cell>
        </row>
        <row r="2237">
          <cell r="A2237">
            <v>43823</v>
          </cell>
          <cell r="B2237">
            <v>3.5</v>
          </cell>
        </row>
        <row r="2238">
          <cell r="A2238">
            <v>43824</v>
          </cell>
          <cell r="B2238">
            <v>3.5</v>
          </cell>
        </row>
        <row r="2239">
          <cell r="A2239">
            <v>43825</v>
          </cell>
          <cell r="B2239">
            <v>3.5</v>
          </cell>
        </row>
        <row r="2240">
          <cell r="A2240">
            <v>43826</v>
          </cell>
          <cell r="B2240">
            <v>3.5</v>
          </cell>
        </row>
        <row r="2241">
          <cell r="A2241">
            <v>43827</v>
          </cell>
          <cell r="B2241">
            <v>3.5</v>
          </cell>
        </row>
        <row r="2242">
          <cell r="A2242">
            <v>43828</v>
          </cell>
          <cell r="B2242">
            <v>3.5</v>
          </cell>
        </row>
        <row r="2243">
          <cell r="A2243">
            <v>43829</v>
          </cell>
          <cell r="B2243">
            <v>3.5</v>
          </cell>
        </row>
        <row r="2244">
          <cell r="A2244">
            <v>43830</v>
          </cell>
          <cell r="B2244">
            <v>3.5</v>
          </cell>
        </row>
        <row r="2245">
          <cell r="A2245">
            <v>43831</v>
          </cell>
          <cell r="B2245">
            <v>3.5</v>
          </cell>
        </row>
        <row r="2246">
          <cell r="A2246">
            <v>43832</v>
          </cell>
          <cell r="B2246">
            <v>3.5</v>
          </cell>
        </row>
        <row r="2247">
          <cell r="A2247">
            <v>43833</v>
          </cell>
          <cell r="B2247">
            <v>3.5</v>
          </cell>
        </row>
        <row r="2248">
          <cell r="A2248">
            <v>43834</v>
          </cell>
          <cell r="B2248">
            <v>3.5</v>
          </cell>
        </row>
        <row r="2249">
          <cell r="A2249">
            <v>43835</v>
          </cell>
          <cell r="B2249">
            <v>3.5</v>
          </cell>
        </row>
        <row r="2250">
          <cell r="A2250">
            <v>43836</v>
          </cell>
          <cell r="B2250">
            <v>3.5</v>
          </cell>
        </row>
        <row r="2251">
          <cell r="A2251">
            <v>43837</v>
          </cell>
          <cell r="B2251">
            <v>3.5</v>
          </cell>
        </row>
        <row r="2252">
          <cell r="A2252">
            <v>43838</v>
          </cell>
          <cell r="B2252">
            <v>3.5</v>
          </cell>
        </row>
        <row r="2253">
          <cell r="A2253">
            <v>43839</v>
          </cell>
          <cell r="B2253">
            <v>3.5</v>
          </cell>
        </row>
        <row r="2254">
          <cell r="A2254">
            <v>43840</v>
          </cell>
          <cell r="B2254">
            <v>3.5</v>
          </cell>
        </row>
        <row r="2255">
          <cell r="A2255">
            <v>43841</v>
          </cell>
          <cell r="B2255">
            <v>3.5</v>
          </cell>
        </row>
        <row r="2256">
          <cell r="A2256">
            <v>43842</v>
          </cell>
          <cell r="B2256">
            <v>3.5</v>
          </cell>
        </row>
        <row r="2257">
          <cell r="A2257">
            <v>43843</v>
          </cell>
          <cell r="B2257">
            <v>3.5</v>
          </cell>
        </row>
        <row r="2258">
          <cell r="A2258">
            <v>43844</v>
          </cell>
          <cell r="B2258">
            <v>3.5</v>
          </cell>
        </row>
        <row r="2259">
          <cell r="A2259">
            <v>43845</v>
          </cell>
          <cell r="B2259">
            <v>3.5</v>
          </cell>
        </row>
        <row r="2260">
          <cell r="A2260">
            <v>43846</v>
          </cell>
          <cell r="B2260">
            <v>3.5</v>
          </cell>
        </row>
        <row r="2261">
          <cell r="A2261">
            <v>43847</v>
          </cell>
          <cell r="B2261">
            <v>3.5</v>
          </cell>
        </row>
        <row r="2262">
          <cell r="A2262">
            <v>43848</v>
          </cell>
          <cell r="B2262">
            <v>3.5</v>
          </cell>
        </row>
        <row r="2263">
          <cell r="A2263">
            <v>43849</v>
          </cell>
          <cell r="B2263">
            <v>3.5</v>
          </cell>
        </row>
        <row r="2264">
          <cell r="A2264">
            <v>43850</v>
          </cell>
          <cell r="B2264">
            <v>3.5</v>
          </cell>
        </row>
        <row r="2265">
          <cell r="A2265">
            <v>43851</v>
          </cell>
          <cell r="B2265">
            <v>3.5</v>
          </cell>
        </row>
        <row r="2266">
          <cell r="A2266">
            <v>43852</v>
          </cell>
          <cell r="B2266">
            <v>3.5</v>
          </cell>
        </row>
        <row r="2267">
          <cell r="A2267">
            <v>43853</v>
          </cell>
          <cell r="B2267">
            <v>3.5</v>
          </cell>
        </row>
        <row r="2268">
          <cell r="A2268">
            <v>43854</v>
          </cell>
          <cell r="B2268">
            <v>3.5</v>
          </cell>
        </row>
        <row r="2269">
          <cell r="A2269">
            <v>43855</v>
          </cell>
          <cell r="B2269">
            <v>3.5</v>
          </cell>
        </row>
        <row r="2270">
          <cell r="A2270">
            <v>43856</v>
          </cell>
          <cell r="B2270">
            <v>3.5</v>
          </cell>
        </row>
        <row r="2271">
          <cell r="A2271">
            <v>43857</v>
          </cell>
          <cell r="B2271">
            <v>3.5</v>
          </cell>
        </row>
        <row r="2272">
          <cell r="A2272">
            <v>43858</v>
          </cell>
          <cell r="B2272">
            <v>3.5</v>
          </cell>
        </row>
        <row r="2273">
          <cell r="A2273">
            <v>43859</v>
          </cell>
          <cell r="B2273">
            <v>3.5</v>
          </cell>
        </row>
        <row r="2274">
          <cell r="A2274">
            <v>43860</v>
          </cell>
          <cell r="B2274">
            <v>3.5</v>
          </cell>
        </row>
        <row r="2275">
          <cell r="A2275">
            <v>43861</v>
          </cell>
          <cell r="B2275">
            <v>3.5</v>
          </cell>
        </row>
        <row r="2276">
          <cell r="A2276">
            <v>43862</v>
          </cell>
          <cell r="B2276">
            <v>3.5</v>
          </cell>
        </row>
        <row r="2277">
          <cell r="A2277">
            <v>43863</v>
          </cell>
          <cell r="B2277">
            <v>3.5</v>
          </cell>
        </row>
        <row r="2278">
          <cell r="A2278">
            <v>43864</v>
          </cell>
          <cell r="B2278">
            <v>3.5</v>
          </cell>
        </row>
        <row r="2279">
          <cell r="A2279">
            <v>43865</v>
          </cell>
          <cell r="B2279">
            <v>3.5</v>
          </cell>
        </row>
        <row r="2280">
          <cell r="A2280">
            <v>43866</v>
          </cell>
          <cell r="B2280">
            <v>3.5</v>
          </cell>
        </row>
        <row r="2281">
          <cell r="A2281">
            <v>43867</v>
          </cell>
          <cell r="B2281">
            <v>3.5</v>
          </cell>
        </row>
        <row r="2282">
          <cell r="A2282">
            <v>43868</v>
          </cell>
          <cell r="B2282">
            <v>3.5</v>
          </cell>
        </row>
        <row r="2283">
          <cell r="A2283">
            <v>43869</v>
          </cell>
          <cell r="B2283">
            <v>3.5</v>
          </cell>
        </row>
        <row r="2284">
          <cell r="A2284">
            <v>43870</v>
          </cell>
          <cell r="B2284">
            <v>3.5</v>
          </cell>
        </row>
        <row r="2285">
          <cell r="A2285">
            <v>43871</v>
          </cell>
          <cell r="B2285">
            <v>3.5</v>
          </cell>
        </row>
        <row r="2286">
          <cell r="A2286">
            <v>43872</v>
          </cell>
          <cell r="B2286">
            <v>3.5</v>
          </cell>
        </row>
        <row r="2287">
          <cell r="A2287">
            <v>43873</v>
          </cell>
          <cell r="B2287">
            <v>3.5</v>
          </cell>
        </row>
        <row r="2288">
          <cell r="A2288">
            <v>43874</v>
          </cell>
          <cell r="B2288">
            <v>3.5</v>
          </cell>
        </row>
        <row r="2289">
          <cell r="A2289">
            <v>43875</v>
          </cell>
          <cell r="B2289">
            <v>3.5</v>
          </cell>
        </row>
        <row r="2290">
          <cell r="A2290">
            <v>43876</v>
          </cell>
          <cell r="B2290">
            <v>3.5</v>
          </cell>
        </row>
        <row r="2291">
          <cell r="A2291">
            <v>43877</v>
          </cell>
          <cell r="B2291">
            <v>3.5</v>
          </cell>
        </row>
        <row r="2292">
          <cell r="A2292">
            <v>43878</v>
          </cell>
          <cell r="B2292">
            <v>3.5</v>
          </cell>
        </row>
        <row r="2293">
          <cell r="A2293">
            <v>43879</v>
          </cell>
          <cell r="B2293">
            <v>3.5</v>
          </cell>
        </row>
        <row r="2294">
          <cell r="A2294">
            <v>43880</v>
          </cell>
          <cell r="B2294">
            <v>3.5</v>
          </cell>
        </row>
        <row r="2295">
          <cell r="A2295">
            <v>43881</v>
          </cell>
          <cell r="B2295">
            <v>3.5</v>
          </cell>
        </row>
        <row r="2296">
          <cell r="A2296">
            <v>43882</v>
          </cell>
          <cell r="B2296">
            <v>3.5</v>
          </cell>
        </row>
        <row r="2297">
          <cell r="A2297">
            <v>43883</v>
          </cell>
          <cell r="B2297">
            <v>3.5</v>
          </cell>
        </row>
        <row r="2298">
          <cell r="A2298">
            <v>43884</v>
          </cell>
          <cell r="B2298">
            <v>3.5</v>
          </cell>
        </row>
        <row r="2299">
          <cell r="A2299">
            <v>43885</v>
          </cell>
          <cell r="B2299">
            <v>3.5</v>
          </cell>
        </row>
        <row r="2300">
          <cell r="A2300">
            <v>43886</v>
          </cell>
          <cell r="B2300">
            <v>3.5</v>
          </cell>
        </row>
        <row r="2301">
          <cell r="A2301">
            <v>43887</v>
          </cell>
          <cell r="B2301">
            <v>3.5</v>
          </cell>
        </row>
        <row r="2302">
          <cell r="A2302">
            <v>43888</v>
          </cell>
          <cell r="B2302">
            <v>3.5</v>
          </cell>
        </row>
        <row r="2303">
          <cell r="A2303">
            <v>43889</v>
          </cell>
          <cell r="B2303">
            <v>3.5</v>
          </cell>
        </row>
        <row r="2304">
          <cell r="A2304">
            <v>43890</v>
          </cell>
          <cell r="B2304">
            <v>3.5</v>
          </cell>
        </row>
        <row r="2305">
          <cell r="A2305">
            <v>43891</v>
          </cell>
          <cell r="B2305">
            <v>3.5</v>
          </cell>
        </row>
        <row r="2306">
          <cell r="A2306">
            <v>43892</v>
          </cell>
          <cell r="B2306">
            <v>3.5</v>
          </cell>
        </row>
        <row r="2307">
          <cell r="A2307">
            <v>43893</v>
          </cell>
          <cell r="B2307">
            <v>3.5</v>
          </cell>
        </row>
        <row r="2308">
          <cell r="A2308">
            <v>43894</v>
          </cell>
          <cell r="B2308">
            <v>3.5</v>
          </cell>
        </row>
        <row r="2309">
          <cell r="A2309">
            <v>43895</v>
          </cell>
          <cell r="B2309">
            <v>3.5</v>
          </cell>
        </row>
        <row r="2310">
          <cell r="A2310">
            <v>43896</v>
          </cell>
          <cell r="B2310">
            <v>3.5</v>
          </cell>
        </row>
        <row r="2311">
          <cell r="A2311">
            <v>43897</v>
          </cell>
          <cell r="B2311">
            <v>3.5</v>
          </cell>
        </row>
        <row r="2312">
          <cell r="A2312">
            <v>43898</v>
          </cell>
          <cell r="B2312">
            <v>3.5</v>
          </cell>
        </row>
        <row r="2313">
          <cell r="A2313">
            <v>43899</v>
          </cell>
          <cell r="B2313">
            <v>3.5</v>
          </cell>
        </row>
        <row r="2314">
          <cell r="A2314">
            <v>43900</v>
          </cell>
          <cell r="B2314">
            <v>3.5</v>
          </cell>
        </row>
        <row r="2315">
          <cell r="A2315">
            <v>43901</v>
          </cell>
          <cell r="B2315">
            <v>3.5</v>
          </cell>
        </row>
        <row r="2316">
          <cell r="A2316">
            <v>43902</v>
          </cell>
          <cell r="B2316">
            <v>3.5</v>
          </cell>
        </row>
        <row r="2317">
          <cell r="A2317">
            <v>43903</v>
          </cell>
          <cell r="B2317">
            <v>3.5</v>
          </cell>
        </row>
        <row r="2318">
          <cell r="A2318">
            <v>43904</v>
          </cell>
          <cell r="B2318">
            <v>3.5</v>
          </cell>
        </row>
        <row r="2319">
          <cell r="A2319">
            <v>43905</v>
          </cell>
          <cell r="B2319">
            <v>3.5</v>
          </cell>
        </row>
        <row r="2320">
          <cell r="A2320">
            <v>43906</v>
          </cell>
          <cell r="B2320">
            <v>3.5</v>
          </cell>
        </row>
        <row r="2321">
          <cell r="A2321">
            <v>43907</v>
          </cell>
          <cell r="B2321">
            <v>3.5</v>
          </cell>
        </row>
        <row r="2322">
          <cell r="A2322">
            <v>43908</v>
          </cell>
          <cell r="B2322">
            <v>3.75</v>
          </cell>
          <cell r="C2322" t="str">
            <v>?</v>
          </cell>
        </row>
        <row r="2323">
          <cell r="A2323">
            <v>43909</v>
          </cell>
          <cell r="B2323">
            <v>3.75</v>
          </cell>
        </row>
        <row r="2324">
          <cell r="A2324">
            <v>43910</v>
          </cell>
          <cell r="B2324">
            <v>3.75</v>
          </cell>
        </row>
        <row r="2325">
          <cell r="A2325">
            <v>43911</v>
          </cell>
          <cell r="B2325">
            <v>3.75</v>
          </cell>
        </row>
        <row r="2326">
          <cell r="A2326">
            <v>43912</v>
          </cell>
          <cell r="B2326">
            <v>3.75</v>
          </cell>
        </row>
        <row r="2327">
          <cell r="A2327">
            <v>43913</v>
          </cell>
          <cell r="B2327">
            <v>3.75</v>
          </cell>
        </row>
        <row r="2328">
          <cell r="A2328">
            <v>43914</v>
          </cell>
          <cell r="B2328">
            <v>3.75</v>
          </cell>
        </row>
        <row r="2329">
          <cell r="A2329">
            <v>43915</v>
          </cell>
          <cell r="B2329">
            <v>3.75</v>
          </cell>
        </row>
        <row r="2330">
          <cell r="A2330">
            <v>43916</v>
          </cell>
          <cell r="B2330">
            <v>3.75</v>
          </cell>
        </row>
        <row r="2331">
          <cell r="A2331">
            <v>43917</v>
          </cell>
          <cell r="B2331">
            <v>3.75</v>
          </cell>
        </row>
        <row r="2332">
          <cell r="A2332">
            <v>43918</v>
          </cell>
          <cell r="B2332">
            <v>3.75</v>
          </cell>
        </row>
        <row r="2333">
          <cell r="A2333">
            <v>43919</v>
          </cell>
          <cell r="B2333">
            <v>3.75</v>
          </cell>
        </row>
        <row r="2334">
          <cell r="A2334">
            <v>43920</v>
          </cell>
          <cell r="B2334">
            <v>3.75</v>
          </cell>
        </row>
        <row r="2335">
          <cell r="A2335">
            <v>43921</v>
          </cell>
          <cell r="B2335">
            <v>3.75</v>
          </cell>
        </row>
        <row r="2336">
          <cell r="A2336">
            <v>43922</v>
          </cell>
          <cell r="B2336">
            <v>3.75</v>
          </cell>
        </row>
        <row r="2337">
          <cell r="A2337">
            <v>43923</v>
          </cell>
          <cell r="B2337">
            <v>3.75</v>
          </cell>
        </row>
        <row r="2338">
          <cell r="A2338">
            <v>43924</v>
          </cell>
          <cell r="B2338">
            <v>3.75</v>
          </cell>
        </row>
        <row r="2339">
          <cell r="A2339">
            <v>43925</v>
          </cell>
          <cell r="B2339">
            <v>3.75</v>
          </cell>
        </row>
        <row r="2340">
          <cell r="A2340">
            <v>43926</v>
          </cell>
          <cell r="B2340">
            <v>3.75</v>
          </cell>
        </row>
        <row r="2341">
          <cell r="A2341">
            <v>43927</v>
          </cell>
          <cell r="B2341">
            <v>3.75</v>
          </cell>
        </row>
        <row r="2342">
          <cell r="A2342">
            <v>43928</v>
          </cell>
          <cell r="B2342">
            <v>3.75</v>
          </cell>
        </row>
        <row r="2343">
          <cell r="A2343">
            <v>43929</v>
          </cell>
          <cell r="B2343">
            <v>3.75</v>
          </cell>
        </row>
        <row r="2344">
          <cell r="A2344">
            <v>43930</v>
          </cell>
          <cell r="B2344">
            <v>3.75</v>
          </cell>
        </row>
        <row r="2345">
          <cell r="A2345">
            <v>43931</v>
          </cell>
          <cell r="B2345">
            <v>3.75</v>
          </cell>
        </row>
        <row r="2346">
          <cell r="A2346">
            <v>43932</v>
          </cell>
          <cell r="B2346">
            <v>3.75</v>
          </cell>
        </row>
        <row r="2347">
          <cell r="A2347">
            <v>43933</v>
          </cell>
          <cell r="B2347">
            <v>3.75</v>
          </cell>
        </row>
        <row r="2348">
          <cell r="A2348">
            <v>43934</v>
          </cell>
          <cell r="B2348">
            <v>3.75</v>
          </cell>
        </row>
        <row r="2349">
          <cell r="A2349">
            <v>43935</v>
          </cell>
          <cell r="B2349">
            <v>3.75</v>
          </cell>
        </row>
        <row r="2350">
          <cell r="A2350">
            <v>43936</v>
          </cell>
          <cell r="B2350">
            <v>3.75</v>
          </cell>
        </row>
        <row r="2351">
          <cell r="A2351">
            <v>43937</v>
          </cell>
          <cell r="B2351">
            <v>3.75</v>
          </cell>
        </row>
        <row r="2352">
          <cell r="A2352">
            <v>43938</v>
          </cell>
          <cell r="B2352">
            <v>3.75</v>
          </cell>
        </row>
        <row r="2353">
          <cell r="A2353">
            <v>43939</v>
          </cell>
          <cell r="B2353">
            <v>3.75</v>
          </cell>
        </row>
        <row r="2354">
          <cell r="A2354">
            <v>43940</v>
          </cell>
          <cell r="B2354">
            <v>3.75</v>
          </cell>
        </row>
        <row r="2355">
          <cell r="A2355">
            <v>43941</v>
          </cell>
          <cell r="B2355">
            <v>3.75</v>
          </cell>
        </row>
        <row r="2356">
          <cell r="A2356">
            <v>43942</v>
          </cell>
          <cell r="B2356">
            <v>3.75</v>
          </cell>
        </row>
        <row r="2357">
          <cell r="A2357">
            <v>43943</v>
          </cell>
          <cell r="B2357">
            <v>3.75</v>
          </cell>
        </row>
        <row r="2358">
          <cell r="A2358">
            <v>43944</v>
          </cell>
          <cell r="B2358">
            <v>3.75</v>
          </cell>
        </row>
        <row r="2359">
          <cell r="A2359">
            <v>43945</v>
          </cell>
          <cell r="B2359">
            <v>3.75</v>
          </cell>
        </row>
        <row r="2360">
          <cell r="A2360">
            <v>43946</v>
          </cell>
          <cell r="B2360">
            <v>3.75</v>
          </cell>
        </row>
        <row r="2361">
          <cell r="A2361">
            <v>43947</v>
          </cell>
          <cell r="B2361">
            <v>3.75</v>
          </cell>
        </row>
        <row r="2362">
          <cell r="A2362">
            <v>43948</v>
          </cell>
          <cell r="B2362">
            <v>3.75</v>
          </cell>
        </row>
        <row r="2363">
          <cell r="A2363">
            <v>43949</v>
          </cell>
          <cell r="B2363">
            <v>3.75</v>
          </cell>
        </row>
        <row r="2364">
          <cell r="A2364">
            <v>43950</v>
          </cell>
          <cell r="B2364">
            <v>3.75</v>
          </cell>
        </row>
        <row r="2365">
          <cell r="A2365">
            <v>43951</v>
          </cell>
          <cell r="B2365">
            <v>3.75</v>
          </cell>
        </row>
        <row r="2366">
          <cell r="A2366">
            <v>43952</v>
          </cell>
          <cell r="B2366">
            <v>3.75</v>
          </cell>
        </row>
        <row r="2367">
          <cell r="A2367">
            <v>43953</v>
          </cell>
          <cell r="B2367">
            <v>3.75</v>
          </cell>
        </row>
        <row r="2368">
          <cell r="A2368">
            <v>43954</v>
          </cell>
          <cell r="B2368">
            <v>3.75</v>
          </cell>
        </row>
        <row r="2369">
          <cell r="A2369">
            <v>43955</v>
          </cell>
          <cell r="B2369">
            <v>3.75</v>
          </cell>
        </row>
        <row r="2370">
          <cell r="A2370">
            <v>43956</v>
          </cell>
          <cell r="B2370">
            <v>3.75</v>
          </cell>
        </row>
        <row r="2371">
          <cell r="A2371">
            <v>43957</v>
          </cell>
          <cell r="B2371">
            <v>3.75</v>
          </cell>
        </row>
        <row r="2372">
          <cell r="A2372">
            <v>43958</v>
          </cell>
          <cell r="B2372">
            <v>3.75</v>
          </cell>
        </row>
        <row r="2373">
          <cell r="A2373">
            <v>43959</v>
          </cell>
          <cell r="B2373">
            <v>3.75</v>
          </cell>
        </row>
        <row r="2374">
          <cell r="A2374">
            <v>43960</v>
          </cell>
          <cell r="B2374">
            <v>3.75</v>
          </cell>
        </row>
        <row r="2375">
          <cell r="A2375">
            <v>43961</v>
          </cell>
          <cell r="B2375">
            <v>3.75</v>
          </cell>
        </row>
        <row r="2376">
          <cell r="A2376">
            <v>43962</v>
          </cell>
          <cell r="B2376">
            <v>3.75</v>
          </cell>
        </row>
        <row r="2377">
          <cell r="A2377">
            <v>43963</v>
          </cell>
          <cell r="B2377">
            <v>3.75</v>
          </cell>
        </row>
        <row r="2378">
          <cell r="A2378">
            <v>43964</v>
          </cell>
          <cell r="B2378">
            <v>3.75</v>
          </cell>
        </row>
        <row r="2379">
          <cell r="A2379">
            <v>43965</v>
          </cell>
          <cell r="B2379">
            <v>3.75</v>
          </cell>
        </row>
        <row r="2380">
          <cell r="A2380">
            <v>43966</v>
          </cell>
          <cell r="B2380">
            <v>3.75</v>
          </cell>
        </row>
        <row r="2381">
          <cell r="A2381">
            <v>43967</v>
          </cell>
          <cell r="B2381">
            <v>3.75</v>
          </cell>
        </row>
        <row r="2382">
          <cell r="A2382">
            <v>43968</v>
          </cell>
          <cell r="B2382">
            <v>3.75</v>
          </cell>
        </row>
        <row r="2383">
          <cell r="A2383">
            <v>43969</v>
          </cell>
          <cell r="B2383">
            <v>3.75</v>
          </cell>
        </row>
        <row r="2384">
          <cell r="A2384">
            <v>43970</v>
          </cell>
          <cell r="B2384">
            <v>3.75</v>
          </cell>
        </row>
        <row r="2385">
          <cell r="A2385">
            <v>43971</v>
          </cell>
          <cell r="B2385">
            <v>3.75</v>
          </cell>
        </row>
        <row r="2386">
          <cell r="A2386">
            <v>43972</v>
          </cell>
          <cell r="B2386">
            <v>3.75</v>
          </cell>
        </row>
        <row r="2387">
          <cell r="A2387">
            <v>43973</v>
          </cell>
          <cell r="B2387">
            <v>3.75</v>
          </cell>
        </row>
        <row r="2388">
          <cell r="A2388">
            <v>43974</v>
          </cell>
          <cell r="B2388">
            <v>3.75</v>
          </cell>
        </row>
        <row r="2389">
          <cell r="A2389">
            <v>43975</v>
          </cell>
          <cell r="B2389">
            <v>3.75</v>
          </cell>
        </row>
        <row r="2390">
          <cell r="A2390">
            <v>43976</v>
          </cell>
          <cell r="B2390">
            <v>3.75</v>
          </cell>
        </row>
        <row r="2391">
          <cell r="A2391">
            <v>43977</v>
          </cell>
          <cell r="B2391">
            <v>3.75</v>
          </cell>
        </row>
        <row r="2392">
          <cell r="A2392">
            <v>43978</v>
          </cell>
          <cell r="B2392">
            <v>3.75</v>
          </cell>
        </row>
        <row r="2393">
          <cell r="A2393">
            <v>43979</v>
          </cell>
          <cell r="B2393">
            <v>3.75</v>
          </cell>
        </row>
        <row r="2394">
          <cell r="A2394">
            <v>43980</v>
          </cell>
          <cell r="B2394">
            <v>3.75</v>
          </cell>
        </row>
        <row r="2395">
          <cell r="A2395">
            <v>43981</v>
          </cell>
          <cell r="B2395">
            <v>3.75</v>
          </cell>
        </row>
        <row r="2396">
          <cell r="A2396">
            <v>43982</v>
          </cell>
          <cell r="B2396">
            <v>3.75</v>
          </cell>
        </row>
        <row r="2397">
          <cell r="A2397">
            <v>43983</v>
          </cell>
          <cell r="B2397">
            <v>3.75</v>
          </cell>
        </row>
        <row r="2398">
          <cell r="A2398">
            <v>43984</v>
          </cell>
          <cell r="B2398">
            <v>3.75</v>
          </cell>
        </row>
        <row r="2399">
          <cell r="A2399">
            <v>43985</v>
          </cell>
          <cell r="B2399">
            <v>3.75</v>
          </cell>
        </row>
        <row r="2400">
          <cell r="A2400">
            <v>43986</v>
          </cell>
          <cell r="B2400">
            <v>3.75</v>
          </cell>
        </row>
        <row r="2401">
          <cell r="A2401">
            <v>43987</v>
          </cell>
          <cell r="B2401">
            <v>3.75</v>
          </cell>
        </row>
        <row r="2402">
          <cell r="A2402">
            <v>43988</v>
          </cell>
          <cell r="B2402">
            <v>3.75</v>
          </cell>
        </row>
        <row r="2403">
          <cell r="A2403">
            <v>43989</v>
          </cell>
          <cell r="B2403">
            <v>3.75</v>
          </cell>
        </row>
        <row r="2404">
          <cell r="A2404">
            <v>43990</v>
          </cell>
          <cell r="B2404">
            <v>3.75</v>
          </cell>
        </row>
        <row r="2405">
          <cell r="A2405">
            <v>43991</v>
          </cell>
          <cell r="B2405">
            <v>3.75</v>
          </cell>
        </row>
        <row r="2406">
          <cell r="A2406">
            <v>43992</v>
          </cell>
          <cell r="B2406">
            <v>3.75</v>
          </cell>
        </row>
        <row r="2407">
          <cell r="A2407">
            <v>43993</v>
          </cell>
          <cell r="B2407">
            <v>3.75</v>
          </cell>
        </row>
        <row r="2408">
          <cell r="A2408">
            <v>43994</v>
          </cell>
          <cell r="B2408">
            <v>3.75</v>
          </cell>
        </row>
        <row r="2409">
          <cell r="A2409">
            <v>43995</v>
          </cell>
          <cell r="B2409">
            <v>3.75</v>
          </cell>
        </row>
        <row r="2410">
          <cell r="A2410">
            <v>43996</v>
          </cell>
          <cell r="B2410">
            <v>3.75</v>
          </cell>
        </row>
        <row r="2411">
          <cell r="A2411">
            <v>43997</v>
          </cell>
          <cell r="B2411">
            <v>3.75</v>
          </cell>
        </row>
        <row r="2412">
          <cell r="A2412">
            <v>43998</v>
          </cell>
          <cell r="B2412">
            <v>3.75</v>
          </cell>
        </row>
        <row r="2413">
          <cell r="A2413">
            <v>43999</v>
          </cell>
          <cell r="B2413">
            <v>3.75</v>
          </cell>
        </row>
        <row r="2414">
          <cell r="A2414">
            <v>44000</v>
          </cell>
          <cell r="B2414">
            <v>3.75</v>
          </cell>
        </row>
        <row r="2415">
          <cell r="A2415">
            <v>44001</v>
          </cell>
          <cell r="B2415">
            <v>3.75</v>
          </cell>
        </row>
        <row r="2416">
          <cell r="A2416">
            <v>44002</v>
          </cell>
          <cell r="B2416">
            <v>3.75</v>
          </cell>
        </row>
        <row r="2417">
          <cell r="A2417">
            <v>44003</v>
          </cell>
          <cell r="B2417">
            <v>3.75</v>
          </cell>
        </row>
        <row r="2418">
          <cell r="A2418">
            <v>44004</v>
          </cell>
          <cell r="B2418">
            <v>3.75</v>
          </cell>
        </row>
        <row r="2419">
          <cell r="A2419">
            <v>44005</v>
          </cell>
          <cell r="B2419">
            <v>3.75</v>
          </cell>
        </row>
        <row r="2420">
          <cell r="A2420">
            <v>44006</v>
          </cell>
          <cell r="B2420">
            <v>3.75</v>
          </cell>
        </row>
        <row r="2421">
          <cell r="A2421">
            <v>44007</v>
          </cell>
          <cell r="B2421">
            <v>3.75</v>
          </cell>
        </row>
        <row r="2422">
          <cell r="A2422">
            <v>44008</v>
          </cell>
          <cell r="B2422">
            <v>3.75</v>
          </cell>
        </row>
        <row r="2423">
          <cell r="A2423">
            <v>44009</v>
          </cell>
          <cell r="B2423">
            <v>3.75</v>
          </cell>
        </row>
        <row r="2424">
          <cell r="A2424">
            <v>44010</v>
          </cell>
          <cell r="B2424">
            <v>3.75</v>
          </cell>
        </row>
        <row r="2425">
          <cell r="A2425">
            <v>44011</v>
          </cell>
          <cell r="B2425">
            <v>3.75</v>
          </cell>
        </row>
        <row r="2426">
          <cell r="A2426">
            <v>44012</v>
          </cell>
          <cell r="B2426">
            <v>3.75</v>
          </cell>
        </row>
        <row r="2427">
          <cell r="A2427">
            <v>44013</v>
          </cell>
          <cell r="B2427">
            <v>3.75</v>
          </cell>
        </row>
        <row r="2428">
          <cell r="A2428">
            <v>44014</v>
          </cell>
          <cell r="B2428">
            <v>3.75</v>
          </cell>
        </row>
        <row r="2429">
          <cell r="A2429">
            <v>44015</v>
          </cell>
          <cell r="B2429">
            <v>3.75</v>
          </cell>
        </row>
        <row r="2430">
          <cell r="A2430">
            <v>44016</v>
          </cell>
          <cell r="B2430">
            <v>3.75</v>
          </cell>
        </row>
        <row r="2431">
          <cell r="A2431">
            <v>44017</v>
          </cell>
          <cell r="B2431">
            <v>3.75</v>
          </cell>
        </row>
        <row r="2432">
          <cell r="A2432">
            <v>44018</v>
          </cell>
          <cell r="B2432">
            <v>3.75</v>
          </cell>
        </row>
        <row r="2433">
          <cell r="A2433">
            <v>44019</v>
          </cell>
          <cell r="B2433">
            <v>3.75</v>
          </cell>
        </row>
        <row r="2434">
          <cell r="A2434">
            <v>44020</v>
          </cell>
          <cell r="B2434">
            <v>3.75</v>
          </cell>
        </row>
        <row r="2435">
          <cell r="A2435">
            <v>44021</v>
          </cell>
          <cell r="B2435">
            <v>3.75</v>
          </cell>
        </row>
        <row r="2436">
          <cell r="A2436">
            <v>44022</v>
          </cell>
          <cell r="B2436">
            <v>3.75</v>
          </cell>
        </row>
        <row r="2437">
          <cell r="A2437">
            <v>44023</v>
          </cell>
          <cell r="B2437">
            <v>3.75</v>
          </cell>
        </row>
        <row r="2438">
          <cell r="A2438">
            <v>44024</v>
          </cell>
          <cell r="B2438">
            <v>3.75</v>
          </cell>
        </row>
        <row r="2439">
          <cell r="A2439">
            <v>44025</v>
          </cell>
          <cell r="B2439">
            <v>3.75</v>
          </cell>
        </row>
        <row r="2440">
          <cell r="A2440">
            <v>44026</v>
          </cell>
          <cell r="B2440">
            <v>3.75</v>
          </cell>
        </row>
        <row r="2441">
          <cell r="A2441">
            <v>44027</v>
          </cell>
          <cell r="B2441">
            <v>3.75</v>
          </cell>
        </row>
        <row r="2442">
          <cell r="A2442">
            <v>44028</v>
          </cell>
          <cell r="B2442">
            <v>3.75</v>
          </cell>
        </row>
        <row r="2443">
          <cell r="A2443">
            <v>44029</v>
          </cell>
          <cell r="B2443">
            <v>3.75</v>
          </cell>
        </row>
        <row r="2444">
          <cell r="A2444">
            <v>44030</v>
          </cell>
          <cell r="B2444">
            <v>3.75</v>
          </cell>
          <cell r="C2444" t="str">
            <v>?</v>
          </cell>
        </row>
        <row r="2445">
          <cell r="A2445">
            <v>44031</v>
          </cell>
          <cell r="B2445">
            <v>3.75</v>
          </cell>
        </row>
        <row r="2446">
          <cell r="A2446">
            <v>44032</v>
          </cell>
          <cell r="B2446">
            <v>3.75</v>
          </cell>
        </row>
        <row r="2447">
          <cell r="A2447">
            <v>44033</v>
          </cell>
          <cell r="B2447">
            <v>3.75</v>
          </cell>
        </row>
        <row r="2448">
          <cell r="A2448">
            <v>44034</v>
          </cell>
          <cell r="B2448">
            <v>3.75</v>
          </cell>
        </row>
        <row r="2449">
          <cell r="A2449">
            <v>44035</v>
          </cell>
          <cell r="B2449">
            <v>3.75</v>
          </cell>
        </row>
        <row r="2450">
          <cell r="A2450">
            <v>44036</v>
          </cell>
          <cell r="B2450">
            <v>3.75</v>
          </cell>
        </row>
        <row r="2451">
          <cell r="A2451">
            <v>44037</v>
          </cell>
          <cell r="B2451">
            <v>3.75</v>
          </cell>
        </row>
        <row r="2452">
          <cell r="A2452">
            <v>44038</v>
          </cell>
          <cell r="B2452">
            <v>3.75</v>
          </cell>
        </row>
        <row r="2453">
          <cell r="A2453">
            <v>44039</v>
          </cell>
          <cell r="B2453">
            <v>3.75</v>
          </cell>
        </row>
        <row r="2454">
          <cell r="A2454">
            <v>44040</v>
          </cell>
          <cell r="B2454">
            <v>3.75</v>
          </cell>
        </row>
        <row r="2455">
          <cell r="A2455">
            <v>44041</v>
          </cell>
          <cell r="B2455">
            <v>3.75</v>
          </cell>
        </row>
        <row r="2456">
          <cell r="A2456">
            <v>44042</v>
          </cell>
          <cell r="B2456">
            <v>3.75</v>
          </cell>
        </row>
        <row r="2457">
          <cell r="A2457">
            <v>44043</v>
          </cell>
          <cell r="B2457">
            <v>3.75</v>
          </cell>
        </row>
        <row r="2458">
          <cell r="A2458">
            <v>44044</v>
          </cell>
          <cell r="B2458">
            <v>3.75</v>
          </cell>
        </row>
        <row r="2459">
          <cell r="A2459">
            <v>44045</v>
          </cell>
          <cell r="B2459">
            <v>3.75</v>
          </cell>
        </row>
        <row r="2460">
          <cell r="A2460">
            <v>44046</v>
          </cell>
          <cell r="B2460">
            <v>3.75</v>
          </cell>
        </row>
        <row r="2461">
          <cell r="A2461">
            <v>44047</v>
          </cell>
          <cell r="B2461">
            <v>3.75</v>
          </cell>
        </row>
        <row r="2462">
          <cell r="A2462">
            <v>44048</v>
          </cell>
          <cell r="B2462">
            <v>3.75</v>
          </cell>
        </row>
        <row r="2463">
          <cell r="A2463">
            <v>44049</v>
          </cell>
          <cell r="B2463">
            <v>3.75</v>
          </cell>
        </row>
        <row r="2464">
          <cell r="A2464">
            <v>44050</v>
          </cell>
          <cell r="B2464">
            <v>3.75</v>
          </cell>
        </row>
        <row r="2465">
          <cell r="A2465">
            <v>44051</v>
          </cell>
          <cell r="B2465">
            <v>3.75</v>
          </cell>
        </row>
        <row r="2466">
          <cell r="A2466">
            <v>44052</v>
          </cell>
          <cell r="B2466">
            <v>3.75</v>
          </cell>
        </row>
        <row r="2467">
          <cell r="A2467">
            <v>44053</v>
          </cell>
          <cell r="B2467">
            <v>3.75</v>
          </cell>
        </row>
        <row r="2468">
          <cell r="A2468">
            <v>44054</v>
          </cell>
          <cell r="B2468">
            <v>3.75</v>
          </cell>
        </row>
        <row r="2469">
          <cell r="A2469">
            <v>44055</v>
          </cell>
          <cell r="B2469">
            <v>3.75</v>
          </cell>
        </row>
        <row r="2470">
          <cell r="A2470">
            <v>44056</v>
          </cell>
          <cell r="B2470">
            <v>3.75</v>
          </cell>
        </row>
        <row r="2471">
          <cell r="A2471">
            <v>44057</v>
          </cell>
          <cell r="B2471">
            <v>3.75</v>
          </cell>
        </row>
        <row r="2472">
          <cell r="A2472">
            <v>44058</v>
          </cell>
          <cell r="B2472">
            <v>3.75</v>
          </cell>
        </row>
        <row r="2473">
          <cell r="A2473">
            <v>44059</v>
          </cell>
          <cell r="B2473">
            <v>3.75</v>
          </cell>
        </row>
        <row r="2474">
          <cell r="A2474">
            <v>44060</v>
          </cell>
          <cell r="B2474">
            <v>3.75</v>
          </cell>
        </row>
        <row r="2475">
          <cell r="A2475">
            <v>44061</v>
          </cell>
          <cell r="B2475">
            <v>3.75</v>
          </cell>
        </row>
        <row r="2476">
          <cell r="A2476">
            <v>44062</v>
          </cell>
          <cell r="B2476">
            <v>3.75</v>
          </cell>
        </row>
        <row r="2477">
          <cell r="A2477">
            <v>44063</v>
          </cell>
          <cell r="B2477">
            <v>3.75</v>
          </cell>
        </row>
        <row r="2478">
          <cell r="A2478">
            <v>44064</v>
          </cell>
          <cell r="B2478">
            <v>3.75</v>
          </cell>
        </row>
        <row r="2479">
          <cell r="A2479">
            <v>44065</v>
          </cell>
          <cell r="B2479">
            <v>3.75</v>
          </cell>
        </row>
        <row r="2480">
          <cell r="A2480">
            <v>44066</v>
          </cell>
          <cell r="B2480">
            <v>3.75</v>
          </cell>
        </row>
        <row r="2481">
          <cell r="A2481">
            <v>44067</v>
          </cell>
          <cell r="B2481">
            <v>3.75</v>
          </cell>
        </row>
        <row r="2482">
          <cell r="A2482">
            <v>44068</v>
          </cell>
          <cell r="B2482">
            <v>3.75</v>
          </cell>
        </row>
        <row r="2483">
          <cell r="A2483">
            <v>44069</v>
          </cell>
          <cell r="B2483">
            <v>3.75</v>
          </cell>
        </row>
        <row r="2484">
          <cell r="A2484">
            <v>44070</v>
          </cell>
          <cell r="B2484">
            <v>3.75</v>
          </cell>
        </row>
        <row r="2485">
          <cell r="A2485">
            <v>44071</v>
          </cell>
          <cell r="B2485">
            <v>3.75</v>
          </cell>
        </row>
        <row r="2486">
          <cell r="A2486">
            <v>44072</v>
          </cell>
          <cell r="B2486">
            <v>3.75</v>
          </cell>
        </row>
        <row r="2487">
          <cell r="A2487">
            <v>44073</v>
          </cell>
          <cell r="B2487">
            <v>3.75</v>
          </cell>
        </row>
        <row r="2488">
          <cell r="A2488">
            <v>44074</v>
          </cell>
          <cell r="B2488">
            <v>3.75</v>
          </cell>
        </row>
        <row r="2489">
          <cell r="A2489">
            <v>44075</v>
          </cell>
          <cell r="B2489">
            <v>3.75</v>
          </cell>
        </row>
        <row r="2490">
          <cell r="A2490">
            <v>44076</v>
          </cell>
          <cell r="B2490">
            <v>3.75</v>
          </cell>
        </row>
        <row r="2491">
          <cell r="A2491">
            <v>44077</v>
          </cell>
          <cell r="B2491">
            <v>3.75</v>
          </cell>
        </row>
        <row r="2492">
          <cell r="A2492">
            <v>44078</v>
          </cell>
          <cell r="B2492">
            <v>3.75</v>
          </cell>
        </row>
        <row r="2493">
          <cell r="A2493">
            <v>44079</v>
          </cell>
          <cell r="B2493">
            <v>3.75</v>
          </cell>
        </row>
        <row r="2494">
          <cell r="A2494">
            <v>44080</v>
          </cell>
          <cell r="B2494">
            <v>3.75</v>
          </cell>
        </row>
        <row r="2495">
          <cell r="A2495">
            <v>44081</v>
          </cell>
          <cell r="B2495">
            <v>3.75</v>
          </cell>
        </row>
        <row r="2496">
          <cell r="A2496">
            <v>44082</v>
          </cell>
          <cell r="B2496">
            <v>3.75</v>
          </cell>
        </row>
        <row r="2497">
          <cell r="A2497">
            <v>44083</v>
          </cell>
          <cell r="B2497">
            <v>3.75</v>
          </cell>
        </row>
        <row r="2498">
          <cell r="A2498">
            <v>44084</v>
          </cell>
          <cell r="B2498">
            <v>3.75</v>
          </cell>
        </row>
        <row r="2499">
          <cell r="A2499">
            <v>44085</v>
          </cell>
          <cell r="B2499">
            <v>3.75</v>
          </cell>
        </row>
        <row r="2500">
          <cell r="A2500">
            <v>44086</v>
          </cell>
          <cell r="B2500">
            <v>3.75</v>
          </cell>
        </row>
        <row r="2501">
          <cell r="A2501">
            <v>44087</v>
          </cell>
          <cell r="B2501">
            <v>3.75</v>
          </cell>
        </row>
        <row r="2502">
          <cell r="A2502">
            <v>44088</v>
          </cell>
          <cell r="B2502">
            <v>3.75</v>
          </cell>
        </row>
        <row r="2503">
          <cell r="A2503">
            <v>44089</v>
          </cell>
          <cell r="B2503">
            <v>3.75</v>
          </cell>
        </row>
        <row r="2504">
          <cell r="A2504">
            <v>44090</v>
          </cell>
          <cell r="B2504">
            <v>3.75</v>
          </cell>
        </row>
        <row r="2505">
          <cell r="A2505">
            <v>44091</v>
          </cell>
          <cell r="B2505">
            <v>3.75</v>
          </cell>
        </row>
        <row r="2506">
          <cell r="A2506">
            <v>44092</v>
          </cell>
          <cell r="B2506">
            <v>3.75</v>
          </cell>
        </row>
        <row r="2507">
          <cell r="A2507">
            <v>44093</v>
          </cell>
          <cell r="B2507">
            <v>3.75</v>
          </cell>
        </row>
        <row r="2508">
          <cell r="A2508">
            <v>44094</v>
          </cell>
          <cell r="B2508">
            <v>3.75</v>
          </cell>
        </row>
        <row r="2509">
          <cell r="A2509">
            <v>44095</v>
          </cell>
          <cell r="B2509">
            <v>3.75</v>
          </cell>
        </row>
        <row r="2510">
          <cell r="A2510">
            <v>44096</v>
          </cell>
          <cell r="B2510">
            <v>3.75</v>
          </cell>
        </row>
        <row r="2511">
          <cell r="A2511">
            <v>44097</v>
          </cell>
          <cell r="B2511">
            <v>3.75</v>
          </cell>
        </row>
        <row r="2512">
          <cell r="A2512">
            <v>44098</v>
          </cell>
          <cell r="B2512">
            <v>3.75</v>
          </cell>
        </row>
        <row r="2513">
          <cell r="A2513">
            <v>44099</v>
          </cell>
          <cell r="B2513">
            <v>3.75</v>
          </cell>
        </row>
        <row r="2514">
          <cell r="A2514">
            <v>44100</v>
          </cell>
          <cell r="B2514">
            <v>3.75</v>
          </cell>
        </row>
        <row r="2515">
          <cell r="A2515">
            <v>44101</v>
          </cell>
          <cell r="B2515">
            <v>3.75</v>
          </cell>
        </row>
        <row r="2516">
          <cell r="A2516">
            <v>44102</v>
          </cell>
          <cell r="B2516">
            <v>3.75</v>
          </cell>
        </row>
        <row r="2517">
          <cell r="A2517">
            <v>44103</v>
          </cell>
          <cell r="B2517">
            <v>3.75</v>
          </cell>
        </row>
        <row r="2518">
          <cell r="A2518">
            <v>44104</v>
          </cell>
          <cell r="B2518">
            <v>3.75</v>
          </cell>
        </row>
        <row r="2519">
          <cell r="A2519">
            <v>44105</v>
          </cell>
          <cell r="B2519">
            <v>3.75</v>
          </cell>
        </row>
        <row r="2520">
          <cell r="A2520">
            <v>44106</v>
          </cell>
          <cell r="B2520">
            <v>3.75</v>
          </cell>
        </row>
        <row r="2521">
          <cell r="A2521">
            <v>44107</v>
          </cell>
          <cell r="B2521">
            <v>3.75</v>
          </cell>
        </row>
        <row r="2522">
          <cell r="A2522">
            <v>44108</v>
          </cell>
          <cell r="B2522">
            <v>3.75</v>
          </cell>
        </row>
        <row r="2523">
          <cell r="A2523">
            <v>44109</v>
          </cell>
          <cell r="B2523">
            <v>3.75</v>
          </cell>
        </row>
        <row r="2524">
          <cell r="A2524">
            <v>44110</v>
          </cell>
          <cell r="B2524">
            <v>3.75</v>
          </cell>
        </row>
        <row r="2525">
          <cell r="A2525">
            <v>44111</v>
          </cell>
          <cell r="B2525">
            <v>3.75</v>
          </cell>
        </row>
        <row r="2526">
          <cell r="A2526">
            <v>44112</v>
          </cell>
          <cell r="B2526">
            <v>3.75</v>
          </cell>
        </row>
        <row r="2527">
          <cell r="A2527">
            <v>44113</v>
          </cell>
          <cell r="B2527">
            <v>3.75</v>
          </cell>
        </row>
        <row r="2528">
          <cell r="A2528">
            <v>44114</v>
          </cell>
          <cell r="B2528">
            <v>3.75</v>
          </cell>
        </row>
        <row r="2529">
          <cell r="A2529">
            <v>44115</v>
          </cell>
          <cell r="B2529">
            <v>3.75</v>
          </cell>
        </row>
        <row r="2530">
          <cell r="A2530">
            <v>44116</v>
          </cell>
          <cell r="B2530">
            <v>3.75</v>
          </cell>
        </row>
        <row r="2531">
          <cell r="A2531">
            <v>44117</v>
          </cell>
          <cell r="B2531">
            <v>3.75</v>
          </cell>
        </row>
        <row r="2532">
          <cell r="A2532">
            <v>44118</v>
          </cell>
          <cell r="B2532">
            <v>3.75</v>
          </cell>
        </row>
        <row r="2533">
          <cell r="A2533">
            <v>44119</v>
          </cell>
          <cell r="B2533">
            <v>3.75</v>
          </cell>
        </row>
        <row r="2534">
          <cell r="A2534">
            <v>44120</v>
          </cell>
          <cell r="B2534">
            <v>3.75</v>
          </cell>
        </row>
        <row r="2535">
          <cell r="A2535">
            <v>44121</v>
          </cell>
          <cell r="B2535">
            <v>3.75</v>
          </cell>
        </row>
        <row r="2536">
          <cell r="A2536">
            <v>44122</v>
          </cell>
          <cell r="B2536">
            <v>3.75</v>
          </cell>
        </row>
        <row r="2537">
          <cell r="A2537">
            <v>44123</v>
          </cell>
          <cell r="B2537">
            <v>3.75</v>
          </cell>
        </row>
        <row r="2538">
          <cell r="A2538">
            <v>44124</v>
          </cell>
          <cell r="B2538">
            <v>3.75</v>
          </cell>
        </row>
        <row r="2539">
          <cell r="A2539">
            <v>44125</v>
          </cell>
          <cell r="B2539">
            <v>3.75</v>
          </cell>
        </row>
        <row r="2540">
          <cell r="A2540">
            <v>44126</v>
          </cell>
          <cell r="B2540">
            <v>3.75</v>
          </cell>
        </row>
        <row r="2541">
          <cell r="A2541">
            <v>44127</v>
          </cell>
          <cell r="B2541">
            <v>3.75</v>
          </cell>
        </row>
        <row r="2542">
          <cell r="A2542">
            <v>44128</v>
          </cell>
          <cell r="B2542">
            <v>3.75</v>
          </cell>
        </row>
        <row r="2543">
          <cell r="A2543">
            <v>44129</v>
          </cell>
          <cell r="B2543">
            <v>3.75</v>
          </cell>
        </row>
        <row r="2544">
          <cell r="A2544">
            <v>44130</v>
          </cell>
          <cell r="B2544">
            <v>3.75</v>
          </cell>
        </row>
        <row r="2545">
          <cell r="A2545">
            <v>44131</v>
          </cell>
          <cell r="B2545">
            <v>3.75</v>
          </cell>
        </row>
        <row r="2546">
          <cell r="A2546">
            <v>44132</v>
          </cell>
          <cell r="B2546">
            <v>3.75</v>
          </cell>
        </row>
        <row r="2547">
          <cell r="A2547">
            <v>44133</v>
          </cell>
          <cell r="B2547">
            <v>3.75</v>
          </cell>
        </row>
        <row r="2548">
          <cell r="A2548">
            <v>44134</v>
          </cell>
          <cell r="B2548">
            <v>3.75</v>
          </cell>
        </row>
        <row r="2549">
          <cell r="A2549">
            <v>44135</v>
          </cell>
          <cell r="B2549">
            <v>3.75</v>
          </cell>
        </row>
        <row r="2550">
          <cell r="A2550">
            <v>44136</v>
          </cell>
          <cell r="B2550">
            <v>3.75</v>
          </cell>
        </row>
        <row r="2551">
          <cell r="A2551">
            <v>44137</v>
          </cell>
          <cell r="B2551">
            <v>3.75</v>
          </cell>
        </row>
        <row r="2552">
          <cell r="A2552">
            <v>44138</v>
          </cell>
          <cell r="B2552">
            <v>3.75</v>
          </cell>
        </row>
        <row r="2553">
          <cell r="A2553">
            <v>44139</v>
          </cell>
          <cell r="B2553">
            <v>3.75</v>
          </cell>
        </row>
        <row r="2554">
          <cell r="A2554">
            <v>44140</v>
          </cell>
          <cell r="B2554">
            <v>3.75</v>
          </cell>
        </row>
        <row r="2555">
          <cell r="A2555">
            <v>44141</v>
          </cell>
          <cell r="B2555">
            <v>3.75</v>
          </cell>
        </row>
        <row r="2556">
          <cell r="A2556">
            <v>44142</v>
          </cell>
          <cell r="B2556">
            <v>3.75</v>
          </cell>
        </row>
        <row r="2557">
          <cell r="A2557">
            <v>44143</v>
          </cell>
          <cell r="B2557">
            <v>3.75</v>
          </cell>
        </row>
        <row r="2558">
          <cell r="A2558">
            <v>44144</v>
          </cell>
          <cell r="B2558">
            <v>3.75</v>
          </cell>
        </row>
        <row r="2559">
          <cell r="A2559">
            <v>44145</v>
          </cell>
          <cell r="B2559">
            <v>3.75</v>
          </cell>
        </row>
        <row r="2560">
          <cell r="A2560">
            <v>44146</v>
          </cell>
          <cell r="B2560">
            <v>3.75</v>
          </cell>
        </row>
        <row r="2561">
          <cell r="A2561">
            <v>44147</v>
          </cell>
          <cell r="B2561">
            <v>3.75</v>
          </cell>
        </row>
        <row r="2562">
          <cell r="A2562">
            <v>44148</v>
          </cell>
          <cell r="B2562">
            <v>3.75</v>
          </cell>
        </row>
        <row r="2563">
          <cell r="A2563">
            <v>44149</v>
          </cell>
          <cell r="B2563">
            <v>3.75</v>
          </cell>
        </row>
        <row r="2564">
          <cell r="A2564">
            <v>44150</v>
          </cell>
          <cell r="B2564">
            <v>3.75</v>
          </cell>
        </row>
        <row r="2565">
          <cell r="A2565">
            <v>44151</v>
          </cell>
          <cell r="B2565">
            <v>3.75</v>
          </cell>
        </row>
        <row r="2566">
          <cell r="A2566">
            <v>44152</v>
          </cell>
          <cell r="B2566">
            <v>3.75</v>
          </cell>
        </row>
        <row r="2567">
          <cell r="A2567">
            <v>44153</v>
          </cell>
          <cell r="B2567">
            <v>3.75</v>
          </cell>
        </row>
        <row r="2568">
          <cell r="A2568">
            <v>44154</v>
          </cell>
          <cell r="B2568">
            <v>3.75</v>
          </cell>
        </row>
        <row r="2569">
          <cell r="A2569">
            <v>44155</v>
          </cell>
          <cell r="B2569">
            <v>3.75</v>
          </cell>
        </row>
        <row r="2570">
          <cell r="A2570">
            <v>44156</v>
          </cell>
          <cell r="B2570">
            <v>3.75</v>
          </cell>
        </row>
        <row r="2571">
          <cell r="A2571">
            <v>44157</v>
          </cell>
          <cell r="B2571">
            <v>3.75</v>
          </cell>
        </row>
        <row r="2572">
          <cell r="A2572">
            <v>44158</v>
          </cell>
          <cell r="B2572">
            <v>3.75</v>
          </cell>
        </row>
        <row r="2573">
          <cell r="A2573">
            <v>44159</v>
          </cell>
          <cell r="B2573">
            <v>3.75</v>
          </cell>
        </row>
        <row r="2574">
          <cell r="A2574">
            <v>44160</v>
          </cell>
          <cell r="B2574">
            <v>3.75</v>
          </cell>
        </row>
        <row r="2575">
          <cell r="A2575">
            <v>44161</v>
          </cell>
          <cell r="B2575">
            <v>3.75</v>
          </cell>
        </row>
        <row r="2576">
          <cell r="A2576">
            <v>44162</v>
          </cell>
          <cell r="B2576">
            <v>3.75</v>
          </cell>
        </row>
        <row r="2577">
          <cell r="A2577">
            <v>44163</v>
          </cell>
          <cell r="B2577">
            <v>3.75</v>
          </cell>
        </row>
        <row r="2578">
          <cell r="A2578">
            <v>44164</v>
          </cell>
          <cell r="B2578">
            <v>3.75</v>
          </cell>
        </row>
        <row r="2579">
          <cell r="A2579">
            <v>44165</v>
          </cell>
          <cell r="B2579">
            <v>3.75</v>
          </cell>
        </row>
        <row r="2580">
          <cell r="A2580">
            <v>44166</v>
          </cell>
          <cell r="B2580">
            <v>3.75</v>
          </cell>
        </row>
        <row r="2581">
          <cell r="A2581">
            <v>44167</v>
          </cell>
          <cell r="B2581">
            <v>3.75</v>
          </cell>
        </row>
        <row r="2582">
          <cell r="A2582">
            <v>44168</v>
          </cell>
          <cell r="B2582">
            <v>3.75</v>
          </cell>
        </row>
        <row r="2583">
          <cell r="A2583">
            <v>44169</v>
          </cell>
          <cell r="B2583">
            <v>3.75</v>
          </cell>
        </row>
        <row r="2584">
          <cell r="A2584">
            <v>44170</v>
          </cell>
          <cell r="B2584">
            <v>3.75</v>
          </cell>
        </row>
        <row r="2585">
          <cell r="A2585">
            <v>44171</v>
          </cell>
          <cell r="B2585">
            <v>3.75</v>
          </cell>
        </row>
        <row r="2586">
          <cell r="A2586">
            <v>44172</v>
          </cell>
          <cell r="B2586">
            <v>3.75</v>
          </cell>
        </row>
        <row r="2587">
          <cell r="A2587">
            <v>44173</v>
          </cell>
          <cell r="B2587">
            <v>3.75</v>
          </cell>
        </row>
        <row r="2588">
          <cell r="A2588">
            <v>44174</v>
          </cell>
          <cell r="B2588">
            <v>3.75</v>
          </cell>
        </row>
        <row r="2589">
          <cell r="A2589">
            <v>44175</v>
          </cell>
          <cell r="B2589">
            <v>3.75</v>
          </cell>
        </row>
        <row r="2590">
          <cell r="A2590">
            <v>44176</v>
          </cell>
          <cell r="B2590">
            <v>3.75</v>
          </cell>
        </row>
        <row r="2591">
          <cell r="A2591">
            <v>44177</v>
          </cell>
          <cell r="B2591">
            <v>3.75</v>
          </cell>
        </row>
        <row r="2592">
          <cell r="A2592">
            <v>44178</v>
          </cell>
          <cell r="B2592">
            <v>3.75</v>
          </cell>
        </row>
        <row r="2593">
          <cell r="A2593">
            <v>44179</v>
          </cell>
          <cell r="B2593">
            <v>3.75</v>
          </cell>
        </row>
        <row r="2594">
          <cell r="A2594">
            <v>44180</v>
          </cell>
          <cell r="B2594">
            <v>3.75</v>
          </cell>
        </row>
        <row r="2595">
          <cell r="A2595">
            <v>44181</v>
          </cell>
          <cell r="B2595">
            <v>3.75</v>
          </cell>
        </row>
        <row r="2596">
          <cell r="A2596">
            <v>44182</v>
          </cell>
          <cell r="B2596">
            <v>3.75</v>
          </cell>
        </row>
        <row r="2597">
          <cell r="A2597">
            <v>44183</v>
          </cell>
          <cell r="B2597">
            <v>3.75</v>
          </cell>
        </row>
        <row r="2598">
          <cell r="A2598">
            <v>44184</v>
          </cell>
          <cell r="B2598">
            <v>3.75</v>
          </cell>
        </row>
        <row r="2599">
          <cell r="A2599">
            <v>44185</v>
          </cell>
          <cell r="B2599">
            <v>3.75</v>
          </cell>
        </row>
        <row r="2600">
          <cell r="A2600">
            <v>44186</v>
          </cell>
          <cell r="B2600">
            <v>3.75</v>
          </cell>
        </row>
        <row r="2601">
          <cell r="A2601">
            <v>44187</v>
          </cell>
          <cell r="B2601">
            <v>3.75</v>
          </cell>
        </row>
        <row r="2602">
          <cell r="A2602">
            <v>44188</v>
          </cell>
          <cell r="B2602">
            <v>3.75</v>
          </cell>
        </row>
        <row r="2603">
          <cell r="A2603">
            <v>44189</v>
          </cell>
          <cell r="B2603">
            <v>3.75</v>
          </cell>
        </row>
        <row r="2604">
          <cell r="A2604">
            <v>44190</v>
          </cell>
          <cell r="B2604">
            <v>3.75</v>
          </cell>
        </row>
        <row r="2605">
          <cell r="A2605">
            <v>44191</v>
          </cell>
          <cell r="B2605">
            <v>3.75</v>
          </cell>
        </row>
        <row r="2606">
          <cell r="A2606">
            <v>44192</v>
          </cell>
          <cell r="B2606">
            <v>3.75</v>
          </cell>
        </row>
        <row r="2607">
          <cell r="A2607">
            <v>44193</v>
          </cell>
          <cell r="B2607">
            <v>3.75</v>
          </cell>
        </row>
        <row r="2608">
          <cell r="A2608">
            <v>44194</v>
          </cell>
          <cell r="B2608">
            <v>3.75</v>
          </cell>
        </row>
        <row r="2609">
          <cell r="A2609">
            <v>44195</v>
          </cell>
          <cell r="B2609">
            <v>3.75</v>
          </cell>
        </row>
        <row r="2610">
          <cell r="A2610">
            <v>44196</v>
          </cell>
          <cell r="B2610">
            <v>3.75</v>
          </cell>
        </row>
        <row r="2611">
          <cell r="A2611">
            <v>44197</v>
          </cell>
          <cell r="B2611">
            <v>3.75</v>
          </cell>
        </row>
        <row r="2612">
          <cell r="A2612">
            <v>44198</v>
          </cell>
          <cell r="B2612">
            <v>3.75</v>
          </cell>
        </row>
        <row r="2613">
          <cell r="A2613">
            <v>44199</v>
          </cell>
          <cell r="B2613">
            <v>3.75</v>
          </cell>
        </row>
        <row r="2614">
          <cell r="A2614">
            <v>44200</v>
          </cell>
          <cell r="B2614">
            <v>3.75</v>
          </cell>
        </row>
        <row r="2615">
          <cell r="A2615">
            <v>44201</v>
          </cell>
          <cell r="B2615">
            <v>3.75</v>
          </cell>
        </row>
        <row r="2616">
          <cell r="A2616">
            <v>44202</v>
          </cell>
          <cell r="B2616">
            <v>3.75</v>
          </cell>
        </row>
        <row r="2617">
          <cell r="A2617">
            <v>44203</v>
          </cell>
          <cell r="B2617">
            <v>3.75</v>
          </cell>
        </row>
        <row r="2618">
          <cell r="A2618">
            <v>44204</v>
          </cell>
          <cell r="B2618">
            <v>3.75</v>
          </cell>
        </row>
        <row r="2619">
          <cell r="A2619">
            <v>44205</v>
          </cell>
          <cell r="B2619">
            <v>3.75</v>
          </cell>
        </row>
        <row r="2620">
          <cell r="A2620">
            <v>44206</v>
          </cell>
          <cell r="B2620">
            <v>3.75</v>
          </cell>
        </row>
        <row r="2621">
          <cell r="A2621">
            <v>44207</v>
          </cell>
          <cell r="B2621">
            <v>3.75</v>
          </cell>
        </row>
        <row r="2622">
          <cell r="A2622">
            <v>44208</v>
          </cell>
          <cell r="B2622">
            <v>3.75</v>
          </cell>
        </row>
        <row r="2623">
          <cell r="A2623">
            <v>44209</v>
          </cell>
          <cell r="B2623">
            <v>3.75</v>
          </cell>
        </row>
        <row r="2624">
          <cell r="A2624">
            <v>44210</v>
          </cell>
          <cell r="B2624">
            <v>3.75</v>
          </cell>
        </row>
        <row r="2625">
          <cell r="A2625">
            <v>44211</v>
          </cell>
          <cell r="B2625">
            <v>3.75</v>
          </cell>
        </row>
        <row r="2626">
          <cell r="A2626">
            <v>44212</v>
          </cell>
          <cell r="B2626">
            <v>3.75</v>
          </cell>
        </row>
        <row r="2627">
          <cell r="A2627">
            <v>44213</v>
          </cell>
          <cell r="B2627">
            <v>3.75</v>
          </cell>
        </row>
        <row r="2628">
          <cell r="A2628">
            <v>44214</v>
          </cell>
          <cell r="B2628">
            <v>3.75</v>
          </cell>
        </row>
        <row r="2629">
          <cell r="A2629">
            <v>44215</v>
          </cell>
          <cell r="B2629">
            <v>3.75</v>
          </cell>
        </row>
        <row r="2630">
          <cell r="A2630">
            <v>44216</v>
          </cell>
          <cell r="B2630">
            <v>3.75</v>
          </cell>
        </row>
        <row r="2631">
          <cell r="A2631">
            <v>44217</v>
          </cell>
          <cell r="B2631">
            <v>3.75</v>
          </cell>
        </row>
        <row r="2632">
          <cell r="A2632">
            <v>44218</v>
          </cell>
          <cell r="B2632">
            <v>3.75</v>
          </cell>
        </row>
        <row r="2633">
          <cell r="A2633">
            <v>44219</v>
          </cell>
          <cell r="B2633">
            <v>3.75</v>
          </cell>
        </row>
        <row r="2634">
          <cell r="A2634">
            <v>44220</v>
          </cell>
          <cell r="B2634">
            <v>3.75</v>
          </cell>
        </row>
        <row r="2635">
          <cell r="A2635">
            <v>44221</v>
          </cell>
          <cell r="B2635">
            <v>3.75</v>
          </cell>
        </row>
        <row r="2636">
          <cell r="A2636">
            <v>44222</v>
          </cell>
          <cell r="B2636">
            <v>3.75</v>
          </cell>
        </row>
        <row r="2637">
          <cell r="A2637">
            <v>44223</v>
          </cell>
          <cell r="B2637">
            <v>3.75</v>
          </cell>
        </row>
        <row r="2638">
          <cell r="A2638">
            <v>44224</v>
          </cell>
          <cell r="B2638">
            <v>3.75</v>
          </cell>
        </row>
        <row r="2639">
          <cell r="A2639">
            <v>44225</v>
          </cell>
          <cell r="B2639">
            <v>3.75</v>
          </cell>
        </row>
        <row r="2640">
          <cell r="A2640">
            <v>44226</v>
          </cell>
          <cell r="B2640">
            <v>3.75</v>
          </cell>
        </row>
        <row r="2641">
          <cell r="A2641">
            <v>44227</v>
          </cell>
          <cell r="B2641">
            <v>3.75</v>
          </cell>
        </row>
        <row r="2642">
          <cell r="A2642">
            <v>44228</v>
          </cell>
          <cell r="B2642">
            <v>3.75</v>
          </cell>
        </row>
        <row r="2643">
          <cell r="A2643">
            <v>44229</v>
          </cell>
          <cell r="B2643">
            <v>3.75</v>
          </cell>
        </row>
        <row r="2644">
          <cell r="A2644">
            <v>44230</v>
          </cell>
          <cell r="B2644">
            <v>3.75</v>
          </cell>
        </row>
        <row r="2645">
          <cell r="A2645">
            <v>44231</v>
          </cell>
          <cell r="B2645">
            <v>3.75</v>
          </cell>
        </row>
        <row r="2646">
          <cell r="A2646">
            <v>44232</v>
          </cell>
          <cell r="B2646">
            <v>3.75</v>
          </cell>
        </row>
        <row r="2647">
          <cell r="A2647">
            <v>44233</v>
          </cell>
          <cell r="B2647">
            <v>3.75</v>
          </cell>
        </row>
        <row r="2648">
          <cell r="A2648">
            <v>44234</v>
          </cell>
          <cell r="B2648">
            <v>3.75</v>
          </cell>
        </row>
        <row r="2649">
          <cell r="A2649">
            <v>44235</v>
          </cell>
          <cell r="B2649">
            <v>3.75</v>
          </cell>
        </row>
        <row r="2650">
          <cell r="A2650">
            <v>44236</v>
          </cell>
          <cell r="B2650">
            <v>3.75</v>
          </cell>
        </row>
        <row r="2651">
          <cell r="A2651">
            <v>44237</v>
          </cell>
          <cell r="B2651">
            <v>3.75</v>
          </cell>
        </row>
        <row r="2652">
          <cell r="A2652">
            <v>44238</v>
          </cell>
          <cell r="B2652">
            <v>3.75</v>
          </cell>
        </row>
        <row r="2653">
          <cell r="A2653">
            <v>44239</v>
          </cell>
          <cell r="B2653">
            <v>3.75</v>
          </cell>
        </row>
        <row r="2654">
          <cell r="A2654">
            <v>44240</v>
          </cell>
          <cell r="B2654">
            <v>3.75</v>
          </cell>
        </row>
        <row r="2655">
          <cell r="A2655">
            <v>44241</v>
          </cell>
          <cell r="B2655">
            <v>3.75</v>
          </cell>
        </row>
        <row r="2656">
          <cell r="A2656">
            <v>44242</v>
          </cell>
          <cell r="B2656">
            <v>3.75</v>
          </cell>
        </row>
        <row r="2657">
          <cell r="A2657">
            <v>44243</v>
          </cell>
          <cell r="B2657">
            <v>3.75</v>
          </cell>
        </row>
        <row r="2658">
          <cell r="A2658">
            <v>44244</v>
          </cell>
          <cell r="B2658">
            <v>3.75</v>
          </cell>
        </row>
        <row r="2659">
          <cell r="A2659">
            <v>44245</v>
          </cell>
          <cell r="B2659">
            <v>3.75</v>
          </cell>
        </row>
        <row r="2660">
          <cell r="A2660">
            <v>44246</v>
          </cell>
          <cell r="B2660">
            <v>3.75</v>
          </cell>
        </row>
        <row r="2661">
          <cell r="A2661">
            <v>44247</v>
          </cell>
          <cell r="B2661">
            <v>3.75</v>
          </cell>
        </row>
        <row r="2662">
          <cell r="A2662">
            <v>44248</v>
          </cell>
          <cell r="B2662">
            <v>3.75</v>
          </cell>
        </row>
        <row r="2663">
          <cell r="A2663">
            <v>44249</v>
          </cell>
          <cell r="B2663">
            <v>3.75</v>
          </cell>
        </row>
        <row r="2664">
          <cell r="A2664">
            <v>44250</v>
          </cell>
          <cell r="B2664">
            <v>3.75</v>
          </cell>
        </row>
        <row r="2665">
          <cell r="A2665">
            <v>44251</v>
          </cell>
          <cell r="B2665">
            <v>3.75</v>
          </cell>
        </row>
        <row r="2666">
          <cell r="A2666">
            <v>44252</v>
          </cell>
          <cell r="B2666">
            <v>3.75</v>
          </cell>
        </row>
        <row r="2667">
          <cell r="A2667">
            <v>44253</v>
          </cell>
          <cell r="B2667">
            <v>3.75</v>
          </cell>
        </row>
        <row r="2668">
          <cell r="A2668">
            <v>44254</v>
          </cell>
          <cell r="B2668">
            <v>3.75</v>
          </cell>
        </row>
        <row r="2669">
          <cell r="A2669">
            <v>44255</v>
          </cell>
          <cell r="B2669">
            <v>3.75</v>
          </cell>
        </row>
        <row r="2670">
          <cell r="A2670">
            <v>44256</v>
          </cell>
          <cell r="B2670">
            <v>3.75</v>
          </cell>
        </row>
        <row r="2671">
          <cell r="A2671">
            <v>44257</v>
          </cell>
          <cell r="B2671">
            <v>3.75</v>
          </cell>
        </row>
        <row r="2672">
          <cell r="A2672">
            <v>44258</v>
          </cell>
          <cell r="B2672">
            <v>3.75</v>
          </cell>
        </row>
        <row r="2673">
          <cell r="A2673">
            <v>44259</v>
          </cell>
          <cell r="B2673">
            <v>3.75</v>
          </cell>
        </row>
        <row r="2674">
          <cell r="A2674">
            <v>44260</v>
          </cell>
          <cell r="B2674">
            <v>3.75</v>
          </cell>
        </row>
        <row r="2675">
          <cell r="A2675">
            <v>44261</v>
          </cell>
          <cell r="B2675">
            <v>3.75</v>
          </cell>
        </row>
        <row r="2676">
          <cell r="A2676">
            <v>44262</v>
          </cell>
          <cell r="B2676">
            <v>3.75</v>
          </cell>
        </row>
        <row r="2677">
          <cell r="A2677">
            <v>44263</v>
          </cell>
          <cell r="B2677">
            <v>3.75</v>
          </cell>
        </row>
        <row r="2678">
          <cell r="A2678">
            <v>44264</v>
          </cell>
          <cell r="B2678">
            <v>3.75</v>
          </cell>
        </row>
        <row r="2679">
          <cell r="A2679">
            <v>44265</v>
          </cell>
          <cell r="B2679">
            <v>3.75</v>
          </cell>
        </row>
        <row r="2680">
          <cell r="A2680">
            <v>44266</v>
          </cell>
          <cell r="B2680">
            <v>3.75</v>
          </cell>
        </row>
        <row r="2681">
          <cell r="A2681">
            <v>44267</v>
          </cell>
          <cell r="B2681">
            <v>3.75</v>
          </cell>
        </row>
        <row r="2682">
          <cell r="A2682">
            <v>44268</v>
          </cell>
          <cell r="B2682">
            <v>3.75</v>
          </cell>
        </row>
        <row r="2683">
          <cell r="A2683">
            <v>44269</v>
          </cell>
          <cell r="B2683">
            <v>3.75</v>
          </cell>
        </row>
        <row r="2684">
          <cell r="A2684">
            <v>44270</v>
          </cell>
          <cell r="B2684">
            <v>3.75</v>
          </cell>
        </row>
        <row r="2685">
          <cell r="A2685">
            <v>44271</v>
          </cell>
          <cell r="B2685">
            <v>3.75</v>
          </cell>
        </row>
        <row r="2686">
          <cell r="A2686">
            <v>44272</v>
          </cell>
          <cell r="B2686">
            <v>3.75</v>
          </cell>
        </row>
        <row r="2687">
          <cell r="A2687">
            <v>44273</v>
          </cell>
          <cell r="B2687">
            <v>3.75</v>
          </cell>
        </row>
        <row r="2688">
          <cell r="A2688">
            <v>44274</v>
          </cell>
          <cell r="B2688">
            <v>3.75</v>
          </cell>
        </row>
        <row r="2689">
          <cell r="A2689">
            <v>44275</v>
          </cell>
          <cell r="B2689">
            <v>3.75</v>
          </cell>
        </row>
        <row r="2690">
          <cell r="A2690">
            <v>44276</v>
          </cell>
          <cell r="B2690">
            <v>3.75</v>
          </cell>
        </row>
        <row r="2691">
          <cell r="A2691">
            <v>44277</v>
          </cell>
          <cell r="B2691">
            <v>3.75</v>
          </cell>
        </row>
        <row r="2692">
          <cell r="A2692">
            <v>44278</v>
          </cell>
          <cell r="B2692">
            <v>3.75</v>
          </cell>
        </row>
        <row r="2693">
          <cell r="A2693">
            <v>44279</v>
          </cell>
          <cell r="B2693">
            <v>3.75</v>
          </cell>
        </row>
        <row r="2694">
          <cell r="A2694">
            <v>44280</v>
          </cell>
          <cell r="B2694">
            <v>3.75</v>
          </cell>
        </row>
        <row r="2695">
          <cell r="A2695">
            <v>44281</v>
          </cell>
          <cell r="B2695">
            <v>3.75</v>
          </cell>
        </row>
        <row r="2696">
          <cell r="A2696">
            <v>44282</v>
          </cell>
          <cell r="B2696">
            <v>3.75</v>
          </cell>
        </row>
        <row r="2697">
          <cell r="A2697">
            <v>44283</v>
          </cell>
          <cell r="B2697">
            <v>3.75</v>
          </cell>
        </row>
        <row r="2698">
          <cell r="A2698">
            <v>44284</v>
          </cell>
          <cell r="B2698">
            <v>3.75</v>
          </cell>
        </row>
        <row r="2699">
          <cell r="A2699">
            <v>44285</v>
          </cell>
          <cell r="B2699">
            <v>3.75</v>
          </cell>
        </row>
        <row r="2700">
          <cell r="A2700">
            <v>44286</v>
          </cell>
          <cell r="B2700">
            <v>3.75</v>
          </cell>
        </row>
        <row r="2701">
          <cell r="A2701">
            <v>44287</v>
          </cell>
          <cell r="B2701">
            <v>3.75</v>
          </cell>
        </row>
        <row r="2702">
          <cell r="A2702">
            <v>44288</v>
          </cell>
          <cell r="B2702">
            <v>3.75</v>
          </cell>
        </row>
        <row r="2703">
          <cell r="A2703">
            <v>44289</v>
          </cell>
          <cell r="B2703">
            <v>3.75</v>
          </cell>
        </row>
        <row r="2704">
          <cell r="A2704">
            <v>44290</v>
          </cell>
          <cell r="B2704">
            <v>3.75</v>
          </cell>
        </row>
        <row r="2705">
          <cell r="A2705">
            <v>44291</v>
          </cell>
          <cell r="B2705">
            <v>3.75</v>
          </cell>
        </row>
        <row r="2706">
          <cell r="A2706">
            <v>44292</v>
          </cell>
          <cell r="B2706">
            <v>3.75</v>
          </cell>
        </row>
        <row r="2707">
          <cell r="A2707">
            <v>44293</v>
          </cell>
          <cell r="B2707">
            <v>3.75</v>
          </cell>
        </row>
        <row r="2708">
          <cell r="A2708">
            <v>44294</v>
          </cell>
          <cell r="B2708">
            <v>3.75</v>
          </cell>
        </row>
        <row r="2709">
          <cell r="A2709">
            <v>44295</v>
          </cell>
          <cell r="B2709">
            <v>3.75</v>
          </cell>
        </row>
        <row r="2710">
          <cell r="A2710">
            <v>44296</v>
          </cell>
          <cell r="B2710">
            <v>3.75</v>
          </cell>
        </row>
        <row r="2711">
          <cell r="A2711">
            <v>44297</v>
          </cell>
          <cell r="B2711">
            <v>3.75</v>
          </cell>
        </row>
        <row r="2712">
          <cell r="A2712">
            <v>44298</v>
          </cell>
          <cell r="B2712">
            <v>3.75</v>
          </cell>
        </row>
        <row r="2713">
          <cell r="A2713">
            <v>44299</v>
          </cell>
          <cell r="B2713">
            <v>3.75</v>
          </cell>
        </row>
        <row r="2714">
          <cell r="A2714">
            <v>44300</v>
          </cell>
          <cell r="B2714">
            <v>3.75</v>
          </cell>
        </row>
        <row r="2715">
          <cell r="A2715">
            <v>44301</v>
          </cell>
          <cell r="B2715">
            <v>3.75</v>
          </cell>
        </row>
        <row r="2716">
          <cell r="A2716">
            <v>44302</v>
          </cell>
          <cell r="B2716">
            <v>3.75</v>
          </cell>
        </row>
        <row r="2717">
          <cell r="A2717">
            <v>44303</v>
          </cell>
          <cell r="B2717">
            <v>3.75</v>
          </cell>
        </row>
        <row r="2718">
          <cell r="A2718">
            <v>44304</v>
          </cell>
          <cell r="B2718">
            <v>3.75</v>
          </cell>
        </row>
        <row r="2719">
          <cell r="A2719">
            <v>44305</v>
          </cell>
          <cell r="B2719">
            <v>3.75</v>
          </cell>
        </row>
        <row r="2720">
          <cell r="A2720">
            <v>44306</v>
          </cell>
          <cell r="B2720">
            <v>3.75</v>
          </cell>
        </row>
        <row r="2721">
          <cell r="A2721">
            <v>44307</v>
          </cell>
          <cell r="B2721">
            <v>3.75</v>
          </cell>
        </row>
        <row r="2722">
          <cell r="A2722">
            <v>44308</v>
          </cell>
          <cell r="B2722">
            <v>3.75</v>
          </cell>
        </row>
        <row r="2723">
          <cell r="A2723">
            <v>44309</v>
          </cell>
          <cell r="B2723">
            <v>3.75</v>
          </cell>
        </row>
        <row r="2724">
          <cell r="A2724">
            <v>44310</v>
          </cell>
          <cell r="B2724">
            <v>3.75</v>
          </cell>
        </row>
        <row r="2725">
          <cell r="A2725">
            <v>44311</v>
          </cell>
          <cell r="B2725">
            <v>3.75</v>
          </cell>
        </row>
        <row r="2726">
          <cell r="A2726">
            <v>44312</v>
          </cell>
          <cell r="B2726">
            <v>3.75</v>
          </cell>
        </row>
        <row r="2727">
          <cell r="A2727">
            <v>44313</v>
          </cell>
          <cell r="B2727">
            <v>3.75</v>
          </cell>
        </row>
        <row r="2728">
          <cell r="A2728">
            <v>44314</v>
          </cell>
          <cell r="B2728">
            <v>3.75</v>
          </cell>
        </row>
        <row r="2729">
          <cell r="A2729">
            <v>44315</v>
          </cell>
          <cell r="B2729">
            <v>3.75</v>
          </cell>
        </row>
        <row r="2730">
          <cell r="A2730">
            <v>44316</v>
          </cell>
          <cell r="B2730">
            <v>3.75</v>
          </cell>
        </row>
        <row r="2731">
          <cell r="A2731">
            <v>44317</v>
          </cell>
          <cell r="B2731">
            <v>3.75</v>
          </cell>
        </row>
        <row r="2732">
          <cell r="A2732">
            <v>44318</v>
          </cell>
          <cell r="B2732">
            <v>3.75</v>
          </cell>
        </row>
        <row r="2733">
          <cell r="A2733">
            <v>44319</v>
          </cell>
          <cell r="B2733">
            <v>3.75</v>
          </cell>
        </row>
        <row r="2734">
          <cell r="A2734">
            <v>44320</v>
          </cell>
          <cell r="B2734">
            <v>3.75</v>
          </cell>
        </row>
        <row r="2735">
          <cell r="A2735">
            <v>44321</v>
          </cell>
          <cell r="B2735">
            <v>3.75</v>
          </cell>
        </row>
        <row r="2736">
          <cell r="A2736">
            <v>44322</v>
          </cell>
          <cell r="B2736">
            <v>3.75</v>
          </cell>
        </row>
        <row r="2737">
          <cell r="A2737">
            <v>44323</v>
          </cell>
          <cell r="B2737">
            <v>3.75</v>
          </cell>
        </row>
        <row r="2738">
          <cell r="A2738">
            <v>44324</v>
          </cell>
          <cell r="B2738">
            <v>3.75</v>
          </cell>
        </row>
        <row r="2739">
          <cell r="A2739">
            <v>44325</v>
          </cell>
          <cell r="B2739">
            <v>3.75</v>
          </cell>
        </row>
        <row r="2740">
          <cell r="A2740">
            <v>44326</v>
          </cell>
          <cell r="B2740">
            <v>3.75</v>
          </cell>
        </row>
        <row r="2741">
          <cell r="A2741">
            <v>44327</v>
          </cell>
          <cell r="B2741">
            <v>3.75</v>
          </cell>
        </row>
        <row r="2742">
          <cell r="A2742">
            <v>44328</v>
          </cell>
          <cell r="B2742">
            <v>3.75</v>
          </cell>
        </row>
        <row r="2743">
          <cell r="A2743">
            <v>44329</v>
          </cell>
          <cell r="B2743">
            <v>3.75</v>
          </cell>
        </row>
        <row r="2744">
          <cell r="A2744">
            <v>44330</v>
          </cell>
          <cell r="B2744">
            <v>3.75</v>
          </cell>
        </row>
        <row r="2745">
          <cell r="A2745">
            <v>44331</v>
          </cell>
          <cell r="B2745">
            <v>3.75</v>
          </cell>
        </row>
        <row r="2746">
          <cell r="A2746">
            <v>44332</v>
          </cell>
          <cell r="B2746">
            <v>3.75</v>
          </cell>
        </row>
        <row r="2747">
          <cell r="A2747">
            <v>44333</v>
          </cell>
          <cell r="B2747">
            <v>3.75</v>
          </cell>
        </row>
        <row r="2748">
          <cell r="A2748">
            <v>44334</v>
          </cell>
          <cell r="B2748">
            <v>3.75</v>
          </cell>
        </row>
        <row r="2749">
          <cell r="A2749">
            <v>44335</v>
          </cell>
          <cell r="B2749">
            <v>3.75</v>
          </cell>
        </row>
        <row r="2750">
          <cell r="A2750">
            <v>44336</v>
          </cell>
          <cell r="B2750">
            <v>3.75</v>
          </cell>
        </row>
        <row r="2751">
          <cell r="A2751">
            <v>44337</v>
          </cell>
          <cell r="B2751">
            <v>3.75</v>
          </cell>
        </row>
        <row r="2752">
          <cell r="A2752">
            <v>44338</v>
          </cell>
          <cell r="B2752">
            <v>3.75</v>
          </cell>
        </row>
        <row r="2753">
          <cell r="A2753">
            <v>44339</v>
          </cell>
          <cell r="B2753">
            <v>3.75</v>
          </cell>
        </row>
        <row r="2754">
          <cell r="A2754">
            <v>44340</v>
          </cell>
          <cell r="B2754">
            <v>3.75</v>
          </cell>
        </row>
        <row r="2755">
          <cell r="A2755">
            <v>44341</v>
          </cell>
          <cell r="B2755">
            <v>3.75</v>
          </cell>
        </row>
        <row r="2756">
          <cell r="A2756">
            <v>44342</v>
          </cell>
          <cell r="B2756">
            <v>3.75</v>
          </cell>
        </row>
        <row r="2757">
          <cell r="A2757">
            <v>44343</v>
          </cell>
          <cell r="B2757">
            <v>3.75</v>
          </cell>
        </row>
        <row r="2758">
          <cell r="A2758">
            <v>44344</v>
          </cell>
          <cell r="B2758">
            <v>3.75</v>
          </cell>
        </row>
        <row r="2759">
          <cell r="A2759">
            <v>44345</v>
          </cell>
          <cell r="B2759">
            <v>3.75</v>
          </cell>
        </row>
        <row r="2760">
          <cell r="A2760">
            <v>44346</v>
          </cell>
          <cell r="B2760">
            <v>3.75</v>
          </cell>
        </row>
        <row r="2761">
          <cell r="A2761">
            <v>44347</v>
          </cell>
          <cell r="B2761">
            <v>3.75</v>
          </cell>
        </row>
        <row r="2762">
          <cell r="A2762">
            <v>44348</v>
          </cell>
          <cell r="B2762">
            <v>3.75</v>
          </cell>
        </row>
        <row r="2763">
          <cell r="A2763">
            <v>44349</v>
          </cell>
          <cell r="B2763">
            <v>3.75</v>
          </cell>
        </row>
        <row r="2764">
          <cell r="A2764">
            <v>44350</v>
          </cell>
          <cell r="B2764">
            <v>3.75</v>
          </cell>
        </row>
        <row r="2765">
          <cell r="A2765">
            <v>44351</v>
          </cell>
          <cell r="B2765">
            <v>3.75</v>
          </cell>
        </row>
        <row r="2766">
          <cell r="A2766">
            <v>44352</v>
          </cell>
          <cell r="B2766">
            <v>3.75</v>
          </cell>
        </row>
        <row r="2767">
          <cell r="A2767">
            <v>44353</v>
          </cell>
          <cell r="B2767">
            <v>3.75</v>
          </cell>
        </row>
        <row r="2768">
          <cell r="A2768">
            <v>44354</v>
          </cell>
          <cell r="B2768">
            <v>3.75</v>
          </cell>
        </row>
        <row r="2769">
          <cell r="A2769">
            <v>44355</v>
          </cell>
          <cell r="B2769">
            <v>3.75</v>
          </cell>
        </row>
        <row r="2770">
          <cell r="A2770">
            <v>44356</v>
          </cell>
          <cell r="B2770">
            <v>3.75</v>
          </cell>
        </row>
        <row r="2771">
          <cell r="A2771">
            <v>44357</v>
          </cell>
          <cell r="B2771">
            <v>3.75</v>
          </cell>
        </row>
        <row r="2772">
          <cell r="A2772">
            <v>44358</v>
          </cell>
          <cell r="B2772">
            <v>3.75</v>
          </cell>
        </row>
        <row r="2773">
          <cell r="A2773">
            <v>44359</v>
          </cell>
          <cell r="B2773">
            <v>3.75</v>
          </cell>
        </row>
        <row r="2774">
          <cell r="A2774">
            <v>44360</v>
          </cell>
          <cell r="B2774">
            <v>3.75</v>
          </cell>
        </row>
        <row r="2775">
          <cell r="A2775">
            <v>44361</v>
          </cell>
          <cell r="B2775">
            <v>3.75</v>
          </cell>
        </row>
        <row r="2776">
          <cell r="A2776">
            <v>44362</v>
          </cell>
          <cell r="B2776">
            <v>3.75</v>
          </cell>
        </row>
        <row r="2777">
          <cell r="A2777">
            <v>44363</v>
          </cell>
          <cell r="B2777">
            <v>3.75</v>
          </cell>
        </row>
        <row r="2778">
          <cell r="A2778">
            <v>44364</v>
          </cell>
          <cell r="B2778">
            <v>3.75</v>
          </cell>
        </row>
        <row r="2779">
          <cell r="A2779">
            <v>44365</v>
          </cell>
          <cell r="B2779">
            <v>3.5</v>
          </cell>
          <cell r="C2779" t="str">
            <v>?</v>
          </cell>
        </row>
        <row r="2780">
          <cell r="A2780">
            <v>44366</v>
          </cell>
          <cell r="B2780">
            <v>3.5</v>
          </cell>
        </row>
        <row r="2781">
          <cell r="A2781">
            <v>44367</v>
          </cell>
          <cell r="B2781">
            <v>3.5</v>
          </cell>
        </row>
        <row r="2782">
          <cell r="A2782">
            <v>44368</v>
          </cell>
          <cell r="B2782">
            <v>3.5</v>
          </cell>
        </row>
        <row r="2783">
          <cell r="A2783">
            <v>44369</v>
          </cell>
          <cell r="B2783">
            <v>3.5</v>
          </cell>
        </row>
        <row r="2784">
          <cell r="A2784">
            <v>44370</v>
          </cell>
          <cell r="B2784">
            <v>3.5</v>
          </cell>
        </row>
        <row r="2785">
          <cell r="A2785">
            <v>44371</v>
          </cell>
          <cell r="B2785">
            <v>3.5</v>
          </cell>
        </row>
        <row r="2786">
          <cell r="A2786">
            <v>44372</v>
          </cell>
          <cell r="B2786">
            <v>3.5</v>
          </cell>
        </row>
        <row r="2787">
          <cell r="A2787">
            <v>44373</v>
          </cell>
          <cell r="B2787">
            <v>3.5</v>
          </cell>
        </row>
        <row r="2788">
          <cell r="A2788">
            <v>44374</v>
          </cell>
          <cell r="B2788">
            <v>3.5</v>
          </cell>
        </row>
        <row r="2789">
          <cell r="A2789">
            <v>44375</v>
          </cell>
          <cell r="B2789">
            <v>3.5</v>
          </cell>
        </row>
        <row r="2790">
          <cell r="A2790">
            <v>44376</v>
          </cell>
          <cell r="B2790">
            <v>3.5</v>
          </cell>
        </row>
        <row r="2791">
          <cell r="A2791">
            <v>44377</v>
          </cell>
          <cell r="B2791">
            <v>3.5</v>
          </cell>
        </row>
        <row r="2792">
          <cell r="A2792">
            <v>44378</v>
          </cell>
          <cell r="B2792">
            <v>3.5</v>
          </cell>
        </row>
        <row r="2793">
          <cell r="A2793">
            <v>44379</v>
          </cell>
          <cell r="B2793">
            <v>3.5</v>
          </cell>
        </row>
        <row r="2794">
          <cell r="A2794">
            <v>44380</v>
          </cell>
          <cell r="B2794">
            <v>3.5</v>
          </cell>
        </row>
        <row r="2795">
          <cell r="A2795">
            <v>44381</v>
          </cell>
          <cell r="B2795">
            <v>3.5</v>
          </cell>
        </row>
        <row r="2796">
          <cell r="A2796">
            <v>44382</v>
          </cell>
          <cell r="B2796">
            <v>3.5</v>
          </cell>
        </row>
        <row r="2797">
          <cell r="A2797">
            <v>44383</v>
          </cell>
          <cell r="B2797">
            <v>3.5</v>
          </cell>
        </row>
        <row r="2798">
          <cell r="A2798">
            <v>44384</v>
          </cell>
          <cell r="B2798">
            <v>3.5</v>
          </cell>
        </row>
        <row r="2799">
          <cell r="A2799">
            <v>44385</v>
          </cell>
          <cell r="B2799">
            <v>3.5</v>
          </cell>
        </row>
        <row r="2800">
          <cell r="A2800">
            <v>44386</v>
          </cell>
          <cell r="B2800">
            <v>3.5</v>
          </cell>
        </row>
        <row r="2801">
          <cell r="A2801">
            <v>44387</v>
          </cell>
          <cell r="B2801">
            <v>3.5</v>
          </cell>
        </row>
        <row r="2802">
          <cell r="A2802">
            <v>44388</v>
          </cell>
          <cell r="B2802">
            <v>3.5</v>
          </cell>
        </row>
        <row r="2803">
          <cell r="A2803">
            <v>44389</v>
          </cell>
          <cell r="B2803">
            <v>3.5</v>
          </cell>
        </row>
        <row r="2804">
          <cell r="A2804">
            <v>44390</v>
          </cell>
          <cell r="B2804">
            <v>3.5</v>
          </cell>
        </row>
        <row r="2805">
          <cell r="A2805">
            <v>44391</v>
          </cell>
          <cell r="B2805">
            <v>3.5</v>
          </cell>
        </row>
        <row r="2806">
          <cell r="A2806">
            <v>44392</v>
          </cell>
          <cell r="B2806">
            <v>3.5</v>
          </cell>
        </row>
        <row r="2807">
          <cell r="A2807">
            <v>44393</v>
          </cell>
          <cell r="B2807">
            <v>3.5</v>
          </cell>
        </row>
        <row r="2808">
          <cell r="A2808">
            <v>44394</v>
          </cell>
          <cell r="B2808">
            <v>3.5</v>
          </cell>
        </row>
        <row r="2809">
          <cell r="A2809">
            <v>44395</v>
          </cell>
          <cell r="B2809">
            <v>3.5</v>
          </cell>
        </row>
        <row r="2810">
          <cell r="A2810">
            <v>44396</v>
          </cell>
          <cell r="B2810">
            <v>3.5</v>
          </cell>
        </row>
        <row r="2811">
          <cell r="A2811">
            <v>44397</v>
          </cell>
          <cell r="B2811">
            <v>3.5</v>
          </cell>
        </row>
        <row r="2812">
          <cell r="A2812">
            <v>44398</v>
          </cell>
          <cell r="B2812">
            <v>3.5</v>
          </cell>
        </row>
        <row r="2813">
          <cell r="A2813">
            <v>44399</v>
          </cell>
          <cell r="B2813">
            <v>3.5</v>
          </cell>
        </row>
        <row r="2814">
          <cell r="A2814">
            <v>44400</v>
          </cell>
          <cell r="B2814">
            <v>3.5</v>
          </cell>
        </row>
        <row r="2815">
          <cell r="A2815">
            <v>44401</v>
          </cell>
          <cell r="B2815">
            <v>3.5</v>
          </cell>
        </row>
        <row r="2816">
          <cell r="A2816">
            <v>44402</v>
          </cell>
          <cell r="B2816">
            <v>3.5</v>
          </cell>
        </row>
        <row r="2817">
          <cell r="A2817">
            <v>44403</v>
          </cell>
          <cell r="B2817">
            <v>3.5</v>
          </cell>
        </row>
        <row r="2818">
          <cell r="A2818">
            <v>44404</v>
          </cell>
          <cell r="B2818">
            <v>3.5</v>
          </cell>
        </row>
        <row r="2819">
          <cell r="A2819">
            <v>44405</v>
          </cell>
          <cell r="B2819">
            <v>3.5</v>
          </cell>
        </row>
        <row r="2820">
          <cell r="A2820">
            <v>44406</v>
          </cell>
          <cell r="B2820">
            <v>3.5</v>
          </cell>
        </row>
        <row r="2821">
          <cell r="A2821">
            <v>44407</v>
          </cell>
          <cell r="B2821">
            <v>3.5</v>
          </cell>
        </row>
        <row r="2822">
          <cell r="A2822">
            <v>44408</v>
          </cell>
          <cell r="B2822">
            <v>3.5</v>
          </cell>
        </row>
        <row r="2823">
          <cell r="A2823">
            <v>44409</v>
          </cell>
          <cell r="B2823">
            <v>3.5</v>
          </cell>
        </row>
        <row r="2824">
          <cell r="A2824">
            <v>44410</v>
          </cell>
          <cell r="B2824">
            <v>3.5</v>
          </cell>
        </row>
        <row r="2825">
          <cell r="A2825">
            <v>44411</v>
          </cell>
          <cell r="B2825">
            <v>3.5</v>
          </cell>
        </row>
        <row r="2826">
          <cell r="A2826">
            <v>44412</v>
          </cell>
          <cell r="B2826">
            <v>3.5</v>
          </cell>
        </row>
        <row r="2827">
          <cell r="A2827">
            <v>44413</v>
          </cell>
          <cell r="B2827">
            <v>3.5</v>
          </cell>
        </row>
        <row r="2828">
          <cell r="A2828">
            <v>44414</v>
          </cell>
          <cell r="B2828">
            <v>3.5</v>
          </cell>
        </row>
        <row r="2829">
          <cell r="A2829">
            <v>44415</v>
          </cell>
          <cell r="B2829">
            <v>3.5</v>
          </cell>
        </row>
        <row r="2830">
          <cell r="A2830">
            <v>44416</v>
          </cell>
          <cell r="B2830">
            <v>3.5</v>
          </cell>
        </row>
        <row r="2831">
          <cell r="A2831">
            <v>44417</v>
          </cell>
          <cell r="B2831">
            <v>3.5</v>
          </cell>
        </row>
        <row r="2832">
          <cell r="A2832">
            <v>44418</v>
          </cell>
          <cell r="B2832">
            <v>3.5</v>
          </cell>
        </row>
        <row r="2833">
          <cell r="A2833">
            <v>44419</v>
          </cell>
          <cell r="B2833">
            <v>3.5</v>
          </cell>
        </row>
        <row r="2834">
          <cell r="A2834">
            <v>44420</v>
          </cell>
          <cell r="B2834">
            <v>3.5</v>
          </cell>
        </row>
        <row r="2835">
          <cell r="A2835">
            <v>44421</v>
          </cell>
          <cell r="B2835">
            <v>3.5</v>
          </cell>
        </row>
        <row r="2836">
          <cell r="A2836">
            <v>44422</v>
          </cell>
          <cell r="B2836">
            <v>3.5</v>
          </cell>
        </row>
        <row r="2837">
          <cell r="A2837">
            <v>44423</v>
          </cell>
          <cell r="B2837">
            <v>3.5</v>
          </cell>
        </row>
        <row r="2838">
          <cell r="A2838">
            <v>44424</v>
          </cell>
          <cell r="B2838">
            <v>3.5</v>
          </cell>
        </row>
        <row r="2839">
          <cell r="A2839">
            <v>44425</v>
          </cell>
          <cell r="B2839">
            <v>3.5</v>
          </cell>
        </row>
        <row r="2840">
          <cell r="A2840">
            <v>44426</v>
          </cell>
          <cell r="B2840">
            <v>3.5</v>
          </cell>
        </row>
        <row r="2841">
          <cell r="A2841">
            <v>44427</v>
          </cell>
          <cell r="B2841">
            <v>3.5</v>
          </cell>
        </row>
        <row r="2842">
          <cell r="A2842">
            <v>44428</v>
          </cell>
          <cell r="B2842">
            <v>3.5</v>
          </cell>
        </row>
        <row r="2843">
          <cell r="A2843">
            <v>44429</v>
          </cell>
          <cell r="B2843">
            <v>3.5</v>
          </cell>
        </row>
        <row r="2844">
          <cell r="A2844">
            <v>44430</v>
          </cell>
          <cell r="B2844">
            <v>3.5</v>
          </cell>
        </row>
        <row r="2845">
          <cell r="A2845">
            <v>44431</v>
          </cell>
          <cell r="B2845">
            <v>3.5</v>
          </cell>
        </row>
        <row r="2846">
          <cell r="A2846">
            <v>44432</v>
          </cell>
          <cell r="B2846">
            <v>3.5</v>
          </cell>
        </row>
        <row r="2847">
          <cell r="A2847">
            <v>44433</v>
          </cell>
          <cell r="B2847">
            <v>3.5</v>
          </cell>
        </row>
        <row r="2848">
          <cell r="A2848">
            <v>44434</v>
          </cell>
          <cell r="B2848">
            <v>3.5</v>
          </cell>
        </row>
        <row r="2849">
          <cell r="A2849">
            <v>44435</v>
          </cell>
          <cell r="B2849">
            <v>3.5</v>
          </cell>
        </row>
        <row r="2850">
          <cell r="A2850">
            <v>44436</v>
          </cell>
          <cell r="B2850">
            <v>3.5</v>
          </cell>
        </row>
        <row r="2851">
          <cell r="A2851">
            <v>44437</v>
          </cell>
          <cell r="B2851">
            <v>3.5</v>
          </cell>
        </row>
        <row r="2852">
          <cell r="A2852">
            <v>44438</v>
          </cell>
          <cell r="B2852">
            <v>3.5</v>
          </cell>
        </row>
        <row r="2853">
          <cell r="A2853">
            <v>44439</v>
          </cell>
          <cell r="B2853">
            <v>3.5</v>
          </cell>
        </row>
        <row r="2854">
          <cell r="A2854">
            <v>44440</v>
          </cell>
          <cell r="B2854">
            <v>3.5</v>
          </cell>
        </row>
        <row r="2855">
          <cell r="A2855">
            <v>44441</v>
          </cell>
          <cell r="B2855">
            <v>3.5</v>
          </cell>
        </row>
        <row r="2856">
          <cell r="A2856">
            <v>44442</v>
          </cell>
          <cell r="B2856">
            <v>3.5</v>
          </cell>
        </row>
        <row r="2857">
          <cell r="A2857">
            <v>44443</v>
          </cell>
          <cell r="B2857">
            <v>3.5</v>
          </cell>
        </row>
        <row r="2858">
          <cell r="A2858">
            <v>44444</v>
          </cell>
          <cell r="B2858">
            <v>3.5</v>
          </cell>
        </row>
        <row r="2859">
          <cell r="A2859">
            <v>44445</v>
          </cell>
          <cell r="B2859">
            <v>3.5</v>
          </cell>
        </row>
        <row r="2860">
          <cell r="A2860">
            <v>44446</v>
          </cell>
          <cell r="B2860">
            <v>3.5</v>
          </cell>
        </row>
        <row r="2861">
          <cell r="A2861">
            <v>44447</v>
          </cell>
          <cell r="B2861">
            <v>3.5</v>
          </cell>
        </row>
        <row r="2862">
          <cell r="A2862">
            <v>44448</v>
          </cell>
          <cell r="B2862">
            <v>3.5</v>
          </cell>
        </row>
        <row r="2863">
          <cell r="A2863">
            <v>44449</v>
          </cell>
          <cell r="B2863">
            <v>3.5</v>
          </cell>
        </row>
        <row r="2864">
          <cell r="A2864">
            <v>44450</v>
          </cell>
          <cell r="B2864">
            <v>3.5</v>
          </cell>
        </row>
        <row r="2865">
          <cell r="A2865">
            <v>44451</v>
          </cell>
          <cell r="B2865">
            <v>3.5</v>
          </cell>
        </row>
        <row r="2866">
          <cell r="A2866">
            <v>44452</v>
          </cell>
          <cell r="B2866">
            <v>3.5</v>
          </cell>
        </row>
        <row r="2867">
          <cell r="A2867">
            <v>44453</v>
          </cell>
          <cell r="B2867">
            <v>3.5</v>
          </cell>
        </row>
        <row r="2868">
          <cell r="A2868">
            <v>44454</v>
          </cell>
          <cell r="B2868">
            <v>3.5</v>
          </cell>
        </row>
        <row r="2869">
          <cell r="A2869">
            <v>44455</v>
          </cell>
          <cell r="B2869">
            <v>3.5</v>
          </cell>
        </row>
        <row r="2870">
          <cell r="A2870">
            <v>44456</v>
          </cell>
          <cell r="B2870">
            <v>3.25</v>
          </cell>
          <cell r="C2870" t="str">
            <v>?</v>
          </cell>
        </row>
        <row r="2871">
          <cell r="A2871">
            <v>44457</v>
          </cell>
          <cell r="B2871">
            <v>3.25</v>
          </cell>
        </row>
        <row r="2872">
          <cell r="A2872">
            <v>44458</v>
          </cell>
          <cell r="B2872">
            <v>3.25</v>
          </cell>
        </row>
        <row r="2873">
          <cell r="A2873">
            <v>44459</v>
          </cell>
          <cell r="B2873">
            <v>3.25</v>
          </cell>
        </row>
        <row r="2874">
          <cell r="A2874">
            <v>44460</v>
          </cell>
          <cell r="B2874">
            <v>3.25</v>
          </cell>
        </row>
        <row r="2875">
          <cell r="A2875">
            <v>44461</v>
          </cell>
          <cell r="B2875">
            <v>3.25</v>
          </cell>
        </row>
        <row r="2876">
          <cell r="A2876">
            <v>44462</v>
          </cell>
          <cell r="B2876">
            <v>3.25</v>
          </cell>
        </row>
        <row r="2877">
          <cell r="A2877">
            <v>44463</v>
          </cell>
          <cell r="B2877">
            <v>3.25</v>
          </cell>
        </row>
        <row r="2878">
          <cell r="A2878">
            <v>44464</v>
          </cell>
          <cell r="B2878">
            <v>3.25</v>
          </cell>
        </row>
        <row r="2879">
          <cell r="A2879">
            <v>44465</v>
          </cell>
          <cell r="B2879">
            <v>3.25</v>
          </cell>
        </row>
        <row r="2880">
          <cell r="A2880">
            <v>44466</v>
          </cell>
          <cell r="B2880">
            <v>3.25</v>
          </cell>
        </row>
        <row r="2881">
          <cell r="A2881">
            <v>44467</v>
          </cell>
          <cell r="B2881">
            <v>3.25</v>
          </cell>
        </row>
        <row r="2882">
          <cell r="A2882">
            <v>44468</v>
          </cell>
          <cell r="B2882">
            <v>3.25</v>
          </cell>
        </row>
        <row r="2883">
          <cell r="A2883">
            <v>44469</v>
          </cell>
          <cell r="B2883">
            <v>3.25</v>
          </cell>
        </row>
        <row r="2884">
          <cell r="A2884">
            <v>44470</v>
          </cell>
          <cell r="B2884">
            <v>3.25</v>
          </cell>
        </row>
        <row r="2885">
          <cell r="A2885">
            <v>44471</v>
          </cell>
          <cell r="B2885">
            <v>3.25</v>
          </cell>
        </row>
        <row r="2886">
          <cell r="A2886">
            <v>44472</v>
          </cell>
          <cell r="B2886">
            <v>3.25</v>
          </cell>
        </row>
        <row r="2887">
          <cell r="A2887">
            <v>44473</v>
          </cell>
          <cell r="B2887">
            <v>3.25</v>
          </cell>
        </row>
        <row r="2888">
          <cell r="A2888">
            <v>44474</v>
          </cell>
          <cell r="B2888">
            <v>3.25</v>
          </cell>
        </row>
        <row r="2889">
          <cell r="A2889">
            <v>44475</v>
          </cell>
          <cell r="B2889">
            <v>3.25</v>
          </cell>
        </row>
        <row r="2890">
          <cell r="A2890">
            <v>44476</v>
          </cell>
          <cell r="B2890">
            <v>3.25</v>
          </cell>
        </row>
        <row r="2891">
          <cell r="A2891">
            <v>44477</v>
          </cell>
          <cell r="B2891">
            <v>3.25</v>
          </cell>
        </row>
        <row r="2892">
          <cell r="A2892">
            <v>44478</v>
          </cell>
          <cell r="B2892">
            <v>3.25</v>
          </cell>
        </row>
        <row r="2893">
          <cell r="A2893">
            <v>44479</v>
          </cell>
          <cell r="B2893">
            <v>3.25</v>
          </cell>
        </row>
        <row r="2894">
          <cell r="A2894">
            <v>44480</v>
          </cell>
          <cell r="B2894">
            <v>3.25</v>
          </cell>
        </row>
        <row r="2895">
          <cell r="A2895">
            <v>44481</v>
          </cell>
          <cell r="B2895">
            <v>3.25</v>
          </cell>
        </row>
        <row r="2896">
          <cell r="A2896">
            <v>44482</v>
          </cell>
          <cell r="B2896">
            <v>3.25</v>
          </cell>
        </row>
        <row r="2897">
          <cell r="A2897">
            <v>44483</v>
          </cell>
          <cell r="B2897">
            <v>3.25</v>
          </cell>
        </row>
        <row r="2898">
          <cell r="A2898">
            <v>44484</v>
          </cell>
          <cell r="B2898">
            <v>3.25</v>
          </cell>
        </row>
        <row r="2899">
          <cell r="A2899">
            <v>44485</v>
          </cell>
          <cell r="B2899">
            <v>3.25</v>
          </cell>
        </row>
        <row r="2900">
          <cell r="A2900">
            <v>44486</v>
          </cell>
          <cell r="B2900">
            <v>3.25</v>
          </cell>
        </row>
        <row r="2901">
          <cell r="A2901">
            <v>44487</v>
          </cell>
          <cell r="B2901">
            <v>3.25</v>
          </cell>
        </row>
        <row r="2902">
          <cell r="A2902">
            <v>44488</v>
          </cell>
          <cell r="B2902">
            <v>3.25</v>
          </cell>
        </row>
        <row r="2903">
          <cell r="A2903">
            <v>44489</v>
          </cell>
          <cell r="B2903">
            <v>3.25</v>
          </cell>
        </row>
        <row r="2904">
          <cell r="A2904">
            <v>44490</v>
          </cell>
          <cell r="B2904">
            <v>3.25</v>
          </cell>
        </row>
        <row r="2905">
          <cell r="A2905">
            <v>44491</v>
          </cell>
          <cell r="B2905">
            <v>3.25</v>
          </cell>
        </row>
        <row r="2906">
          <cell r="A2906">
            <v>44492</v>
          </cell>
          <cell r="B2906">
            <v>3.25</v>
          </cell>
        </row>
        <row r="2907">
          <cell r="A2907">
            <v>44493</v>
          </cell>
          <cell r="B2907">
            <v>3.25</v>
          </cell>
        </row>
        <row r="2908">
          <cell r="A2908">
            <v>44494</v>
          </cell>
          <cell r="B2908">
            <v>3.25</v>
          </cell>
        </row>
        <row r="2909">
          <cell r="A2909">
            <v>44495</v>
          </cell>
          <cell r="B2909">
            <v>3.25</v>
          </cell>
        </row>
        <row r="2910">
          <cell r="A2910">
            <v>44496</v>
          </cell>
          <cell r="B2910">
            <v>3.25</v>
          </cell>
        </row>
        <row r="2911">
          <cell r="A2911">
            <v>44497</v>
          </cell>
          <cell r="B2911">
            <v>3.25</v>
          </cell>
        </row>
        <row r="2912">
          <cell r="A2912">
            <v>44498</v>
          </cell>
          <cell r="B2912">
            <v>3.25</v>
          </cell>
        </row>
        <row r="2913">
          <cell r="A2913">
            <v>44499</v>
          </cell>
          <cell r="B2913">
            <v>3.25</v>
          </cell>
        </row>
        <row r="2914">
          <cell r="A2914">
            <v>44500</v>
          </cell>
          <cell r="B2914">
            <v>3.25</v>
          </cell>
        </row>
        <row r="2915">
          <cell r="A2915">
            <v>44501</v>
          </cell>
          <cell r="B2915">
            <v>3.25</v>
          </cell>
        </row>
        <row r="2916">
          <cell r="A2916">
            <v>44502</v>
          </cell>
          <cell r="B2916">
            <v>3.25</v>
          </cell>
        </row>
        <row r="2917">
          <cell r="A2917">
            <v>44503</v>
          </cell>
          <cell r="B2917">
            <v>3.25</v>
          </cell>
        </row>
        <row r="2918">
          <cell r="A2918">
            <v>44504</v>
          </cell>
          <cell r="B2918">
            <v>3.25</v>
          </cell>
        </row>
        <row r="2919">
          <cell r="A2919">
            <v>44505</v>
          </cell>
          <cell r="B2919">
            <v>3.25</v>
          </cell>
        </row>
        <row r="2920">
          <cell r="A2920">
            <v>44506</v>
          </cell>
          <cell r="B2920">
            <v>3.25</v>
          </cell>
        </row>
        <row r="2921">
          <cell r="A2921">
            <v>44507</v>
          </cell>
          <cell r="B2921">
            <v>3.25</v>
          </cell>
        </row>
        <row r="2922">
          <cell r="A2922">
            <v>44508</v>
          </cell>
          <cell r="B2922">
            <v>3.25</v>
          </cell>
        </row>
        <row r="2923">
          <cell r="A2923">
            <v>44509</v>
          </cell>
          <cell r="B2923">
            <v>3.25</v>
          </cell>
        </row>
        <row r="2924">
          <cell r="A2924">
            <v>44510</v>
          </cell>
          <cell r="B2924">
            <v>3.25</v>
          </cell>
        </row>
        <row r="2925">
          <cell r="A2925">
            <v>44511</v>
          </cell>
          <cell r="B2925">
            <v>3.25</v>
          </cell>
        </row>
        <row r="2926">
          <cell r="A2926">
            <v>44512</v>
          </cell>
          <cell r="B2926">
            <v>3.25</v>
          </cell>
        </row>
        <row r="2927">
          <cell r="A2927">
            <v>44513</v>
          </cell>
          <cell r="B2927">
            <v>3.25</v>
          </cell>
        </row>
        <row r="2928">
          <cell r="A2928">
            <v>44514</v>
          </cell>
          <cell r="B2928">
            <v>3.25</v>
          </cell>
        </row>
        <row r="2929">
          <cell r="A2929">
            <v>44515</v>
          </cell>
          <cell r="B2929">
            <v>3.25</v>
          </cell>
        </row>
        <row r="2930">
          <cell r="A2930">
            <v>44516</v>
          </cell>
          <cell r="B2930">
            <v>3.25</v>
          </cell>
        </row>
        <row r="2931">
          <cell r="A2931">
            <v>44517</v>
          </cell>
          <cell r="B2931">
            <v>3.25</v>
          </cell>
        </row>
        <row r="2932">
          <cell r="A2932">
            <v>44518</v>
          </cell>
          <cell r="B2932">
            <v>3.25</v>
          </cell>
        </row>
        <row r="2933">
          <cell r="A2933">
            <v>44519</v>
          </cell>
          <cell r="B2933">
            <v>3.25</v>
          </cell>
        </row>
        <row r="2934">
          <cell r="A2934">
            <v>44520</v>
          </cell>
          <cell r="B2934">
            <v>3.25</v>
          </cell>
        </row>
        <row r="2935">
          <cell r="A2935">
            <v>44521</v>
          </cell>
          <cell r="B2935">
            <v>3.25</v>
          </cell>
        </row>
        <row r="2936">
          <cell r="A2936">
            <v>44522</v>
          </cell>
          <cell r="B2936">
            <v>3.25</v>
          </cell>
        </row>
        <row r="2937">
          <cell r="A2937">
            <v>44523</v>
          </cell>
          <cell r="B2937">
            <v>3.25</v>
          </cell>
        </row>
        <row r="2938">
          <cell r="A2938">
            <v>44524</v>
          </cell>
          <cell r="B2938">
            <v>3.25</v>
          </cell>
        </row>
        <row r="2939">
          <cell r="A2939">
            <v>44525</v>
          </cell>
          <cell r="B2939">
            <v>3.25</v>
          </cell>
        </row>
        <row r="2940">
          <cell r="A2940">
            <v>44526</v>
          </cell>
          <cell r="B2940">
            <v>3.25</v>
          </cell>
        </row>
        <row r="2941">
          <cell r="A2941">
            <v>44527</v>
          </cell>
          <cell r="B2941">
            <v>3.25</v>
          </cell>
        </row>
        <row r="2942">
          <cell r="A2942">
            <v>44528</v>
          </cell>
          <cell r="B2942">
            <v>3.25</v>
          </cell>
        </row>
        <row r="2943">
          <cell r="A2943">
            <v>44529</v>
          </cell>
          <cell r="B2943">
            <v>3.25</v>
          </cell>
        </row>
        <row r="2944">
          <cell r="A2944">
            <v>44530</v>
          </cell>
          <cell r="B2944">
            <v>3.25</v>
          </cell>
        </row>
        <row r="2945">
          <cell r="A2945">
            <v>44531</v>
          </cell>
          <cell r="B2945">
            <v>3.25</v>
          </cell>
        </row>
        <row r="2946">
          <cell r="A2946">
            <v>44532</v>
          </cell>
          <cell r="B2946">
            <v>3.25</v>
          </cell>
        </row>
        <row r="2947">
          <cell r="A2947">
            <v>44533</v>
          </cell>
          <cell r="B2947">
            <v>3.25</v>
          </cell>
        </row>
        <row r="2948">
          <cell r="A2948">
            <v>44534</v>
          </cell>
          <cell r="B2948">
            <v>3.25</v>
          </cell>
        </row>
        <row r="2949">
          <cell r="A2949">
            <v>44535</v>
          </cell>
          <cell r="B2949">
            <v>3.25</v>
          </cell>
        </row>
        <row r="2950">
          <cell r="A2950">
            <v>44536</v>
          </cell>
          <cell r="B2950">
            <v>3.25</v>
          </cell>
        </row>
        <row r="2951">
          <cell r="A2951">
            <v>44537</v>
          </cell>
          <cell r="B2951">
            <v>3.25</v>
          </cell>
        </row>
        <row r="2952">
          <cell r="A2952">
            <v>44538</v>
          </cell>
          <cell r="B2952">
            <v>3.25</v>
          </cell>
        </row>
        <row r="2953">
          <cell r="A2953">
            <v>44539</v>
          </cell>
          <cell r="B2953">
            <v>3.25</v>
          </cell>
        </row>
        <row r="2954">
          <cell r="A2954">
            <v>44540</v>
          </cell>
          <cell r="B2954">
            <v>3.25</v>
          </cell>
        </row>
        <row r="2955">
          <cell r="A2955">
            <v>44541</v>
          </cell>
          <cell r="B2955">
            <v>3</v>
          </cell>
          <cell r="C2955" t="str">
            <v>?</v>
          </cell>
        </row>
        <row r="2956">
          <cell r="A2956">
            <v>44542</v>
          </cell>
          <cell r="B2956">
            <v>3</v>
          </cell>
        </row>
        <row r="2957">
          <cell r="A2957">
            <v>44543</v>
          </cell>
          <cell r="B2957">
            <v>3</v>
          </cell>
        </row>
        <row r="2958">
          <cell r="A2958">
            <v>44544</v>
          </cell>
          <cell r="B2958">
            <v>3</v>
          </cell>
        </row>
        <row r="2959">
          <cell r="A2959">
            <v>44545</v>
          </cell>
          <cell r="B2959">
            <v>3</v>
          </cell>
        </row>
        <row r="2960">
          <cell r="A2960">
            <v>44546</v>
          </cell>
          <cell r="B2960">
            <v>3</v>
          </cell>
        </row>
        <row r="2961">
          <cell r="A2961">
            <v>44547</v>
          </cell>
          <cell r="B2961">
            <v>3</v>
          </cell>
        </row>
        <row r="2962">
          <cell r="A2962">
            <v>44548</v>
          </cell>
          <cell r="B2962">
            <v>3</v>
          </cell>
        </row>
        <row r="2963">
          <cell r="A2963">
            <v>44549</v>
          </cell>
          <cell r="B2963">
            <v>3</v>
          </cell>
        </row>
        <row r="2964">
          <cell r="A2964">
            <v>44550</v>
          </cell>
          <cell r="B2964">
            <v>3</v>
          </cell>
        </row>
        <row r="2965">
          <cell r="A2965">
            <v>44551</v>
          </cell>
          <cell r="B2965">
            <v>3</v>
          </cell>
        </row>
        <row r="2966">
          <cell r="A2966">
            <v>44552</v>
          </cell>
          <cell r="B2966">
            <v>3</v>
          </cell>
        </row>
        <row r="2967">
          <cell r="A2967">
            <v>44553</v>
          </cell>
          <cell r="B2967">
            <v>3</v>
          </cell>
        </row>
        <row r="2968">
          <cell r="A2968">
            <v>44554</v>
          </cell>
          <cell r="B2968">
            <v>3</v>
          </cell>
        </row>
        <row r="2969">
          <cell r="A2969">
            <v>44555</v>
          </cell>
          <cell r="B2969">
            <v>3</v>
          </cell>
        </row>
        <row r="2970">
          <cell r="A2970">
            <v>44556</v>
          </cell>
          <cell r="B2970">
            <v>3</v>
          </cell>
        </row>
        <row r="2971">
          <cell r="A2971">
            <v>44557</v>
          </cell>
          <cell r="B2971">
            <v>3</v>
          </cell>
        </row>
        <row r="2972">
          <cell r="A2972">
            <v>44558</v>
          </cell>
          <cell r="B2972">
            <v>3</v>
          </cell>
        </row>
        <row r="2973">
          <cell r="A2973">
            <v>44559</v>
          </cell>
          <cell r="B2973">
            <v>3</v>
          </cell>
        </row>
        <row r="2974">
          <cell r="A2974">
            <v>44560</v>
          </cell>
          <cell r="B2974">
            <v>3</v>
          </cell>
        </row>
        <row r="2975">
          <cell r="A2975">
            <v>44561</v>
          </cell>
          <cell r="B2975">
            <v>3</v>
          </cell>
        </row>
        <row r="2976">
          <cell r="A2976">
            <v>44562</v>
          </cell>
          <cell r="B2976">
            <v>3</v>
          </cell>
        </row>
        <row r="2977">
          <cell r="A2977">
            <v>44563</v>
          </cell>
          <cell r="B2977">
            <v>3</v>
          </cell>
        </row>
        <row r="2978">
          <cell r="A2978">
            <v>44564</v>
          </cell>
          <cell r="B2978">
            <v>3</v>
          </cell>
        </row>
        <row r="2979">
          <cell r="A2979">
            <v>44565</v>
          </cell>
          <cell r="B2979">
            <v>3</v>
          </cell>
        </row>
        <row r="2980">
          <cell r="A2980">
            <v>44566</v>
          </cell>
          <cell r="B2980">
            <v>3</v>
          </cell>
        </row>
        <row r="2981">
          <cell r="A2981">
            <v>44567</v>
          </cell>
          <cell r="B2981">
            <v>3</v>
          </cell>
        </row>
        <row r="2982">
          <cell r="A2982">
            <v>44568</v>
          </cell>
          <cell r="B2982">
            <v>3</v>
          </cell>
        </row>
        <row r="2983">
          <cell r="A2983">
            <v>44569</v>
          </cell>
          <cell r="B2983">
            <v>3</v>
          </cell>
        </row>
        <row r="2984">
          <cell r="A2984">
            <v>44570</v>
          </cell>
          <cell r="B2984">
            <v>3</v>
          </cell>
        </row>
        <row r="2985">
          <cell r="A2985">
            <v>44571</v>
          </cell>
          <cell r="B2985">
            <v>3</v>
          </cell>
        </row>
        <row r="2986">
          <cell r="A2986">
            <v>44572</v>
          </cell>
          <cell r="B2986">
            <v>3</v>
          </cell>
        </row>
        <row r="2987">
          <cell r="A2987">
            <v>44573</v>
          </cell>
          <cell r="B2987">
            <v>3</v>
          </cell>
        </row>
        <row r="2988">
          <cell r="A2988">
            <v>44574</v>
          </cell>
          <cell r="B2988">
            <v>3</v>
          </cell>
        </row>
        <row r="2989">
          <cell r="A2989">
            <v>44575</v>
          </cell>
          <cell r="B2989">
            <v>3</v>
          </cell>
        </row>
        <row r="2990">
          <cell r="A2990">
            <v>44576</v>
          </cell>
          <cell r="B2990">
            <v>3</v>
          </cell>
        </row>
        <row r="2991">
          <cell r="A2991">
            <v>44577</v>
          </cell>
          <cell r="B2991">
            <v>3</v>
          </cell>
        </row>
        <row r="2992">
          <cell r="A2992">
            <v>44578</v>
          </cell>
          <cell r="B2992">
            <v>3</v>
          </cell>
        </row>
        <row r="2993">
          <cell r="A2993">
            <v>44579</v>
          </cell>
          <cell r="B2993">
            <v>3</v>
          </cell>
        </row>
        <row r="2994">
          <cell r="A2994">
            <v>44580</v>
          </cell>
          <cell r="B2994">
            <v>3</v>
          </cell>
        </row>
        <row r="2995">
          <cell r="A2995">
            <v>44581</v>
          </cell>
          <cell r="B2995">
            <v>3</v>
          </cell>
        </row>
        <row r="2996">
          <cell r="A2996">
            <v>44582</v>
          </cell>
          <cell r="B2996">
            <v>3</v>
          </cell>
        </row>
        <row r="2997">
          <cell r="A2997">
            <v>44583</v>
          </cell>
          <cell r="B2997">
            <v>3</v>
          </cell>
        </row>
        <row r="2998">
          <cell r="A2998">
            <v>44584</v>
          </cell>
          <cell r="B2998">
            <v>3</v>
          </cell>
        </row>
        <row r="2999">
          <cell r="A2999">
            <v>44585</v>
          </cell>
          <cell r="B2999">
            <v>3</v>
          </cell>
        </row>
        <row r="3000">
          <cell r="A3000">
            <v>44586</v>
          </cell>
          <cell r="B3000">
            <v>3</v>
          </cell>
        </row>
        <row r="3001">
          <cell r="A3001">
            <v>44587</v>
          </cell>
          <cell r="B3001">
            <v>3</v>
          </cell>
        </row>
        <row r="3002">
          <cell r="A3002">
            <v>44588</v>
          </cell>
          <cell r="B3002">
            <v>3</v>
          </cell>
        </row>
        <row r="3003">
          <cell r="A3003">
            <v>44589</v>
          </cell>
          <cell r="B3003">
            <v>3</v>
          </cell>
        </row>
        <row r="3004">
          <cell r="A3004">
            <v>44590</v>
          </cell>
          <cell r="B3004">
            <v>3</v>
          </cell>
        </row>
        <row r="3005">
          <cell r="A3005">
            <v>44591</v>
          </cell>
          <cell r="B3005">
            <v>3</v>
          </cell>
        </row>
        <row r="3006">
          <cell r="A3006">
            <v>44592</v>
          </cell>
          <cell r="B3006">
            <v>3</v>
          </cell>
        </row>
        <row r="3007">
          <cell r="A3007">
            <v>44593</v>
          </cell>
          <cell r="B3007">
            <v>3</v>
          </cell>
        </row>
        <row r="3008">
          <cell r="A3008">
            <v>44594</v>
          </cell>
          <cell r="B3008">
            <v>3</v>
          </cell>
        </row>
        <row r="3009">
          <cell r="A3009">
            <v>44595</v>
          </cell>
          <cell r="B3009">
            <v>3</v>
          </cell>
        </row>
        <row r="3010">
          <cell r="A3010">
            <v>44596</v>
          </cell>
          <cell r="B3010">
            <v>3</v>
          </cell>
        </row>
        <row r="3011">
          <cell r="A3011">
            <v>44597</v>
          </cell>
          <cell r="B3011">
            <v>3</v>
          </cell>
        </row>
        <row r="3012">
          <cell r="A3012">
            <v>44598</v>
          </cell>
          <cell r="B3012">
            <v>3</v>
          </cell>
        </row>
        <row r="3013">
          <cell r="A3013">
            <v>44599</v>
          </cell>
          <cell r="B3013">
            <v>3</v>
          </cell>
        </row>
        <row r="3014">
          <cell r="A3014">
            <v>44600</v>
          </cell>
          <cell r="B3014">
            <v>3</v>
          </cell>
        </row>
        <row r="3015">
          <cell r="A3015">
            <v>44601</v>
          </cell>
          <cell r="B3015">
            <v>3</v>
          </cell>
        </row>
        <row r="3016">
          <cell r="A3016">
            <v>44602</v>
          </cell>
          <cell r="B3016">
            <v>3</v>
          </cell>
        </row>
        <row r="3017">
          <cell r="A3017">
            <v>44603</v>
          </cell>
          <cell r="B3017">
            <v>3</v>
          </cell>
        </row>
        <row r="3018">
          <cell r="A3018">
            <v>44604</v>
          </cell>
          <cell r="B3018">
            <v>3</v>
          </cell>
        </row>
        <row r="3019">
          <cell r="A3019">
            <v>44605</v>
          </cell>
          <cell r="B3019">
            <v>3</v>
          </cell>
        </row>
        <row r="3020">
          <cell r="A3020">
            <v>44606</v>
          </cell>
          <cell r="B3020">
            <v>3</v>
          </cell>
        </row>
        <row r="3021">
          <cell r="A3021">
            <v>44607</v>
          </cell>
          <cell r="B3021">
            <v>3</v>
          </cell>
        </row>
        <row r="3022">
          <cell r="A3022">
            <v>44608</v>
          </cell>
          <cell r="B3022">
            <v>3</v>
          </cell>
        </row>
        <row r="3023">
          <cell r="A3023">
            <v>44609</v>
          </cell>
          <cell r="B3023">
            <v>3</v>
          </cell>
        </row>
        <row r="3024">
          <cell r="A3024">
            <v>44610</v>
          </cell>
          <cell r="B3024">
            <v>3</v>
          </cell>
        </row>
        <row r="3025">
          <cell r="A3025">
            <v>44611</v>
          </cell>
          <cell r="B3025">
            <v>3</v>
          </cell>
        </row>
        <row r="3026">
          <cell r="A3026">
            <v>44612</v>
          </cell>
          <cell r="B3026">
            <v>3</v>
          </cell>
        </row>
        <row r="3027">
          <cell r="A3027">
            <v>44613</v>
          </cell>
          <cell r="B3027">
            <v>3</v>
          </cell>
        </row>
        <row r="3028">
          <cell r="A3028">
            <v>44614</v>
          </cell>
          <cell r="B3028">
            <v>3</v>
          </cell>
        </row>
        <row r="3029">
          <cell r="A3029">
            <v>44615</v>
          </cell>
          <cell r="B3029">
            <v>3</v>
          </cell>
        </row>
        <row r="3030">
          <cell r="A3030">
            <v>44616</v>
          </cell>
          <cell r="B3030">
            <v>3</v>
          </cell>
        </row>
        <row r="3031">
          <cell r="A3031">
            <v>44617</v>
          </cell>
          <cell r="B3031">
            <v>3</v>
          </cell>
        </row>
        <row r="3032">
          <cell r="A3032">
            <v>44618</v>
          </cell>
          <cell r="B3032">
            <v>3</v>
          </cell>
        </row>
        <row r="3033">
          <cell r="A3033">
            <v>44619</v>
          </cell>
          <cell r="B3033">
            <v>3</v>
          </cell>
        </row>
        <row r="3034">
          <cell r="A3034">
            <v>44620</v>
          </cell>
          <cell r="B3034">
            <v>3</v>
          </cell>
        </row>
        <row r="3035">
          <cell r="A3035">
            <v>44621</v>
          </cell>
          <cell r="B3035">
            <v>3</v>
          </cell>
        </row>
        <row r="3036">
          <cell r="A3036">
            <v>44622</v>
          </cell>
          <cell r="B3036">
            <v>3</v>
          </cell>
        </row>
        <row r="3037">
          <cell r="A3037">
            <v>44623</v>
          </cell>
          <cell r="B3037">
            <v>3</v>
          </cell>
        </row>
        <row r="3038">
          <cell r="A3038">
            <v>44624</v>
          </cell>
          <cell r="B3038">
            <v>3</v>
          </cell>
        </row>
        <row r="3039">
          <cell r="A3039">
            <v>44625</v>
          </cell>
          <cell r="B3039">
            <v>3</v>
          </cell>
        </row>
        <row r="3040">
          <cell r="A3040">
            <v>44626</v>
          </cell>
          <cell r="B3040">
            <v>3</v>
          </cell>
        </row>
        <row r="3041">
          <cell r="A3041">
            <v>44627</v>
          </cell>
          <cell r="B3041">
            <v>3</v>
          </cell>
        </row>
        <row r="3042">
          <cell r="A3042">
            <v>44628</v>
          </cell>
          <cell r="B3042">
            <v>3</v>
          </cell>
        </row>
        <row r="3043">
          <cell r="A3043">
            <v>44629</v>
          </cell>
          <cell r="B3043">
            <v>3</v>
          </cell>
        </row>
        <row r="3044">
          <cell r="A3044">
            <v>44630</v>
          </cell>
          <cell r="B3044">
            <v>3</v>
          </cell>
        </row>
        <row r="3045">
          <cell r="A3045">
            <v>44631</v>
          </cell>
          <cell r="B3045">
            <v>3</v>
          </cell>
        </row>
        <row r="3046">
          <cell r="A3046">
            <v>44632</v>
          </cell>
          <cell r="B3046">
            <v>3</v>
          </cell>
        </row>
        <row r="3047">
          <cell r="A3047">
            <v>44633</v>
          </cell>
          <cell r="B3047">
            <v>3</v>
          </cell>
        </row>
        <row r="3048">
          <cell r="A3048">
            <v>44634</v>
          </cell>
          <cell r="B3048">
            <v>3</v>
          </cell>
        </row>
        <row r="3049">
          <cell r="A3049">
            <v>44635</v>
          </cell>
          <cell r="B3049">
            <v>3</v>
          </cell>
        </row>
        <row r="3050">
          <cell r="A3050">
            <v>44636</v>
          </cell>
          <cell r="B3050">
            <v>3</v>
          </cell>
        </row>
        <row r="3051">
          <cell r="A3051">
            <v>44637</v>
          </cell>
          <cell r="B3051">
            <v>3</v>
          </cell>
        </row>
        <row r="3052">
          <cell r="A3052">
            <v>44638</v>
          </cell>
          <cell r="B3052">
            <v>3</v>
          </cell>
        </row>
        <row r="3053">
          <cell r="A3053">
            <v>44639</v>
          </cell>
          <cell r="B3053">
            <v>3</v>
          </cell>
        </row>
        <row r="3054">
          <cell r="A3054">
            <v>44640</v>
          </cell>
          <cell r="B3054">
            <v>3</v>
          </cell>
        </row>
        <row r="3055">
          <cell r="A3055">
            <v>44641</v>
          </cell>
          <cell r="B3055">
            <v>3</v>
          </cell>
        </row>
        <row r="3056">
          <cell r="A3056">
            <v>44642</v>
          </cell>
          <cell r="B3056">
            <v>3</v>
          </cell>
        </row>
        <row r="3057">
          <cell r="A3057">
            <v>44643</v>
          </cell>
          <cell r="B3057">
            <v>3</v>
          </cell>
        </row>
        <row r="3058">
          <cell r="A3058">
            <v>44644</v>
          </cell>
          <cell r="B3058">
            <v>3</v>
          </cell>
        </row>
        <row r="3059">
          <cell r="A3059">
            <v>44645</v>
          </cell>
          <cell r="B3059">
            <v>3</v>
          </cell>
        </row>
        <row r="3060">
          <cell r="A3060">
            <v>44646</v>
          </cell>
          <cell r="B3060">
            <v>3</v>
          </cell>
        </row>
        <row r="3061">
          <cell r="A3061">
            <v>44647</v>
          </cell>
          <cell r="B3061">
            <v>3</v>
          </cell>
        </row>
        <row r="3062">
          <cell r="A3062">
            <v>44648</v>
          </cell>
          <cell r="B3062">
            <v>3</v>
          </cell>
        </row>
        <row r="3063">
          <cell r="A3063">
            <v>44649</v>
          </cell>
          <cell r="B3063">
            <v>3</v>
          </cell>
        </row>
        <row r="3064">
          <cell r="A3064">
            <v>44650</v>
          </cell>
          <cell r="B3064">
            <v>3</v>
          </cell>
        </row>
        <row r="3065">
          <cell r="A3065">
            <v>44651</v>
          </cell>
          <cell r="B3065">
            <v>3</v>
          </cell>
        </row>
        <row r="3066">
          <cell r="A3066">
            <v>44652</v>
          </cell>
          <cell r="B3066">
            <v>3</v>
          </cell>
        </row>
        <row r="3067">
          <cell r="A3067">
            <v>44653</v>
          </cell>
          <cell r="B3067">
            <v>3</v>
          </cell>
        </row>
        <row r="3068">
          <cell r="A3068">
            <v>44654</v>
          </cell>
          <cell r="B3068">
            <v>3</v>
          </cell>
        </row>
        <row r="3069">
          <cell r="A3069">
            <v>44655</v>
          </cell>
          <cell r="B3069">
            <v>3</v>
          </cell>
        </row>
        <row r="3070">
          <cell r="A3070">
            <v>44656</v>
          </cell>
          <cell r="B3070">
            <v>3</v>
          </cell>
        </row>
        <row r="3071">
          <cell r="A3071">
            <v>44657</v>
          </cell>
          <cell r="B3071">
            <v>3</v>
          </cell>
        </row>
        <row r="3072">
          <cell r="A3072">
            <v>44658</v>
          </cell>
          <cell r="B3072">
            <v>3</v>
          </cell>
        </row>
        <row r="3073">
          <cell r="A3073">
            <v>44659</v>
          </cell>
          <cell r="B3073">
            <v>3</v>
          </cell>
        </row>
        <row r="3074">
          <cell r="A3074">
            <v>44660</v>
          </cell>
          <cell r="B3074">
            <v>3</v>
          </cell>
        </row>
        <row r="3075">
          <cell r="A3075">
            <v>44661</v>
          </cell>
          <cell r="B3075">
            <v>3</v>
          </cell>
        </row>
        <row r="3076">
          <cell r="A3076">
            <v>44662</v>
          </cell>
          <cell r="B3076">
            <v>3</v>
          </cell>
        </row>
        <row r="3077">
          <cell r="A3077">
            <v>44663</v>
          </cell>
          <cell r="B3077">
            <v>3</v>
          </cell>
        </row>
        <row r="3078">
          <cell r="A3078">
            <v>44664</v>
          </cell>
          <cell r="B3078">
            <v>3</v>
          </cell>
        </row>
        <row r="3079">
          <cell r="A3079">
            <v>44665</v>
          </cell>
          <cell r="B3079">
            <v>3</v>
          </cell>
        </row>
        <row r="3080">
          <cell r="A3080">
            <v>44666</v>
          </cell>
          <cell r="B3080">
            <v>3</v>
          </cell>
        </row>
        <row r="3081">
          <cell r="A3081">
            <v>44667</v>
          </cell>
          <cell r="B3081">
            <v>3</v>
          </cell>
        </row>
        <row r="3082">
          <cell r="A3082">
            <v>44668</v>
          </cell>
          <cell r="B3082">
            <v>3</v>
          </cell>
        </row>
        <row r="3083">
          <cell r="A3083">
            <v>44669</v>
          </cell>
          <cell r="B3083">
            <v>3</v>
          </cell>
        </row>
        <row r="3084">
          <cell r="A3084">
            <v>44670</v>
          </cell>
          <cell r="B3084">
            <v>3</v>
          </cell>
        </row>
        <row r="3085">
          <cell r="A3085">
            <v>44671</v>
          </cell>
          <cell r="B3085">
            <v>3</v>
          </cell>
        </row>
        <row r="3086">
          <cell r="A3086">
            <v>44672</v>
          </cell>
          <cell r="B3086">
            <v>3</v>
          </cell>
        </row>
        <row r="3087">
          <cell r="A3087">
            <v>44673</v>
          </cell>
          <cell r="B3087">
            <v>3</v>
          </cell>
        </row>
        <row r="3088">
          <cell r="A3088">
            <v>44674</v>
          </cell>
          <cell r="B3088">
            <v>3</v>
          </cell>
        </row>
        <row r="3089">
          <cell r="A3089">
            <v>44675</v>
          </cell>
          <cell r="B3089">
            <v>3</v>
          </cell>
        </row>
        <row r="3090">
          <cell r="A3090">
            <v>44676</v>
          </cell>
          <cell r="B3090">
            <v>3</v>
          </cell>
        </row>
        <row r="3091">
          <cell r="A3091">
            <v>44677</v>
          </cell>
          <cell r="B3091">
            <v>3</v>
          </cell>
        </row>
        <row r="3092">
          <cell r="A3092">
            <v>44678</v>
          </cell>
          <cell r="B3092">
            <v>3</v>
          </cell>
        </row>
        <row r="3093">
          <cell r="A3093">
            <v>44679</v>
          </cell>
          <cell r="B3093">
            <v>3</v>
          </cell>
        </row>
        <row r="3094">
          <cell r="A3094">
            <v>44680</v>
          </cell>
          <cell r="B3094">
            <v>3</v>
          </cell>
        </row>
        <row r="3095">
          <cell r="A3095">
            <v>44681</v>
          </cell>
          <cell r="B3095">
            <v>3</v>
          </cell>
        </row>
        <row r="3096">
          <cell r="A3096">
            <v>44682</v>
          </cell>
          <cell r="B3096">
            <v>3</v>
          </cell>
        </row>
        <row r="3097">
          <cell r="A3097">
            <v>44683</v>
          </cell>
          <cell r="B3097">
            <v>3</v>
          </cell>
        </row>
        <row r="3098">
          <cell r="A3098">
            <v>44684</v>
          </cell>
          <cell r="B3098">
            <v>3</v>
          </cell>
        </row>
        <row r="3099">
          <cell r="A3099">
            <v>44685</v>
          </cell>
          <cell r="B3099">
            <v>3</v>
          </cell>
        </row>
        <row r="3100">
          <cell r="A3100">
            <v>44686</v>
          </cell>
          <cell r="B3100">
            <v>3</v>
          </cell>
        </row>
        <row r="3101">
          <cell r="A3101">
            <v>44687</v>
          </cell>
          <cell r="B3101">
            <v>3</v>
          </cell>
        </row>
        <row r="3102">
          <cell r="A3102">
            <v>44688</v>
          </cell>
          <cell r="B3102">
            <v>3</v>
          </cell>
        </row>
        <row r="3103">
          <cell r="A3103">
            <v>44689</v>
          </cell>
          <cell r="B3103">
            <v>3</v>
          </cell>
        </row>
        <row r="3104">
          <cell r="A3104">
            <v>44690</v>
          </cell>
          <cell r="B3104">
            <v>3</v>
          </cell>
        </row>
        <row r="3105">
          <cell r="A3105">
            <v>44691</v>
          </cell>
          <cell r="B3105">
            <v>3</v>
          </cell>
        </row>
        <row r="3106">
          <cell r="A3106">
            <v>44692</v>
          </cell>
          <cell r="B3106">
            <v>3</v>
          </cell>
        </row>
        <row r="3107">
          <cell r="A3107">
            <v>44693</v>
          </cell>
          <cell r="B3107">
            <v>3</v>
          </cell>
        </row>
        <row r="3108">
          <cell r="A3108">
            <v>44694</v>
          </cell>
          <cell r="B3108">
            <v>3</v>
          </cell>
        </row>
        <row r="3109">
          <cell r="A3109">
            <v>44695</v>
          </cell>
          <cell r="B3109">
            <v>3</v>
          </cell>
        </row>
        <row r="3110">
          <cell r="A3110">
            <v>44696</v>
          </cell>
          <cell r="B3110">
            <v>3</v>
          </cell>
        </row>
        <row r="3111">
          <cell r="A3111">
            <v>44697</v>
          </cell>
          <cell r="B3111">
            <v>3</v>
          </cell>
        </row>
        <row r="3112">
          <cell r="A3112">
            <v>44698</v>
          </cell>
          <cell r="B3112">
            <v>3</v>
          </cell>
        </row>
        <row r="3113">
          <cell r="A3113">
            <v>44699</v>
          </cell>
          <cell r="B3113">
            <v>3</v>
          </cell>
        </row>
        <row r="3114">
          <cell r="A3114">
            <v>44700</v>
          </cell>
          <cell r="B3114">
            <v>3</v>
          </cell>
        </row>
        <row r="3115">
          <cell r="A3115">
            <v>44701</v>
          </cell>
          <cell r="B3115">
            <v>3</v>
          </cell>
        </row>
        <row r="3116">
          <cell r="A3116">
            <v>44702</v>
          </cell>
          <cell r="B3116">
            <v>3</v>
          </cell>
        </row>
        <row r="3117">
          <cell r="A3117">
            <v>44703</v>
          </cell>
          <cell r="B3117">
            <v>3</v>
          </cell>
        </row>
        <row r="3118">
          <cell r="A3118">
            <v>44704</v>
          </cell>
          <cell r="B3118">
            <v>3</v>
          </cell>
        </row>
        <row r="3119">
          <cell r="A3119">
            <v>44705</v>
          </cell>
          <cell r="B3119">
            <v>3</v>
          </cell>
        </row>
        <row r="3120">
          <cell r="A3120">
            <v>44706</v>
          </cell>
          <cell r="B3120">
            <v>3</v>
          </cell>
        </row>
        <row r="3121">
          <cell r="A3121">
            <v>44707</v>
          </cell>
          <cell r="B3121">
            <v>3</v>
          </cell>
        </row>
        <row r="3122">
          <cell r="A3122">
            <v>44708</v>
          </cell>
          <cell r="B3122">
            <v>3</v>
          </cell>
        </row>
        <row r="3123">
          <cell r="A3123">
            <v>44709</v>
          </cell>
          <cell r="B3123">
            <v>3</v>
          </cell>
        </row>
        <row r="3124">
          <cell r="A3124">
            <v>44710</v>
          </cell>
          <cell r="B3124">
            <v>3</v>
          </cell>
        </row>
        <row r="3125">
          <cell r="A3125">
            <v>44711</v>
          </cell>
          <cell r="B3125">
            <v>3</v>
          </cell>
        </row>
        <row r="3126">
          <cell r="A3126">
            <v>44712</v>
          </cell>
          <cell r="B3126">
            <v>3</v>
          </cell>
        </row>
        <row r="3127">
          <cell r="A3127">
            <v>44713</v>
          </cell>
          <cell r="B3127">
            <v>3</v>
          </cell>
        </row>
        <row r="3128">
          <cell r="A3128">
            <v>44714</v>
          </cell>
          <cell r="B3128">
            <v>3</v>
          </cell>
        </row>
        <row r="3129">
          <cell r="A3129">
            <v>44715</v>
          </cell>
          <cell r="B3129">
            <v>3</v>
          </cell>
        </row>
        <row r="3130">
          <cell r="A3130">
            <v>44716</v>
          </cell>
          <cell r="B3130">
            <v>3</v>
          </cell>
        </row>
        <row r="3131">
          <cell r="A3131">
            <v>44717</v>
          </cell>
          <cell r="B3131">
            <v>3</v>
          </cell>
        </row>
        <row r="3132">
          <cell r="A3132">
            <v>44718</v>
          </cell>
          <cell r="B3132">
            <v>3</v>
          </cell>
        </row>
        <row r="3133">
          <cell r="A3133">
            <v>44719</v>
          </cell>
          <cell r="B3133">
            <v>3</v>
          </cell>
        </row>
        <row r="3134">
          <cell r="A3134">
            <v>44720</v>
          </cell>
          <cell r="B3134">
            <v>3</v>
          </cell>
        </row>
        <row r="3135">
          <cell r="A3135">
            <v>44721</v>
          </cell>
          <cell r="B3135">
            <v>3</v>
          </cell>
        </row>
        <row r="3136">
          <cell r="A3136">
            <v>44722</v>
          </cell>
          <cell r="B3136">
            <v>3</v>
          </cell>
        </row>
        <row r="3137">
          <cell r="A3137">
            <v>44723</v>
          </cell>
          <cell r="B3137">
            <v>3</v>
          </cell>
        </row>
        <row r="3138">
          <cell r="A3138">
            <v>44724</v>
          </cell>
          <cell r="B3138">
            <v>3</v>
          </cell>
        </row>
        <row r="3139">
          <cell r="A3139">
            <v>44725</v>
          </cell>
          <cell r="B3139">
            <v>3</v>
          </cell>
        </row>
        <row r="3140">
          <cell r="A3140">
            <v>44726</v>
          </cell>
          <cell r="B3140">
            <v>3</v>
          </cell>
        </row>
        <row r="3141">
          <cell r="A3141">
            <v>44727</v>
          </cell>
          <cell r="B3141">
            <v>3</v>
          </cell>
        </row>
        <row r="3142">
          <cell r="A3142">
            <v>44728</v>
          </cell>
          <cell r="B3142">
            <v>3</v>
          </cell>
        </row>
        <row r="3143">
          <cell r="A3143">
            <v>44729</v>
          </cell>
          <cell r="B3143">
            <v>3</v>
          </cell>
        </row>
        <row r="3144">
          <cell r="A3144">
            <v>44730</v>
          </cell>
          <cell r="B3144">
            <v>3</v>
          </cell>
        </row>
        <row r="3145">
          <cell r="A3145">
            <v>44731</v>
          </cell>
          <cell r="B3145">
            <v>3</v>
          </cell>
        </row>
        <row r="3146">
          <cell r="A3146">
            <v>44732</v>
          </cell>
          <cell r="B3146">
            <v>3</v>
          </cell>
        </row>
        <row r="3147">
          <cell r="A3147">
            <v>44733</v>
          </cell>
          <cell r="B3147">
            <v>3</v>
          </cell>
        </row>
        <row r="3148">
          <cell r="A3148">
            <v>44734</v>
          </cell>
          <cell r="B3148">
            <v>3</v>
          </cell>
        </row>
        <row r="3149">
          <cell r="A3149">
            <v>44735</v>
          </cell>
          <cell r="B3149">
            <v>3</v>
          </cell>
        </row>
        <row r="3150">
          <cell r="A3150">
            <v>44736</v>
          </cell>
          <cell r="B3150">
            <v>3</v>
          </cell>
        </row>
        <row r="3151">
          <cell r="A3151">
            <v>44737</v>
          </cell>
          <cell r="B3151">
            <v>3</v>
          </cell>
        </row>
        <row r="3152">
          <cell r="A3152">
            <v>44738</v>
          </cell>
          <cell r="B3152">
            <v>3</v>
          </cell>
        </row>
        <row r="3153">
          <cell r="A3153">
            <v>44739</v>
          </cell>
          <cell r="B3153">
            <v>3</v>
          </cell>
        </row>
        <row r="3154">
          <cell r="A3154">
            <v>44740</v>
          </cell>
          <cell r="B3154">
            <v>3</v>
          </cell>
        </row>
        <row r="3155">
          <cell r="A3155">
            <v>44741</v>
          </cell>
          <cell r="B3155">
            <v>3</v>
          </cell>
        </row>
        <row r="3156">
          <cell r="A3156">
            <v>44742</v>
          </cell>
          <cell r="B3156">
            <v>3</v>
          </cell>
        </row>
        <row r="3157">
          <cell r="A3157">
            <v>44743</v>
          </cell>
          <cell r="B3157">
            <v>3</v>
          </cell>
        </row>
        <row r="3158">
          <cell r="A3158">
            <v>44744</v>
          </cell>
          <cell r="B3158">
            <v>3</v>
          </cell>
        </row>
        <row r="3159">
          <cell r="A3159">
            <v>44745</v>
          </cell>
          <cell r="B3159">
            <v>3</v>
          </cell>
        </row>
        <row r="3160">
          <cell r="A3160">
            <v>44746</v>
          </cell>
          <cell r="B3160">
            <v>3</v>
          </cell>
        </row>
        <row r="3161">
          <cell r="A3161">
            <v>44747</v>
          </cell>
          <cell r="B3161">
            <v>3</v>
          </cell>
        </row>
        <row r="3162">
          <cell r="A3162">
            <v>44748</v>
          </cell>
          <cell r="B3162">
            <v>3</v>
          </cell>
        </row>
        <row r="3163">
          <cell r="A3163">
            <v>44749</v>
          </cell>
          <cell r="B3163">
            <v>3</v>
          </cell>
        </row>
        <row r="3164">
          <cell r="A3164">
            <v>44750</v>
          </cell>
          <cell r="B3164">
            <v>3</v>
          </cell>
        </row>
        <row r="3165">
          <cell r="A3165">
            <v>44751</v>
          </cell>
          <cell r="B3165">
            <v>3</v>
          </cell>
        </row>
        <row r="3166">
          <cell r="A3166">
            <v>44752</v>
          </cell>
          <cell r="B3166">
            <v>3</v>
          </cell>
        </row>
        <row r="3167">
          <cell r="A3167">
            <v>44753</v>
          </cell>
          <cell r="B3167">
            <v>3</v>
          </cell>
        </row>
        <row r="3168">
          <cell r="A3168">
            <v>44754</v>
          </cell>
          <cell r="B3168">
            <v>3</v>
          </cell>
        </row>
        <row r="3169">
          <cell r="A3169">
            <v>44755</v>
          </cell>
          <cell r="B3169">
            <v>3</v>
          </cell>
        </row>
        <row r="3170">
          <cell r="A3170">
            <v>44756</v>
          </cell>
          <cell r="B3170">
            <v>3</v>
          </cell>
        </row>
        <row r="3171">
          <cell r="A3171">
            <v>44757</v>
          </cell>
          <cell r="B3171">
            <v>3</v>
          </cell>
        </row>
        <row r="3172">
          <cell r="A3172">
            <v>44758</v>
          </cell>
          <cell r="B3172">
            <v>3</v>
          </cell>
        </row>
        <row r="3173">
          <cell r="A3173">
            <v>44759</v>
          </cell>
          <cell r="B3173">
            <v>3</v>
          </cell>
        </row>
        <row r="3174">
          <cell r="A3174">
            <v>44760</v>
          </cell>
          <cell r="B3174">
            <v>3</v>
          </cell>
        </row>
        <row r="3175">
          <cell r="A3175">
            <v>44761</v>
          </cell>
          <cell r="B3175">
            <v>3</v>
          </cell>
        </row>
        <row r="3176">
          <cell r="A3176">
            <v>44762</v>
          </cell>
          <cell r="B3176">
            <v>3</v>
          </cell>
        </row>
        <row r="3177">
          <cell r="A3177">
            <v>44763</v>
          </cell>
          <cell r="B3177">
            <v>3</v>
          </cell>
        </row>
        <row r="3178">
          <cell r="A3178">
            <v>44764</v>
          </cell>
          <cell r="B3178">
            <v>3</v>
          </cell>
        </row>
        <row r="3179">
          <cell r="A3179">
            <v>44765</v>
          </cell>
          <cell r="B3179">
            <v>3</v>
          </cell>
        </row>
        <row r="3180">
          <cell r="A3180">
            <v>44766</v>
          </cell>
          <cell r="B3180">
            <v>3</v>
          </cell>
        </row>
        <row r="3181">
          <cell r="A3181">
            <v>44767</v>
          </cell>
          <cell r="B3181">
            <v>3</v>
          </cell>
        </row>
        <row r="3182">
          <cell r="A3182">
            <v>44768</v>
          </cell>
          <cell r="B3182">
            <v>3</v>
          </cell>
        </row>
        <row r="3183">
          <cell r="A3183">
            <v>44769</v>
          </cell>
          <cell r="B3183">
            <v>3</v>
          </cell>
        </row>
        <row r="3184">
          <cell r="A3184">
            <v>44770</v>
          </cell>
          <cell r="B3184">
            <v>3</v>
          </cell>
        </row>
        <row r="3185">
          <cell r="A3185">
            <v>44771</v>
          </cell>
          <cell r="B3185">
            <v>3</v>
          </cell>
        </row>
        <row r="3186">
          <cell r="A3186">
            <v>44772</v>
          </cell>
          <cell r="B3186">
            <v>3</v>
          </cell>
        </row>
        <row r="3187">
          <cell r="A3187">
            <v>44773</v>
          </cell>
          <cell r="B3187">
            <v>3</v>
          </cell>
        </row>
        <row r="3188">
          <cell r="A3188">
            <v>44774</v>
          </cell>
          <cell r="B3188">
            <v>3</v>
          </cell>
        </row>
        <row r="3189">
          <cell r="A3189">
            <v>44775</v>
          </cell>
          <cell r="B3189">
            <v>3</v>
          </cell>
        </row>
        <row r="3190">
          <cell r="A3190">
            <v>44776</v>
          </cell>
          <cell r="B3190">
            <v>3</v>
          </cell>
        </row>
        <row r="3191">
          <cell r="A3191">
            <v>44777</v>
          </cell>
          <cell r="B3191">
            <v>3</v>
          </cell>
        </row>
        <row r="3192">
          <cell r="A3192">
            <v>44778</v>
          </cell>
          <cell r="B3192">
            <v>3</v>
          </cell>
        </row>
        <row r="3193">
          <cell r="A3193">
            <v>44779</v>
          </cell>
          <cell r="B3193">
            <v>3</v>
          </cell>
        </row>
        <row r="3194">
          <cell r="A3194">
            <v>44780</v>
          </cell>
          <cell r="B3194">
            <v>3</v>
          </cell>
        </row>
        <row r="3195">
          <cell r="A3195">
            <v>44781</v>
          </cell>
          <cell r="B3195">
            <v>3</v>
          </cell>
        </row>
        <row r="3196">
          <cell r="A3196">
            <v>44782</v>
          </cell>
          <cell r="B3196">
            <v>3</v>
          </cell>
        </row>
        <row r="3197">
          <cell r="A3197">
            <v>44783</v>
          </cell>
          <cell r="B3197">
            <v>3</v>
          </cell>
        </row>
        <row r="3198">
          <cell r="A3198">
            <v>44784</v>
          </cell>
          <cell r="B3198">
            <v>3</v>
          </cell>
        </row>
        <row r="3199">
          <cell r="A3199">
            <v>44785</v>
          </cell>
          <cell r="B3199">
            <v>3</v>
          </cell>
        </row>
        <row r="3200">
          <cell r="A3200">
            <v>44786</v>
          </cell>
          <cell r="B3200">
            <v>3</v>
          </cell>
        </row>
        <row r="3201">
          <cell r="A3201">
            <v>44787</v>
          </cell>
          <cell r="B3201">
            <v>3</v>
          </cell>
        </row>
        <row r="3202">
          <cell r="A3202">
            <v>44788</v>
          </cell>
          <cell r="B3202">
            <v>3</v>
          </cell>
        </row>
        <row r="3203">
          <cell r="A3203">
            <v>44789</v>
          </cell>
          <cell r="B3203">
            <v>3</v>
          </cell>
        </row>
        <row r="3204">
          <cell r="A3204">
            <v>44790</v>
          </cell>
          <cell r="B3204">
            <v>3</v>
          </cell>
        </row>
        <row r="3205">
          <cell r="A3205">
            <v>44791</v>
          </cell>
          <cell r="B3205">
            <v>3</v>
          </cell>
        </row>
        <row r="3206">
          <cell r="A3206">
            <v>44792</v>
          </cell>
          <cell r="B3206">
            <v>3</v>
          </cell>
        </row>
        <row r="3207">
          <cell r="A3207">
            <v>44793</v>
          </cell>
          <cell r="B3207">
            <v>3</v>
          </cell>
        </row>
        <row r="3208">
          <cell r="A3208">
            <v>44794</v>
          </cell>
          <cell r="B3208">
            <v>3</v>
          </cell>
        </row>
        <row r="3209">
          <cell r="A3209">
            <v>44795</v>
          </cell>
          <cell r="B3209">
            <v>3</v>
          </cell>
        </row>
        <row r="3210">
          <cell r="A3210">
            <v>44796</v>
          </cell>
          <cell r="B3210">
            <v>3</v>
          </cell>
        </row>
        <row r="3211">
          <cell r="A3211">
            <v>44797</v>
          </cell>
          <cell r="B3211">
            <v>3</v>
          </cell>
        </row>
        <row r="3212">
          <cell r="A3212">
            <v>44798</v>
          </cell>
          <cell r="B3212">
            <v>3</v>
          </cell>
        </row>
        <row r="3213">
          <cell r="A3213">
            <v>44799</v>
          </cell>
          <cell r="B3213">
            <v>3</v>
          </cell>
        </row>
        <row r="3214">
          <cell r="A3214">
            <v>44800</v>
          </cell>
          <cell r="B3214">
            <v>3</v>
          </cell>
        </row>
        <row r="3215">
          <cell r="A3215">
            <v>44801</v>
          </cell>
          <cell r="B3215">
            <v>3</v>
          </cell>
        </row>
        <row r="3216">
          <cell r="A3216">
            <v>44802</v>
          </cell>
          <cell r="B3216">
            <v>3</v>
          </cell>
        </row>
        <row r="3217">
          <cell r="A3217">
            <v>44803</v>
          </cell>
          <cell r="B3217">
            <v>3</v>
          </cell>
        </row>
        <row r="3218">
          <cell r="A3218">
            <v>44804</v>
          </cell>
          <cell r="B3218">
            <v>3</v>
          </cell>
        </row>
        <row r="3219">
          <cell r="A3219">
            <v>44805</v>
          </cell>
          <cell r="B3219">
            <v>3</v>
          </cell>
        </row>
        <row r="3220">
          <cell r="A3220">
            <v>44806</v>
          </cell>
          <cell r="B3220">
            <v>3</v>
          </cell>
        </row>
        <row r="3221">
          <cell r="A3221">
            <v>44807</v>
          </cell>
          <cell r="B3221">
            <v>3</v>
          </cell>
        </row>
        <row r="3222">
          <cell r="A3222">
            <v>44808</v>
          </cell>
          <cell r="B3222">
            <v>3</v>
          </cell>
        </row>
        <row r="3223">
          <cell r="A3223">
            <v>44809</v>
          </cell>
          <cell r="B3223">
            <v>3</v>
          </cell>
        </row>
        <row r="3224">
          <cell r="A3224">
            <v>44810</v>
          </cell>
          <cell r="B3224">
            <v>3</v>
          </cell>
        </row>
        <row r="3225">
          <cell r="A3225">
            <v>44811</v>
          </cell>
          <cell r="B3225">
            <v>3</v>
          </cell>
        </row>
        <row r="3226">
          <cell r="A3226">
            <v>44812</v>
          </cell>
          <cell r="B3226">
            <v>3</v>
          </cell>
        </row>
        <row r="3227">
          <cell r="A3227">
            <v>44813</v>
          </cell>
          <cell r="B3227">
            <v>3</v>
          </cell>
        </row>
        <row r="3228">
          <cell r="A3228">
            <v>44814</v>
          </cell>
          <cell r="B3228">
            <v>3</v>
          </cell>
        </row>
        <row r="3229">
          <cell r="A3229">
            <v>44815</v>
          </cell>
          <cell r="B3229">
            <v>3</v>
          </cell>
        </row>
        <row r="3230">
          <cell r="A3230">
            <v>44816</v>
          </cell>
          <cell r="B3230">
            <v>3</v>
          </cell>
        </row>
        <row r="3231">
          <cell r="A3231">
            <v>44817</v>
          </cell>
          <cell r="B3231">
            <v>3</v>
          </cell>
        </row>
        <row r="3232">
          <cell r="A3232">
            <v>44818</v>
          </cell>
          <cell r="B3232">
            <v>3</v>
          </cell>
        </row>
        <row r="3233">
          <cell r="A3233">
            <v>44819</v>
          </cell>
          <cell r="B3233">
            <v>3</v>
          </cell>
        </row>
        <row r="3234">
          <cell r="A3234">
            <v>44820</v>
          </cell>
          <cell r="B3234">
            <v>3</v>
          </cell>
        </row>
        <row r="3235">
          <cell r="A3235">
            <v>44821</v>
          </cell>
          <cell r="B3235">
            <v>3</v>
          </cell>
        </row>
        <row r="3236">
          <cell r="A3236">
            <v>44822</v>
          </cell>
          <cell r="B3236">
            <v>3</v>
          </cell>
        </row>
        <row r="3237">
          <cell r="A3237">
            <v>44823</v>
          </cell>
          <cell r="B3237">
            <v>3</v>
          </cell>
        </row>
        <row r="3238">
          <cell r="A3238">
            <v>44824</v>
          </cell>
          <cell r="B3238">
            <v>3</v>
          </cell>
        </row>
        <row r="3239">
          <cell r="A3239">
            <v>44825</v>
          </cell>
          <cell r="B3239">
            <v>3</v>
          </cell>
        </row>
        <row r="3240">
          <cell r="A3240">
            <v>44826</v>
          </cell>
          <cell r="B3240">
            <v>3</v>
          </cell>
        </row>
        <row r="3241">
          <cell r="A3241">
            <v>44827</v>
          </cell>
          <cell r="B3241">
            <v>3</v>
          </cell>
        </row>
        <row r="3242">
          <cell r="A3242">
            <v>44828</v>
          </cell>
          <cell r="B3242">
            <v>3</v>
          </cell>
        </row>
        <row r="3243">
          <cell r="A3243">
            <v>44829</v>
          </cell>
          <cell r="B3243">
            <v>3</v>
          </cell>
        </row>
        <row r="3244">
          <cell r="A3244">
            <v>44830</v>
          </cell>
          <cell r="B3244">
            <v>3</v>
          </cell>
        </row>
        <row r="3245">
          <cell r="A3245">
            <v>44831</v>
          </cell>
          <cell r="B3245">
            <v>3</v>
          </cell>
        </row>
        <row r="3246">
          <cell r="A3246">
            <v>44832</v>
          </cell>
          <cell r="B3246">
            <v>3</v>
          </cell>
        </row>
        <row r="3247">
          <cell r="A3247">
            <v>44833</v>
          </cell>
          <cell r="B3247">
            <v>3</v>
          </cell>
        </row>
        <row r="3248">
          <cell r="A3248">
            <v>44834</v>
          </cell>
          <cell r="B3248">
            <v>3</v>
          </cell>
        </row>
        <row r="3249">
          <cell r="A3249">
            <v>44835</v>
          </cell>
          <cell r="B3249">
            <v>3</v>
          </cell>
        </row>
        <row r="3250">
          <cell r="A3250">
            <v>44836</v>
          </cell>
          <cell r="B3250">
            <v>3</v>
          </cell>
        </row>
        <row r="3251">
          <cell r="A3251">
            <v>44837</v>
          </cell>
          <cell r="B3251">
            <v>3</v>
          </cell>
        </row>
        <row r="3252">
          <cell r="A3252">
            <v>44838</v>
          </cell>
          <cell r="B3252">
            <v>3</v>
          </cell>
        </row>
        <row r="3253">
          <cell r="A3253">
            <v>44839</v>
          </cell>
          <cell r="B3253">
            <v>3</v>
          </cell>
        </row>
        <row r="3254">
          <cell r="A3254">
            <v>44840</v>
          </cell>
          <cell r="B3254">
            <v>3</v>
          </cell>
        </row>
        <row r="3255">
          <cell r="A3255">
            <v>44841</v>
          </cell>
          <cell r="B3255">
            <v>3</v>
          </cell>
        </row>
        <row r="3256">
          <cell r="A3256">
            <v>44842</v>
          </cell>
          <cell r="B3256">
            <v>3</v>
          </cell>
        </row>
        <row r="3257">
          <cell r="A3257">
            <v>44843</v>
          </cell>
          <cell r="B3257">
            <v>3</v>
          </cell>
        </row>
        <row r="3258">
          <cell r="A3258">
            <v>44844</v>
          </cell>
          <cell r="B3258">
            <v>3</v>
          </cell>
        </row>
        <row r="3259">
          <cell r="A3259">
            <v>44845</v>
          </cell>
          <cell r="B3259">
            <v>3</v>
          </cell>
        </row>
        <row r="3260">
          <cell r="A3260">
            <v>44846</v>
          </cell>
          <cell r="B3260">
            <v>3</v>
          </cell>
        </row>
        <row r="3261">
          <cell r="A3261">
            <v>44847</v>
          </cell>
          <cell r="B3261">
            <v>3</v>
          </cell>
        </row>
        <row r="3262">
          <cell r="A3262">
            <v>44848</v>
          </cell>
          <cell r="B3262">
            <v>3</v>
          </cell>
        </row>
        <row r="3263">
          <cell r="A3263">
            <v>44849</v>
          </cell>
          <cell r="B3263">
            <v>3</v>
          </cell>
        </row>
        <row r="3264">
          <cell r="A3264">
            <v>44850</v>
          </cell>
          <cell r="B3264">
            <v>3</v>
          </cell>
        </row>
        <row r="3265">
          <cell r="A3265">
            <v>44851</v>
          </cell>
          <cell r="B3265">
            <v>3</v>
          </cell>
        </row>
        <row r="3266">
          <cell r="A3266">
            <v>44852</v>
          </cell>
          <cell r="B3266">
            <v>3</v>
          </cell>
        </row>
        <row r="3267">
          <cell r="A3267">
            <v>44853</v>
          </cell>
          <cell r="B3267">
            <v>3</v>
          </cell>
        </row>
        <row r="3268">
          <cell r="A3268">
            <v>44854</v>
          </cell>
          <cell r="B3268">
            <v>3</v>
          </cell>
        </row>
        <row r="3269">
          <cell r="A3269">
            <v>44855</v>
          </cell>
          <cell r="B3269">
            <v>3</v>
          </cell>
        </row>
        <row r="3270">
          <cell r="A3270">
            <v>44856</v>
          </cell>
          <cell r="B3270">
            <v>3</v>
          </cell>
        </row>
        <row r="3271">
          <cell r="A3271">
            <v>44857</v>
          </cell>
          <cell r="B3271">
            <v>3</v>
          </cell>
        </row>
        <row r="3272">
          <cell r="A3272">
            <v>44858</v>
          </cell>
          <cell r="B3272">
            <v>3</v>
          </cell>
        </row>
        <row r="3273">
          <cell r="A3273">
            <v>44859</v>
          </cell>
          <cell r="B3273">
            <v>3</v>
          </cell>
        </row>
        <row r="3274">
          <cell r="A3274">
            <v>44860</v>
          </cell>
          <cell r="B3274">
            <v>3</v>
          </cell>
        </row>
        <row r="3275">
          <cell r="A3275">
            <v>44861</v>
          </cell>
          <cell r="B3275">
            <v>3</v>
          </cell>
        </row>
        <row r="3276">
          <cell r="A3276">
            <v>44862</v>
          </cell>
          <cell r="B3276">
            <v>3</v>
          </cell>
        </row>
        <row r="3277">
          <cell r="A3277">
            <v>44863</v>
          </cell>
          <cell r="B3277">
            <v>3</v>
          </cell>
        </row>
        <row r="3278">
          <cell r="A3278">
            <v>44864</v>
          </cell>
          <cell r="B3278">
            <v>3</v>
          </cell>
        </row>
        <row r="3279">
          <cell r="A3279">
            <v>44865</v>
          </cell>
          <cell r="B3279">
            <v>3</v>
          </cell>
        </row>
        <row r="3280">
          <cell r="A3280">
            <v>44866</v>
          </cell>
          <cell r="B3280">
            <v>3</v>
          </cell>
        </row>
        <row r="3281">
          <cell r="A3281">
            <v>44867</v>
          </cell>
          <cell r="B3281">
            <v>3</v>
          </cell>
        </row>
        <row r="3282">
          <cell r="A3282">
            <v>44868</v>
          </cell>
          <cell r="B3282">
            <v>3</v>
          </cell>
        </row>
        <row r="3283">
          <cell r="A3283">
            <v>44869</v>
          </cell>
          <cell r="B3283">
            <v>3</v>
          </cell>
        </row>
        <row r="3284">
          <cell r="A3284">
            <v>44870</v>
          </cell>
          <cell r="B3284">
            <v>3</v>
          </cell>
        </row>
        <row r="3285">
          <cell r="A3285">
            <v>44871</v>
          </cell>
          <cell r="B3285">
            <v>3</v>
          </cell>
        </row>
        <row r="3286">
          <cell r="A3286">
            <v>44872</v>
          </cell>
          <cell r="B3286">
            <v>3</v>
          </cell>
        </row>
        <row r="3287">
          <cell r="A3287">
            <v>44873</v>
          </cell>
          <cell r="B3287">
            <v>3</v>
          </cell>
        </row>
        <row r="3288">
          <cell r="A3288">
            <v>44874</v>
          </cell>
          <cell r="B3288">
            <v>3</v>
          </cell>
        </row>
        <row r="3289">
          <cell r="A3289">
            <v>44875</v>
          </cell>
          <cell r="B3289">
            <v>3</v>
          </cell>
        </row>
        <row r="3290">
          <cell r="A3290">
            <v>44876</v>
          </cell>
          <cell r="B3290">
            <v>3</v>
          </cell>
        </row>
        <row r="3291">
          <cell r="A3291">
            <v>44877</v>
          </cell>
          <cell r="B3291">
            <v>3</v>
          </cell>
        </row>
        <row r="3292">
          <cell r="A3292">
            <v>44878</v>
          </cell>
          <cell r="B3292">
            <v>3</v>
          </cell>
        </row>
        <row r="3293">
          <cell r="A3293">
            <v>44879</v>
          </cell>
          <cell r="B3293">
            <v>3</v>
          </cell>
        </row>
        <row r="3294">
          <cell r="A3294">
            <v>44880</v>
          </cell>
          <cell r="B3294">
            <v>3</v>
          </cell>
        </row>
        <row r="3295">
          <cell r="A3295">
            <v>44881</v>
          </cell>
          <cell r="B3295">
            <v>3</v>
          </cell>
        </row>
        <row r="3296">
          <cell r="A3296">
            <v>44882</v>
          </cell>
          <cell r="B3296">
            <v>3</v>
          </cell>
        </row>
        <row r="3297">
          <cell r="A3297">
            <v>44883</v>
          </cell>
          <cell r="B3297">
            <v>3</v>
          </cell>
        </row>
        <row r="3298">
          <cell r="A3298">
            <v>44884</v>
          </cell>
          <cell r="B3298">
            <v>3</v>
          </cell>
        </row>
        <row r="3299">
          <cell r="A3299">
            <v>44885</v>
          </cell>
          <cell r="B3299">
            <v>3</v>
          </cell>
        </row>
        <row r="3300">
          <cell r="A3300">
            <v>44886</v>
          </cell>
          <cell r="B3300">
            <v>3</v>
          </cell>
        </row>
        <row r="3301">
          <cell r="A3301">
            <v>44887</v>
          </cell>
          <cell r="B3301">
            <v>3</v>
          </cell>
        </row>
        <row r="3302">
          <cell r="A3302">
            <v>44888</v>
          </cell>
          <cell r="B3302">
            <v>3</v>
          </cell>
        </row>
        <row r="3303">
          <cell r="A3303">
            <v>44889</v>
          </cell>
          <cell r="B3303">
            <v>3</v>
          </cell>
        </row>
        <row r="3304">
          <cell r="A3304">
            <v>44890</v>
          </cell>
          <cell r="B3304">
            <v>3</v>
          </cell>
        </row>
        <row r="3305">
          <cell r="A3305">
            <v>44891</v>
          </cell>
          <cell r="B3305">
            <v>3</v>
          </cell>
        </row>
        <row r="3306">
          <cell r="A3306">
            <v>44892</v>
          </cell>
          <cell r="B3306">
            <v>3</v>
          </cell>
        </row>
        <row r="3307">
          <cell r="A3307">
            <v>44893</v>
          </cell>
          <cell r="B3307">
            <v>3</v>
          </cell>
        </row>
        <row r="3308">
          <cell r="A3308">
            <v>44894</v>
          </cell>
          <cell r="B3308">
            <v>3</v>
          </cell>
        </row>
        <row r="3309">
          <cell r="A3309">
            <v>44895</v>
          </cell>
          <cell r="B3309">
            <v>3</v>
          </cell>
        </row>
        <row r="3310">
          <cell r="A3310">
            <v>44896</v>
          </cell>
          <cell r="B3310">
            <v>3</v>
          </cell>
        </row>
        <row r="3311">
          <cell r="A3311">
            <v>44897</v>
          </cell>
          <cell r="B3311">
            <v>3</v>
          </cell>
        </row>
        <row r="3312">
          <cell r="A3312">
            <v>44898</v>
          </cell>
          <cell r="B3312">
            <v>3</v>
          </cell>
        </row>
        <row r="3313">
          <cell r="A3313">
            <v>44899</v>
          </cell>
          <cell r="B3313">
            <v>3</v>
          </cell>
        </row>
        <row r="3314">
          <cell r="A3314">
            <v>44900</v>
          </cell>
          <cell r="B3314">
            <v>3</v>
          </cell>
        </row>
        <row r="3315">
          <cell r="A3315">
            <v>44901</v>
          </cell>
          <cell r="B3315">
            <v>3</v>
          </cell>
        </row>
        <row r="3316">
          <cell r="A3316">
            <v>44902</v>
          </cell>
          <cell r="B3316">
            <v>3</v>
          </cell>
        </row>
        <row r="3317">
          <cell r="A3317">
            <v>44903</v>
          </cell>
          <cell r="B3317">
            <v>3</v>
          </cell>
        </row>
        <row r="3318">
          <cell r="A3318">
            <v>44904</v>
          </cell>
          <cell r="B3318">
            <v>3</v>
          </cell>
        </row>
        <row r="3319">
          <cell r="A3319">
            <v>44905</v>
          </cell>
          <cell r="B3319">
            <v>3</v>
          </cell>
        </row>
        <row r="3320">
          <cell r="A3320">
            <v>44906</v>
          </cell>
          <cell r="B3320">
            <v>3</v>
          </cell>
        </row>
        <row r="3321">
          <cell r="A3321">
            <v>44907</v>
          </cell>
          <cell r="B3321">
            <v>3</v>
          </cell>
        </row>
        <row r="3322">
          <cell r="A3322">
            <v>44908</v>
          </cell>
          <cell r="B3322">
            <v>3</v>
          </cell>
        </row>
        <row r="3323">
          <cell r="A3323">
            <v>44909</v>
          </cell>
          <cell r="B3323">
            <v>3</v>
          </cell>
        </row>
        <row r="3324">
          <cell r="A3324">
            <v>44910</v>
          </cell>
          <cell r="B3324">
            <v>3</v>
          </cell>
        </row>
        <row r="3325">
          <cell r="A3325">
            <v>44911</v>
          </cell>
          <cell r="B3325">
            <v>3</v>
          </cell>
        </row>
        <row r="3326">
          <cell r="A3326">
            <v>44912</v>
          </cell>
          <cell r="B3326">
            <v>3</v>
          </cell>
        </row>
        <row r="3327">
          <cell r="A3327">
            <v>44913</v>
          </cell>
          <cell r="B3327">
            <v>3</v>
          </cell>
        </row>
        <row r="3328">
          <cell r="A3328">
            <v>44914</v>
          </cell>
          <cell r="B3328">
            <v>3</v>
          </cell>
        </row>
        <row r="3329">
          <cell r="A3329">
            <v>44915</v>
          </cell>
          <cell r="B3329">
            <v>3</v>
          </cell>
        </row>
        <row r="3330">
          <cell r="A3330">
            <v>44916</v>
          </cell>
          <cell r="B3330">
            <v>3</v>
          </cell>
        </row>
        <row r="3331">
          <cell r="A3331">
            <v>44917</v>
          </cell>
          <cell r="B3331">
            <v>3</v>
          </cell>
        </row>
        <row r="3332">
          <cell r="A3332">
            <v>44918</v>
          </cell>
          <cell r="B3332">
            <v>3</v>
          </cell>
        </row>
        <row r="3333">
          <cell r="A3333">
            <v>44919</v>
          </cell>
          <cell r="B3333">
            <v>3</v>
          </cell>
        </row>
        <row r="3334">
          <cell r="A3334">
            <v>44920</v>
          </cell>
          <cell r="B3334">
            <v>3</v>
          </cell>
        </row>
        <row r="3335">
          <cell r="A3335">
            <v>44921</v>
          </cell>
          <cell r="B3335">
            <v>3</v>
          </cell>
        </row>
        <row r="3336">
          <cell r="A3336">
            <v>44922</v>
          </cell>
          <cell r="B3336">
            <v>3</v>
          </cell>
        </row>
        <row r="3337">
          <cell r="A3337">
            <v>44923</v>
          </cell>
          <cell r="B3337">
            <v>3</v>
          </cell>
        </row>
        <row r="3338">
          <cell r="A3338">
            <v>44924</v>
          </cell>
          <cell r="B3338">
            <v>3</v>
          </cell>
        </row>
        <row r="3339">
          <cell r="A3339">
            <v>44925</v>
          </cell>
          <cell r="B3339">
            <v>3</v>
          </cell>
        </row>
        <row r="3340">
          <cell r="A3340">
            <v>44926</v>
          </cell>
          <cell r="B3340">
            <v>3</v>
          </cell>
        </row>
        <row r="3341">
          <cell r="A3341">
            <v>44927</v>
          </cell>
          <cell r="B3341">
            <v>3</v>
          </cell>
        </row>
        <row r="3342">
          <cell r="A3342">
            <v>44928</v>
          </cell>
          <cell r="B3342">
            <v>3</v>
          </cell>
        </row>
        <row r="3343">
          <cell r="A3343">
            <v>44929</v>
          </cell>
          <cell r="B3343">
            <v>3</v>
          </cell>
        </row>
        <row r="3344">
          <cell r="A3344">
            <v>44930</v>
          </cell>
          <cell r="B3344">
            <v>3</v>
          </cell>
        </row>
        <row r="3345">
          <cell r="A3345">
            <v>44931</v>
          </cell>
          <cell r="B3345">
            <v>3</v>
          </cell>
        </row>
        <row r="3346">
          <cell r="A3346">
            <v>44932</v>
          </cell>
          <cell r="B3346">
            <v>3</v>
          </cell>
        </row>
        <row r="3347">
          <cell r="A3347">
            <v>44933</v>
          </cell>
          <cell r="B3347">
            <v>3</v>
          </cell>
        </row>
        <row r="3348">
          <cell r="A3348">
            <v>44934</v>
          </cell>
          <cell r="B3348">
            <v>3</v>
          </cell>
        </row>
        <row r="3349">
          <cell r="A3349">
            <v>44935</v>
          </cell>
          <cell r="B3349">
            <v>3</v>
          </cell>
        </row>
        <row r="3350">
          <cell r="A3350">
            <v>44936</v>
          </cell>
          <cell r="B3350">
            <v>3</v>
          </cell>
        </row>
        <row r="3351">
          <cell r="A3351">
            <v>44937</v>
          </cell>
          <cell r="B3351">
            <v>3</v>
          </cell>
        </row>
        <row r="3352">
          <cell r="A3352">
            <v>44938</v>
          </cell>
          <cell r="B3352">
            <v>3</v>
          </cell>
        </row>
        <row r="3353">
          <cell r="A3353">
            <v>44939</v>
          </cell>
          <cell r="B3353">
            <v>3</v>
          </cell>
        </row>
        <row r="3354">
          <cell r="A3354">
            <v>44940</v>
          </cell>
          <cell r="B3354">
            <v>3</v>
          </cell>
        </row>
        <row r="3355">
          <cell r="A3355">
            <v>44941</v>
          </cell>
          <cell r="B3355">
            <v>3</v>
          </cell>
        </row>
        <row r="3356">
          <cell r="A3356">
            <v>44942</v>
          </cell>
          <cell r="B3356">
            <v>3</v>
          </cell>
        </row>
        <row r="3357">
          <cell r="A3357">
            <v>44943</v>
          </cell>
          <cell r="B3357">
            <v>3</v>
          </cell>
        </row>
        <row r="3358">
          <cell r="A3358">
            <v>44944</v>
          </cell>
          <cell r="B3358">
            <v>3</v>
          </cell>
        </row>
        <row r="3359">
          <cell r="A3359">
            <v>44945</v>
          </cell>
          <cell r="B3359">
            <v>3</v>
          </cell>
        </row>
        <row r="3360">
          <cell r="A3360">
            <v>44946</v>
          </cell>
          <cell r="B3360">
            <v>3</v>
          </cell>
        </row>
        <row r="3361">
          <cell r="A3361">
            <v>44947</v>
          </cell>
          <cell r="B3361">
            <v>3</v>
          </cell>
        </row>
        <row r="3362">
          <cell r="A3362">
            <v>44948</v>
          </cell>
          <cell r="B3362">
            <v>3</v>
          </cell>
        </row>
        <row r="3363">
          <cell r="A3363">
            <v>44949</v>
          </cell>
          <cell r="B3363">
            <v>3</v>
          </cell>
        </row>
        <row r="3364">
          <cell r="A3364">
            <v>44950</v>
          </cell>
          <cell r="B3364">
            <v>3</v>
          </cell>
        </row>
        <row r="3365">
          <cell r="A3365">
            <v>44951</v>
          </cell>
          <cell r="B3365">
            <v>3</v>
          </cell>
        </row>
        <row r="3366">
          <cell r="A3366">
            <v>44952</v>
          </cell>
          <cell r="B3366">
            <v>3</v>
          </cell>
        </row>
        <row r="3367">
          <cell r="A3367">
            <v>44953</v>
          </cell>
          <cell r="B3367">
            <v>3</v>
          </cell>
        </row>
        <row r="3368">
          <cell r="A3368">
            <v>44954</v>
          </cell>
          <cell r="B3368">
            <v>3</v>
          </cell>
        </row>
        <row r="3369">
          <cell r="A3369">
            <v>44955</v>
          </cell>
          <cell r="B3369">
            <v>3</v>
          </cell>
        </row>
        <row r="3370">
          <cell r="A3370">
            <v>44956</v>
          </cell>
          <cell r="B3370">
            <v>3</v>
          </cell>
        </row>
        <row r="3371">
          <cell r="A3371">
            <v>44957</v>
          </cell>
          <cell r="B3371">
            <v>3</v>
          </cell>
        </row>
        <row r="3372">
          <cell r="A3372">
            <v>44958</v>
          </cell>
          <cell r="B3372">
            <v>3</v>
          </cell>
        </row>
        <row r="3373">
          <cell r="A3373">
            <v>44959</v>
          </cell>
          <cell r="B3373">
            <v>3</v>
          </cell>
        </row>
        <row r="3374">
          <cell r="A3374">
            <v>44960</v>
          </cell>
          <cell r="B3374">
            <v>3</v>
          </cell>
        </row>
        <row r="3375">
          <cell r="A3375">
            <v>44961</v>
          </cell>
          <cell r="B3375">
            <v>3</v>
          </cell>
        </row>
        <row r="3376">
          <cell r="A3376">
            <v>44962</v>
          </cell>
          <cell r="B3376">
            <v>3</v>
          </cell>
        </row>
        <row r="3377">
          <cell r="A3377">
            <v>44963</v>
          </cell>
          <cell r="B3377">
            <v>3</v>
          </cell>
        </row>
        <row r="3378">
          <cell r="A3378">
            <v>44964</v>
          </cell>
          <cell r="B3378">
            <v>3</v>
          </cell>
        </row>
        <row r="3379">
          <cell r="A3379">
            <v>44965</v>
          </cell>
          <cell r="B3379">
            <v>3</v>
          </cell>
        </row>
        <row r="3380">
          <cell r="A3380">
            <v>44966</v>
          </cell>
          <cell r="B3380">
            <v>3</v>
          </cell>
        </row>
        <row r="3381">
          <cell r="A3381">
            <v>44967</v>
          </cell>
          <cell r="B3381">
            <v>3</v>
          </cell>
        </row>
        <row r="3382">
          <cell r="A3382">
            <v>44968</v>
          </cell>
          <cell r="B3382">
            <v>3</v>
          </cell>
        </row>
        <row r="3383">
          <cell r="A3383">
            <v>44969</v>
          </cell>
          <cell r="B3383">
            <v>3</v>
          </cell>
        </row>
        <row r="3384">
          <cell r="A3384">
            <v>44970</v>
          </cell>
          <cell r="B3384">
            <v>3</v>
          </cell>
        </row>
        <row r="3385">
          <cell r="A3385">
            <v>44971</v>
          </cell>
          <cell r="B3385">
            <v>3</v>
          </cell>
        </row>
        <row r="3386">
          <cell r="A3386">
            <v>44972</v>
          </cell>
          <cell r="B3386">
            <v>3</v>
          </cell>
        </row>
        <row r="3387">
          <cell r="A3387">
            <v>44973</v>
          </cell>
          <cell r="B3387">
            <v>3</v>
          </cell>
        </row>
        <row r="3388">
          <cell r="A3388">
            <v>44974</v>
          </cell>
          <cell r="B3388">
            <v>3</v>
          </cell>
        </row>
        <row r="3389">
          <cell r="A3389">
            <v>44975</v>
          </cell>
          <cell r="B3389">
            <v>3</v>
          </cell>
        </row>
        <row r="3390">
          <cell r="A3390">
            <v>44976</v>
          </cell>
          <cell r="B3390">
            <v>3</v>
          </cell>
        </row>
        <row r="3391">
          <cell r="A3391">
            <v>44977</v>
          </cell>
          <cell r="B3391">
            <v>3</v>
          </cell>
        </row>
        <row r="3392">
          <cell r="A3392">
            <v>44978</v>
          </cell>
          <cell r="B3392">
            <v>3</v>
          </cell>
        </row>
        <row r="3393">
          <cell r="A3393">
            <v>44979</v>
          </cell>
          <cell r="B3393">
            <v>3</v>
          </cell>
        </row>
        <row r="3394">
          <cell r="A3394">
            <v>44980</v>
          </cell>
          <cell r="B3394">
            <v>3</v>
          </cell>
        </row>
        <row r="3395">
          <cell r="A3395">
            <v>44981</v>
          </cell>
          <cell r="B3395">
            <v>3</v>
          </cell>
        </row>
        <row r="3396">
          <cell r="A3396">
            <v>44982</v>
          </cell>
          <cell r="B3396">
            <v>3</v>
          </cell>
        </row>
        <row r="3397">
          <cell r="A3397">
            <v>44983</v>
          </cell>
          <cell r="B3397">
            <v>3</v>
          </cell>
        </row>
        <row r="3398">
          <cell r="A3398">
            <v>44984</v>
          </cell>
          <cell r="B3398">
            <v>3</v>
          </cell>
        </row>
        <row r="3399">
          <cell r="A3399">
            <v>44985</v>
          </cell>
          <cell r="B3399">
            <v>3</v>
          </cell>
        </row>
        <row r="3400">
          <cell r="A3400">
            <v>44986</v>
          </cell>
          <cell r="B3400">
            <v>3</v>
          </cell>
        </row>
        <row r="3401">
          <cell r="A3401">
            <v>44987</v>
          </cell>
          <cell r="B3401">
            <v>3</v>
          </cell>
        </row>
        <row r="3402">
          <cell r="A3402">
            <v>44988</v>
          </cell>
          <cell r="B3402">
            <v>3</v>
          </cell>
        </row>
        <row r="3403">
          <cell r="A3403">
            <v>44989</v>
          </cell>
          <cell r="B3403">
            <v>3</v>
          </cell>
        </row>
        <row r="3404">
          <cell r="A3404">
            <v>44990</v>
          </cell>
          <cell r="B3404">
            <v>3</v>
          </cell>
        </row>
        <row r="3405">
          <cell r="A3405">
            <v>44991</v>
          </cell>
          <cell r="B3405">
            <v>3</v>
          </cell>
        </row>
        <row r="3406">
          <cell r="A3406">
            <v>44992</v>
          </cell>
          <cell r="B3406">
            <v>3</v>
          </cell>
        </row>
        <row r="3407">
          <cell r="A3407">
            <v>44993</v>
          </cell>
          <cell r="B3407">
            <v>3</v>
          </cell>
        </row>
        <row r="3408">
          <cell r="A3408">
            <v>44994</v>
          </cell>
          <cell r="B3408">
            <v>3</v>
          </cell>
        </row>
        <row r="3409">
          <cell r="A3409">
            <v>44995</v>
          </cell>
          <cell r="B3409">
            <v>3</v>
          </cell>
        </row>
        <row r="3410">
          <cell r="A3410">
            <v>44996</v>
          </cell>
          <cell r="B3410">
            <v>3</v>
          </cell>
        </row>
        <row r="3411">
          <cell r="A3411">
            <v>44997</v>
          </cell>
          <cell r="B3411">
            <v>3</v>
          </cell>
        </row>
        <row r="3412">
          <cell r="A3412">
            <v>44998</v>
          </cell>
          <cell r="B3412">
            <v>3</v>
          </cell>
        </row>
        <row r="3413">
          <cell r="A3413">
            <v>44999</v>
          </cell>
          <cell r="B3413">
            <v>3</v>
          </cell>
        </row>
        <row r="3414">
          <cell r="A3414">
            <v>45000</v>
          </cell>
          <cell r="B3414">
            <v>3</v>
          </cell>
        </row>
        <row r="3415">
          <cell r="A3415">
            <v>45001</v>
          </cell>
          <cell r="B3415">
            <v>3</v>
          </cell>
        </row>
        <row r="3416">
          <cell r="A3416">
            <v>45002</v>
          </cell>
          <cell r="B3416">
            <v>3</v>
          </cell>
        </row>
        <row r="3417">
          <cell r="A3417">
            <v>45003</v>
          </cell>
          <cell r="B3417">
            <v>3</v>
          </cell>
        </row>
        <row r="3418">
          <cell r="A3418">
            <v>45004</v>
          </cell>
          <cell r="B3418">
            <v>3</v>
          </cell>
        </row>
        <row r="3419">
          <cell r="A3419">
            <v>45005</v>
          </cell>
          <cell r="B3419">
            <v>3</v>
          </cell>
        </row>
        <row r="3420">
          <cell r="A3420">
            <v>45006</v>
          </cell>
          <cell r="B3420">
            <v>3</v>
          </cell>
        </row>
        <row r="3421">
          <cell r="A3421">
            <v>45007</v>
          </cell>
          <cell r="B3421">
            <v>3</v>
          </cell>
        </row>
        <row r="3422">
          <cell r="A3422">
            <v>45008</v>
          </cell>
          <cell r="B3422">
            <v>3</v>
          </cell>
        </row>
        <row r="3423">
          <cell r="A3423">
            <v>45009</v>
          </cell>
          <cell r="B3423">
            <v>3</v>
          </cell>
        </row>
        <row r="3424">
          <cell r="A3424">
            <v>45010</v>
          </cell>
          <cell r="B3424">
            <v>3</v>
          </cell>
        </row>
        <row r="3425">
          <cell r="A3425">
            <v>45011</v>
          </cell>
          <cell r="B3425">
            <v>3</v>
          </cell>
        </row>
        <row r="3426">
          <cell r="A3426">
            <v>45012</v>
          </cell>
          <cell r="B3426">
            <v>3</v>
          </cell>
        </row>
        <row r="3427">
          <cell r="A3427">
            <v>45013</v>
          </cell>
          <cell r="B3427">
            <v>3</v>
          </cell>
        </row>
        <row r="3428">
          <cell r="A3428">
            <v>45014</v>
          </cell>
          <cell r="B3428">
            <v>3</v>
          </cell>
        </row>
        <row r="3429">
          <cell r="A3429">
            <v>45015</v>
          </cell>
          <cell r="B3429">
            <v>3</v>
          </cell>
        </row>
        <row r="3430">
          <cell r="A3430">
            <v>45016</v>
          </cell>
          <cell r="B3430">
            <v>3</v>
          </cell>
        </row>
        <row r="3431">
          <cell r="A3431">
            <v>45017</v>
          </cell>
          <cell r="B3431">
            <v>3</v>
          </cell>
        </row>
        <row r="3432">
          <cell r="A3432">
            <v>45018</v>
          </cell>
          <cell r="B3432">
            <v>3</v>
          </cell>
        </row>
        <row r="3433">
          <cell r="A3433">
            <v>45019</v>
          </cell>
          <cell r="B3433">
            <v>3</v>
          </cell>
        </row>
        <row r="3434">
          <cell r="A3434">
            <v>45020</v>
          </cell>
          <cell r="B3434">
            <v>3</v>
          </cell>
        </row>
        <row r="3435">
          <cell r="A3435">
            <v>45021</v>
          </cell>
          <cell r="B3435">
            <v>3</v>
          </cell>
        </row>
        <row r="3436">
          <cell r="A3436">
            <v>45022</v>
          </cell>
          <cell r="B3436">
            <v>3</v>
          </cell>
        </row>
        <row r="3437">
          <cell r="A3437">
            <v>45023</v>
          </cell>
          <cell r="B3437">
            <v>3</v>
          </cell>
        </row>
        <row r="3438">
          <cell r="A3438">
            <v>45024</v>
          </cell>
          <cell r="B3438">
            <v>3</v>
          </cell>
        </row>
        <row r="3439">
          <cell r="A3439">
            <v>45025</v>
          </cell>
          <cell r="B3439">
            <v>3</v>
          </cell>
        </row>
        <row r="3440">
          <cell r="A3440">
            <v>45026</v>
          </cell>
          <cell r="B3440">
            <v>3</v>
          </cell>
        </row>
        <row r="3441">
          <cell r="A3441">
            <v>45027</v>
          </cell>
          <cell r="B3441">
            <v>3</v>
          </cell>
        </row>
        <row r="3442">
          <cell r="A3442">
            <v>45028</v>
          </cell>
          <cell r="B3442">
            <v>3</v>
          </cell>
        </row>
        <row r="3443">
          <cell r="A3443">
            <v>45029</v>
          </cell>
          <cell r="B3443">
            <v>3</v>
          </cell>
        </row>
        <row r="3444">
          <cell r="A3444">
            <v>45030</v>
          </cell>
          <cell r="B3444">
            <v>3</v>
          </cell>
        </row>
        <row r="3445">
          <cell r="A3445">
            <v>45031</v>
          </cell>
          <cell r="B3445">
            <v>3</v>
          </cell>
        </row>
        <row r="3446">
          <cell r="A3446">
            <v>45032</v>
          </cell>
          <cell r="B3446">
            <v>3</v>
          </cell>
        </row>
        <row r="3447">
          <cell r="A3447">
            <v>45033</v>
          </cell>
          <cell r="B3447">
            <v>3</v>
          </cell>
        </row>
        <row r="3448">
          <cell r="A3448">
            <v>45034</v>
          </cell>
          <cell r="B3448">
            <v>3</v>
          </cell>
        </row>
        <row r="3449">
          <cell r="A3449">
            <v>45035</v>
          </cell>
          <cell r="B3449">
            <v>3</v>
          </cell>
        </row>
        <row r="3450">
          <cell r="A3450">
            <v>45036</v>
          </cell>
          <cell r="B3450">
            <v>3</v>
          </cell>
        </row>
        <row r="3451">
          <cell r="A3451">
            <v>45037</v>
          </cell>
          <cell r="B3451">
            <v>3</v>
          </cell>
        </row>
        <row r="3452">
          <cell r="A3452">
            <v>45038</v>
          </cell>
          <cell r="B3452">
            <v>3</v>
          </cell>
        </row>
        <row r="3453">
          <cell r="A3453">
            <v>45039</v>
          </cell>
          <cell r="B3453">
            <v>3</v>
          </cell>
        </row>
        <row r="3454">
          <cell r="A3454">
            <v>45040</v>
          </cell>
          <cell r="B3454">
            <v>3</v>
          </cell>
        </row>
        <row r="3455">
          <cell r="A3455">
            <v>45041</v>
          </cell>
          <cell r="B3455">
            <v>3</v>
          </cell>
        </row>
        <row r="3456">
          <cell r="A3456">
            <v>45042</v>
          </cell>
          <cell r="B3456">
            <v>3</v>
          </cell>
        </row>
        <row r="3457">
          <cell r="A3457">
            <v>45043</v>
          </cell>
          <cell r="B3457">
            <v>3</v>
          </cell>
        </row>
        <row r="3458">
          <cell r="A3458">
            <v>45044</v>
          </cell>
          <cell r="B3458">
            <v>3</v>
          </cell>
        </row>
        <row r="3459">
          <cell r="A3459">
            <v>45045</v>
          </cell>
          <cell r="B3459">
            <v>3</v>
          </cell>
        </row>
        <row r="3460">
          <cell r="A3460">
            <v>45046</v>
          </cell>
          <cell r="B3460">
            <v>3</v>
          </cell>
        </row>
        <row r="3461">
          <cell r="A3461">
            <v>45047</v>
          </cell>
          <cell r="B3461">
            <v>3</v>
          </cell>
        </row>
        <row r="3462">
          <cell r="A3462">
            <v>45048</v>
          </cell>
          <cell r="B3462">
            <v>3</v>
          </cell>
        </row>
        <row r="3463">
          <cell r="A3463">
            <v>45049</v>
          </cell>
          <cell r="B3463">
            <v>3</v>
          </cell>
        </row>
        <row r="3464">
          <cell r="A3464">
            <v>45050</v>
          </cell>
          <cell r="B3464">
            <v>3</v>
          </cell>
        </row>
        <row r="3465">
          <cell r="A3465">
            <v>45051</v>
          </cell>
          <cell r="B3465">
            <v>3</v>
          </cell>
        </row>
        <row r="3466">
          <cell r="A3466">
            <v>45052</v>
          </cell>
          <cell r="B3466">
            <v>3</v>
          </cell>
        </row>
        <row r="3467">
          <cell r="A3467">
            <v>45053</v>
          </cell>
          <cell r="B3467">
            <v>3</v>
          </cell>
        </row>
        <row r="3468">
          <cell r="A3468">
            <v>45054</v>
          </cell>
          <cell r="B3468">
            <v>3</v>
          </cell>
        </row>
        <row r="3469">
          <cell r="A3469">
            <v>45055</v>
          </cell>
          <cell r="B3469">
            <v>3</v>
          </cell>
        </row>
        <row r="3470">
          <cell r="A3470">
            <v>45056</v>
          </cell>
          <cell r="B3470">
            <v>3</v>
          </cell>
        </row>
        <row r="3471">
          <cell r="A3471">
            <v>45057</v>
          </cell>
          <cell r="B3471">
            <v>3</v>
          </cell>
        </row>
        <row r="3472">
          <cell r="A3472">
            <v>45058</v>
          </cell>
          <cell r="B3472">
            <v>3</v>
          </cell>
        </row>
        <row r="3473">
          <cell r="A3473">
            <v>45059</v>
          </cell>
          <cell r="B3473">
            <v>3</v>
          </cell>
        </row>
        <row r="3474">
          <cell r="A3474">
            <v>45060</v>
          </cell>
          <cell r="B3474">
            <v>3</v>
          </cell>
        </row>
        <row r="3475">
          <cell r="A3475">
            <v>45061</v>
          </cell>
          <cell r="B3475">
            <v>3</v>
          </cell>
        </row>
        <row r="3476">
          <cell r="A3476">
            <v>45062</v>
          </cell>
          <cell r="B3476">
            <v>3</v>
          </cell>
        </row>
        <row r="3477">
          <cell r="A3477">
            <v>45063</v>
          </cell>
          <cell r="B3477">
            <v>3</v>
          </cell>
        </row>
        <row r="3478">
          <cell r="A3478">
            <v>45064</v>
          </cell>
          <cell r="B3478">
            <v>3</v>
          </cell>
        </row>
        <row r="3479">
          <cell r="A3479">
            <v>45065</v>
          </cell>
          <cell r="B3479">
            <v>3</v>
          </cell>
        </row>
        <row r="3480">
          <cell r="A3480">
            <v>45066</v>
          </cell>
          <cell r="B3480">
            <v>3</v>
          </cell>
        </row>
        <row r="3481">
          <cell r="A3481">
            <v>45067</v>
          </cell>
          <cell r="B3481">
            <v>3</v>
          </cell>
        </row>
        <row r="3482">
          <cell r="A3482">
            <v>45068</v>
          </cell>
          <cell r="B3482">
            <v>3</v>
          </cell>
        </row>
        <row r="3483">
          <cell r="A3483">
            <v>45069</v>
          </cell>
          <cell r="B3483">
            <v>3</v>
          </cell>
        </row>
        <row r="3484">
          <cell r="A3484">
            <v>45070</v>
          </cell>
          <cell r="B3484">
            <v>3</v>
          </cell>
        </row>
        <row r="3485">
          <cell r="A3485">
            <v>45071</v>
          </cell>
          <cell r="B3485">
            <v>3</v>
          </cell>
        </row>
        <row r="3486">
          <cell r="A3486">
            <v>45072</v>
          </cell>
          <cell r="B3486">
            <v>3</v>
          </cell>
        </row>
        <row r="3487">
          <cell r="A3487">
            <v>45073</v>
          </cell>
          <cell r="B3487">
            <v>3</v>
          </cell>
        </row>
        <row r="3488">
          <cell r="A3488">
            <v>45074</v>
          </cell>
          <cell r="B3488">
            <v>3</v>
          </cell>
        </row>
        <row r="3489">
          <cell r="A3489">
            <v>45075</v>
          </cell>
          <cell r="B3489">
            <v>3</v>
          </cell>
        </row>
        <row r="3490">
          <cell r="A3490">
            <v>45076</v>
          </cell>
          <cell r="B3490">
            <v>3</v>
          </cell>
        </row>
        <row r="3491">
          <cell r="A3491">
            <v>45077</v>
          </cell>
          <cell r="B3491">
            <v>3</v>
          </cell>
        </row>
        <row r="3492">
          <cell r="A3492">
            <v>45078</v>
          </cell>
          <cell r="B3492">
            <v>3</v>
          </cell>
        </row>
        <row r="3493">
          <cell r="A3493">
            <v>45079</v>
          </cell>
          <cell r="B3493">
            <v>3</v>
          </cell>
        </row>
        <row r="3494">
          <cell r="A3494">
            <v>45080</v>
          </cell>
          <cell r="B3494">
            <v>3</v>
          </cell>
        </row>
        <row r="3495">
          <cell r="A3495">
            <v>45081</v>
          </cell>
          <cell r="B3495">
            <v>3</v>
          </cell>
        </row>
        <row r="3496">
          <cell r="A3496">
            <v>45082</v>
          </cell>
          <cell r="B3496">
            <v>3</v>
          </cell>
        </row>
        <row r="3497">
          <cell r="A3497">
            <v>45083</v>
          </cell>
          <cell r="B3497">
            <v>3</v>
          </cell>
        </row>
        <row r="3498">
          <cell r="A3498">
            <v>45084</v>
          </cell>
          <cell r="B3498">
            <v>3</v>
          </cell>
        </row>
        <row r="3499">
          <cell r="A3499">
            <v>45085</v>
          </cell>
          <cell r="B3499">
            <v>3</v>
          </cell>
        </row>
        <row r="3500">
          <cell r="A3500">
            <v>45086</v>
          </cell>
          <cell r="B3500">
            <v>3</v>
          </cell>
        </row>
        <row r="3501">
          <cell r="A3501">
            <v>45087</v>
          </cell>
          <cell r="B3501">
            <v>3</v>
          </cell>
        </row>
        <row r="3502">
          <cell r="A3502">
            <v>45088</v>
          </cell>
          <cell r="B3502">
            <v>3</v>
          </cell>
        </row>
        <row r="3503">
          <cell r="A3503">
            <v>45089</v>
          </cell>
          <cell r="B3503">
            <v>3</v>
          </cell>
        </row>
        <row r="3504">
          <cell r="A3504">
            <v>45090</v>
          </cell>
          <cell r="B3504">
            <v>3</v>
          </cell>
        </row>
        <row r="3505">
          <cell r="A3505">
            <v>45091</v>
          </cell>
          <cell r="B3505">
            <v>3</v>
          </cell>
        </row>
        <row r="3506">
          <cell r="A3506">
            <v>45092</v>
          </cell>
          <cell r="B3506">
            <v>3</v>
          </cell>
        </row>
        <row r="3507">
          <cell r="A3507">
            <v>45093</v>
          </cell>
          <cell r="B3507">
            <v>3</v>
          </cell>
        </row>
        <row r="3508">
          <cell r="A3508">
            <v>45094</v>
          </cell>
          <cell r="B3508">
            <v>3</v>
          </cell>
        </row>
        <row r="3509">
          <cell r="A3509">
            <v>45095</v>
          </cell>
          <cell r="B3509">
            <v>3</v>
          </cell>
        </row>
        <row r="3510">
          <cell r="A3510">
            <v>45096</v>
          </cell>
          <cell r="B3510">
            <v>3</v>
          </cell>
        </row>
        <row r="3511">
          <cell r="A3511">
            <v>45097</v>
          </cell>
          <cell r="B3511">
            <v>3</v>
          </cell>
        </row>
        <row r="3512">
          <cell r="A3512">
            <v>45098</v>
          </cell>
          <cell r="B3512">
            <v>3</v>
          </cell>
        </row>
        <row r="3513">
          <cell r="A3513">
            <v>45099</v>
          </cell>
          <cell r="B3513">
            <v>3</v>
          </cell>
        </row>
        <row r="3514">
          <cell r="A3514">
            <v>45100</v>
          </cell>
          <cell r="B3514">
            <v>3</v>
          </cell>
        </row>
        <row r="3515">
          <cell r="A3515">
            <v>45101</v>
          </cell>
          <cell r="B3515">
            <v>3</v>
          </cell>
        </row>
        <row r="3516">
          <cell r="A3516">
            <v>45102</v>
          </cell>
          <cell r="B3516">
            <v>3</v>
          </cell>
        </row>
        <row r="3517">
          <cell r="A3517">
            <v>45103</v>
          </cell>
          <cell r="B3517">
            <v>3</v>
          </cell>
        </row>
        <row r="3518">
          <cell r="A3518">
            <v>45104</v>
          </cell>
          <cell r="B3518">
            <v>3</v>
          </cell>
        </row>
        <row r="3519">
          <cell r="A3519">
            <v>45105</v>
          </cell>
          <cell r="B3519">
            <v>3</v>
          </cell>
        </row>
        <row r="3520">
          <cell r="A3520">
            <v>45106</v>
          </cell>
          <cell r="B3520">
            <v>3</v>
          </cell>
        </row>
        <row r="3521">
          <cell r="A3521">
            <v>45107</v>
          </cell>
          <cell r="B3521">
            <v>3</v>
          </cell>
        </row>
        <row r="3522">
          <cell r="A3522">
            <v>45108</v>
          </cell>
          <cell r="B3522">
            <v>3</v>
          </cell>
        </row>
        <row r="3523">
          <cell r="A3523">
            <v>45109</v>
          </cell>
          <cell r="B3523">
            <v>3</v>
          </cell>
        </row>
        <row r="3524">
          <cell r="A3524">
            <v>45110</v>
          </cell>
          <cell r="B3524">
            <v>3</v>
          </cell>
        </row>
        <row r="3525">
          <cell r="A3525">
            <v>45111</v>
          </cell>
          <cell r="B3525">
            <v>3</v>
          </cell>
        </row>
        <row r="3526">
          <cell r="A3526">
            <v>45112</v>
          </cell>
          <cell r="B3526">
            <v>3</v>
          </cell>
        </row>
        <row r="3527">
          <cell r="A3527">
            <v>45113</v>
          </cell>
          <cell r="B3527">
            <v>3</v>
          </cell>
        </row>
        <row r="3528">
          <cell r="A3528">
            <v>45114</v>
          </cell>
          <cell r="B3528">
            <v>3</v>
          </cell>
        </row>
        <row r="3529">
          <cell r="A3529">
            <v>45115</v>
          </cell>
          <cell r="B3529">
            <v>3</v>
          </cell>
        </row>
        <row r="3530">
          <cell r="A3530">
            <v>45116</v>
          </cell>
          <cell r="B3530">
            <v>3</v>
          </cell>
        </row>
        <row r="3531">
          <cell r="A3531">
            <v>45117</v>
          </cell>
          <cell r="B3531">
            <v>3</v>
          </cell>
        </row>
        <row r="3532">
          <cell r="A3532">
            <v>45118</v>
          </cell>
          <cell r="B3532">
            <v>3</v>
          </cell>
        </row>
        <row r="3533">
          <cell r="A3533">
            <v>45119</v>
          </cell>
          <cell r="B3533">
            <v>3</v>
          </cell>
        </row>
        <row r="3534">
          <cell r="A3534">
            <v>45120</v>
          </cell>
          <cell r="B3534">
            <v>3</v>
          </cell>
        </row>
        <row r="3535">
          <cell r="A3535">
            <v>45121</v>
          </cell>
          <cell r="B3535">
            <v>3</v>
          </cell>
        </row>
        <row r="3536">
          <cell r="A3536">
            <v>45122</v>
          </cell>
          <cell r="B3536">
            <v>3</v>
          </cell>
        </row>
        <row r="3537">
          <cell r="A3537">
            <v>45123</v>
          </cell>
          <cell r="B3537">
            <v>3</v>
          </cell>
        </row>
        <row r="3538">
          <cell r="A3538">
            <v>45124</v>
          </cell>
          <cell r="B3538">
            <v>3</v>
          </cell>
        </row>
        <row r="3539">
          <cell r="A3539">
            <v>45125</v>
          </cell>
          <cell r="B3539">
            <v>3</v>
          </cell>
        </row>
        <row r="3540">
          <cell r="A3540">
            <v>45126</v>
          </cell>
          <cell r="B3540">
            <v>3</v>
          </cell>
        </row>
        <row r="3541">
          <cell r="A3541">
            <v>45127</v>
          </cell>
          <cell r="B3541">
            <v>3</v>
          </cell>
        </row>
        <row r="3542">
          <cell r="A3542">
            <v>45128</v>
          </cell>
          <cell r="B3542">
            <v>3</v>
          </cell>
        </row>
        <row r="3543">
          <cell r="A3543">
            <v>45129</v>
          </cell>
          <cell r="B3543">
            <v>3</v>
          </cell>
        </row>
        <row r="3544">
          <cell r="A3544">
            <v>45130</v>
          </cell>
          <cell r="B3544">
            <v>3</v>
          </cell>
        </row>
        <row r="3545">
          <cell r="A3545">
            <v>45131</v>
          </cell>
          <cell r="B3545">
            <v>3</v>
          </cell>
        </row>
        <row r="3546">
          <cell r="A3546">
            <v>45132</v>
          </cell>
          <cell r="B3546">
            <v>3</v>
          </cell>
        </row>
        <row r="3547">
          <cell r="A3547">
            <v>45133</v>
          </cell>
          <cell r="B3547">
            <v>3</v>
          </cell>
        </row>
        <row r="3548">
          <cell r="A3548">
            <v>45134</v>
          </cell>
          <cell r="B3548">
            <v>3</v>
          </cell>
        </row>
        <row r="3549">
          <cell r="A3549">
            <v>45135</v>
          </cell>
          <cell r="B3549">
            <v>3</v>
          </cell>
        </row>
        <row r="3550">
          <cell r="A3550">
            <v>45136</v>
          </cell>
          <cell r="B3550">
            <v>3</v>
          </cell>
        </row>
        <row r="3551">
          <cell r="A3551">
            <v>45137</v>
          </cell>
          <cell r="B3551">
            <v>3</v>
          </cell>
        </row>
        <row r="3552">
          <cell r="A3552">
            <v>45138</v>
          </cell>
          <cell r="B3552">
            <v>3</v>
          </cell>
        </row>
        <row r="3553">
          <cell r="A3553">
            <v>45139</v>
          </cell>
          <cell r="B3553">
            <v>3</v>
          </cell>
        </row>
        <row r="3554">
          <cell r="A3554">
            <v>45140</v>
          </cell>
          <cell r="B3554">
            <v>3</v>
          </cell>
        </row>
        <row r="3555">
          <cell r="A3555">
            <v>45141</v>
          </cell>
          <cell r="B3555">
            <v>3</v>
          </cell>
        </row>
        <row r="3556">
          <cell r="A3556">
            <v>45142</v>
          </cell>
          <cell r="B3556">
            <v>3</v>
          </cell>
        </row>
        <row r="3557">
          <cell r="A3557">
            <v>45143</v>
          </cell>
          <cell r="B3557">
            <v>3</v>
          </cell>
        </row>
        <row r="3558">
          <cell r="A3558">
            <v>45144</v>
          </cell>
          <cell r="B3558">
            <v>3</v>
          </cell>
        </row>
        <row r="3559">
          <cell r="A3559">
            <v>45145</v>
          </cell>
          <cell r="B3559">
            <v>3</v>
          </cell>
        </row>
        <row r="3560">
          <cell r="A3560">
            <v>45146</v>
          </cell>
          <cell r="B3560">
            <v>3</v>
          </cell>
        </row>
        <row r="3561">
          <cell r="A3561">
            <v>45147</v>
          </cell>
          <cell r="B3561">
            <v>3</v>
          </cell>
        </row>
        <row r="3562">
          <cell r="A3562">
            <v>45148</v>
          </cell>
          <cell r="B3562">
            <v>3</v>
          </cell>
        </row>
        <row r="3563">
          <cell r="A3563">
            <v>45149</v>
          </cell>
          <cell r="B3563">
            <v>3</v>
          </cell>
        </row>
        <row r="3564">
          <cell r="A3564">
            <v>45150</v>
          </cell>
          <cell r="B3564">
            <v>3</v>
          </cell>
        </row>
        <row r="3565">
          <cell r="A3565">
            <v>45151</v>
          </cell>
          <cell r="B3565">
            <v>3</v>
          </cell>
        </row>
        <row r="3566">
          <cell r="A3566">
            <v>45152</v>
          </cell>
          <cell r="B3566">
            <v>3</v>
          </cell>
        </row>
        <row r="3567">
          <cell r="A3567">
            <v>45153</v>
          </cell>
          <cell r="B3567">
            <v>3</v>
          </cell>
        </row>
        <row r="3568">
          <cell r="A3568">
            <v>45154</v>
          </cell>
          <cell r="B3568">
            <v>3</v>
          </cell>
        </row>
        <row r="3569">
          <cell r="A3569">
            <v>45155</v>
          </cell>
          <cell r="B3569">
            <v>3</v>
          </cell>
        </row>
        <row r="3570">
          <cell r="A3570">
            <v>45156</v>
          </cell>
          <cell r="B3570">
            <v>3</v>
          </cell>
        </row>
        <row r="3571">
          <cell r="A3571">
            <v>45157</v>
          </cell>
          <cell r="B3571">
            <v>3</v>
          </cell>
        </row>
        <row r="3572">
          <cell r="A3572">
            <v>45158</v>
          </cell>
          <cell r="B3572">
            <v>3</v>
          </cell>
        </row>
        <row r="3573">
          <cell r="A3573">
            <v>45159</v>
          </cell>
          <cell r="B3573">
            <v>3</v>
          </cell>
        </row>
        <row r="3574">
          <cell r="A3574">
            <v>45160</v>
          </cell>
          <cell r="B3574">
            <v>3</v>
          </cell>
        </row>
        <row r="3575">
          <cell r="A3575">
            <v>45161</v>
          </cell>
          <cell r="B3575">
            <v>3</v>
          </cell>
        </row>
        <row r="3576">
          <cell r="A3576">
            <v>45162</v>
          </cell>
          <cell r="B3576">
            <v>3</v>
          </cell>
        </row>
        <row r="3577">
          <cell r="A3577">
            <v>45163</v>
          </cell>
          <cell r="B3577">
            <v>3</v>
          </cell>
        </row>
        <row r="3578">
          <cell r="A3578">
            <v>45164</v>
          </cell>
          <cell r="B3578">
            <v>3</v>
          </cell>
        </row>
        <row r="3579">
          <cell r="A3579">
            <v>45165</v>
          </cell>
          <cell r="B3579">
            <v>3</v>
          </cell>
        </row>
        <row r="3580">
          <cell r="A3580">
            <v>45166</v>
          </cell>
          <cell r="B3580">
            <v>3</v>
          </cell>
        </row>
        <row r="3581">
          <cell r="A3581">
            <v>45167</v>
          </cell>
          <cell r="B3581">
            <v>3</v>
          </cell>
        </row>
        <row r="3582">
          <cell r="A3582">
            <v>45168</v>
          </cell>
          <cell r="B3582">
            <v>3</v>
          </cell>
        </row>
        <row r="3583">
          <cell r="A3583">
            <v>45169</v>
          </cell>
          <cell r="B3583">
            <v>3</v>
          </cell>
        </row>
        <row r="3584">
          <cell r="A3584">
            <v>45170</v>
          </cell>
          <cell r="B3584">
            <v>3</v>
          </cell>
        </row>
        <row r="3585">
          <cell r="A3585">
            <v>45171</v>
          </cell>
          <cell r="B3585">
            <v>3</v>
          </cell>
        </row>
        <row r="3586">
          <cell r="A3586">
            <v>45172</v>
          </cell>
          <cell r="B3586">
            <v>3</v>
          </cell>
        </row>
        <row r="3587">
          <cell r="A3587">
            <v>45173</v>
          </cell>
          <cell r="B3587">
            <v>3</v>
          </cell>
        </row>
        <row r="3588">
          <cell r="A3588">
            <v>45174</v>
          </cell>
          <cell r="B3588">
            <v>3</v>
          </cell>
        </row>
        <row r="3589">
          <cell r="A3589">
            <v>45175</v>
          </cell>
          <cell r="B3589">
            <v>3</v>
          </cell>
        </row>
        <row r="3590">
          <cell r="A3590">
            <v>45176</v>
          </cell>
          <cell r="B3590">
            <v>3</v>
          </cell>
        </row>
        <row r="3591">
          <cell r="A3591">
            <v>45177</v>
          </cell>
          <cell r="B3591">
            <v>3</v>
          </cell>
        </row>
        <row r="3592">
          <cell r="A3592">
            <v>45178</v>
          </cell>
          <cell r="B3592">
            <v>3</v>
          </cell>
        </row>
        <row r="3593">
          <cell r="A3593">
            <v>45179</v>
          </cell>
          <cell r="B3593">
            <v>3</v>
          </cell>
        </row>
        <row r="3594">
          <cell r="A3594">
            <v>45180</v>
          </cell>
          <cell r="B3594">
            <v>3</v>
          </cell>
        </row>
        <row r="3595">
          <cell r="A3595">
            <v>45181</v>
          </cell>
          <cell r="B3595">
            <v>3</v>
          </cell>
        </row>
        <row r="3596">
          <cell r="A3596">
            <v>45182</v>
          </cell>
          <cell r="B3596">
            <v>3</v>
          </cell>
        </row>
        <row r="3597">
          <cell r="A3597">
            <v>45183</v>
          </cell>
          <cell r="B3597">
            <v>3</v>
          </cell>
        </row>
        <row r="3598">
          <cell r="A3598">
            <v>45184</v>
          </cell>
          <cell r="B3598">
            <v>3</v>
          </cell>
        </row>
        <row r="3599">
          <cell r="A3599">
            <v>45185</v>
          </cell>
          <cell r="B3599">
            <v>3</v>
          </cell>
        </row>
        <row r="3600">
          <cell r="A3600">
            <v>45186</v>
          </cell>
          <cell r="B3600">
            <v>3</v>
          </cell>
        </row>
        <row r="3601">
          <cell r="A3601">
            <v>45187</v>
          </cell>
          <cell r="B3601">
            <v>3</v>
          </cell>
        </row>
        <row r="3602">
          <cell r="A3602">
            <v>45188</v>
          </cell>
          <cell r="B3602">
            <v>3</v>
          </cell>
        </row>
        <row r="3603">
          <cell r="A3603">
            <v>45189</v>
          </cell>
          <cell r="B3603">
            <v>3</v>
          </cell>
        </row>
        <row r="3604">
          <cell r="A3604">
            <v>45190</v>
          </cell>
          <cell r="B3604">
            <v>3</v>
          </cell>
        </row>
        <row r="3605">
          <cell r="A3605">
            <v>45191</v>
          </cell>
          <cell r="B3605">
            <v>3</v>
          </cell>
        </row>
        <row r="3606">
          <cell r="A3606">
            <v>45192</v>
          </cell>
          <cell r="B3606">
            <v>3</v>
          </cell>
        </row>
        <row r="3607">
          <cell r="A3607">
            <v>45193</v>
          </cell>
          <cell r="B3607">
            <v>3</v>
          </cell>
        </row>
        <row r="3608">
          <cell r="A3608">
            <v>45194</v>
          </cell>
          <cell r="B3608">
            <v>3</v>
          </cell>
        </row>
        <row r="3609">
          <cell r="A3609">
            <v>45195</v>
          </cell>
          <cell r="B3609">
            <v>3</v>
          </cell>
        </row>
        <row r="3610">
          <cell r="A3610">
            <v>45196</v>
          </cell>
          <cell r="B3610">
            <v>3</v>
          </cell>
        </row>
        <row r="3611">
          <cell r="A3611">
            <v>45197</v>
          </cell>
          <cell r="B3611">
            <v>3</v>
          </cell>
        </row>
        <row r="3612">
          <cell r="A3612">
            <v>45198</v>
          </cell>
          <cell r="B3612">
            <v>3</v>
          </cell>
        </row>
        <row r="3613">
          <cell r="A3613">
            <v>45199</v>
          </cell>
          <cell r="B3613">
            <v>3</v>
          </cell>
        </row>
        <row r="3614">
          <cell r="A3614">
            <v>45200</v>
          </cell>
          <cell r="B3614">
            <v>3</v>
          </cell>
        </row>
        <row r="3615">
          <cell r="A3615">
            <v>45201</v>
          </cell>
          <cell r="B3615">
            <v>3</v>
          </cell>
        </row>
        <row r="3616">
          <cell r="A3616">
            <v>45202</v>
          </cell>
          <cell r="B3616">
            <v>3</v>
          </cell>
        </row>
        <row r="3617">
          <cell r="A3617">
            <v>45203</v>
          </cell>
          <cell r="B3617">
            <v>3</v>
          </cell>
        </row>
        <row r="3618">
          <cell r="A3618">
            <v>45204</v>
          </cell>
          <cell r="B3618">
            <v>3</v>
          </cell>
        </row>
        <row r="3619">
          <cell r="A3619">
            <v>45205</v>
          </cell>
          <cell r="B3619">
            <v>3</v>
          </cell>
        </row>
        <row r="3620">
          <cell r="A3620">
            <v>45206</v>
          </cell>
          <cell r="B3620">
            <v>3</v>
          </cell>
        </row>
        <row r="3621">
          <cell r="A3621">
            <v>45207</v>
          </cell>
          <cell r="B3621">
            <v>3</v>
          </cell>
        </row>
        <row r="3622">
          <cell r="A3622">
            <v>45208</v>
          </cell>
          <cell r="B3622">
            <v>3</v>
          </cell>
        </row>
        <row r="3623">
          <cell r="A3623">
            <v>45209</v>
          </cell>
          <cell r="B3623">
            <v>3</v>
          </cell>
        </row>
        <row r="3624">
          <cell r="A3624">
            <v>45210</v>
          </cell>
          <cell r="B3624">
            <v>3</v>
          </cell>
        </row>
        <row r="3625">
          <cell r="A3625">
            <v>45211</v>
          </cell>
          <cell r="B3625">
            <v>3</v>
          </cell>
        </row>
        <row r="3626">
          <cell r="A3626">
            <v>45212</v>
          </cell>
          <cell r="B3626">
            <v>3</v>
          </cell>
        </row>
        <row r="3627">
          <cell r="A3627">
            <v>45213</v>
          </cell>
          <cell r="B3627">
            <v>3</v>
          </cell>
        </row>
        <row r="3628">
          <cell r="A3628">
            <v>45214</v>
          </cell>
          <cell r="B3628">
            <v>3</v>
          </cell>
        </row>
        <row r="3629">
          <cell r="A3629">
            <v>45215</v>
          </cell>
          <cell r="B3629">
            <v>3</v>
          </cell>
        </row>
        <row r="3630">
          <cell r="A3630">
            <v>45216</v>
          </cell>
          <cell r="B3630">
            <v>3</v>
          </cell>
        </row>
        <row r="3631">
          <cell r="A3631">
            <v>45217</v>
          </cell>
          <cell r="B3631">
            <v>3</v>
          </cell>
        </row>
        <row r="3632">
          <cell r="A3632">
            <v>45218</v>
          </cell>
          <cell r="B3632">
            <v>3</v>
          </cell>
        </row>
        <row r="3633">
          <cell r="A3633">
            <v>45219</v>
          </cell>
          <cell r="B3633">
            <v>3</v>
          </cell>
        </row>
        <row r="3634">
          <cell r="A3634">
            <v>45220</v>
          </cell>
          <cell r="B3634">
            <v>3</v>
          </cell>
        </row>
        <row r="3635">
          <cell r="A3635">
            <v>45221</v>
          </cell>
          <cell r="B3635">
            <v>3</v>
          </cell>
        </row>
        <row r="3636">
          <cell r="A3636">
            <v>45222</v>
          </cell>
          <cell r="B3636">
            <v>3</v>
          </cell>
        </row>
        <row r="3637">
          <cell r="A3637">
            <v>45223</v>
          </cell>
          <cell r="B3637">
            <v>3</v>
          </cell>
        </row>
        <row r="3638">
          <cell r="A3638">
            <v>45224</v>
          </cell>
          <cell r="B3638">
            <v>3</v>
          </cell>
        </row>
        <row r="3639">
          <cell r="A3639">
            <v>45225</v>
          </cell>
          <cell r="B3639">
            <v>3</v>
          </cell>
        </row>
        <row r="3640">
          <cell r="A3640">
            <v>45226</v>
          </cell>
          <cell r="B3640">
            <v>3</v>
          </cell>
        </row>
        <row r="3641">
          <cell r="A3641">
            <v>45227</v>
          </cell>
          <cell r="B3641">
            <v>3</v>
          </cell>
        </row>
        <row r="3642">
          <cell r="A3642">
            <v>45228</v>
          </cell>
          <cell r="B3642">
            <v>3</v>
          </cell>
        </row>
        <row r="3643">
          <cell r="A3643">
            <v>45229</v>
          </cell>
          <cell r="B3643">
            <v>3</v>
          </cell>
        </row>
        <row r="3644">
          <cell r="A3644">
            <v>45230</v>
          </cell>
          <cell r="B3644">
            <v>3</v>
          </cell>
        </row>
        <row r="3645">
          <cell r="A3645">
            <v>45231</v>
          </cell>
          <cell r="B3645">
            <v>3</v>
          </cell>
        </row>
        <row r="3646">
          <cell r="A3646">
            <v>45232</v>
          </cell>
          <cell r="B3646">
            <v>3</v>
          </cell>
        </row>
        <row r="3647">
          <cell r="A3647">
            <v>45233</v>
          </cell>
          <cell r="B3647">
            <v>3</v>
          </cell>
        </row>
        <row r="3648">
          <cell r="A3648">
            <v>45234</v>
          </cell>
          <cell r="B3648">
            <v>3</v>
          </cell>
        </row>
        <row r="3649">
          <cell r="A3649">
            <v>45235</v>
          </cell>
          <cell r="B3649">
            <v>3</v>
          </cell>
        </row>
        <row r="3650">
          <cell r="A3650">
            <v>45236</v>
          </cell>
          <cell r="B3650">
            <v>3</v>
          </cell>
        </row>
        <row r="3651">
          <cell r="A3651">
            <v>45237</v>
          </cell>
          <cell r="B3651">
            <v>3</v>
          </cell>
        </row>
        <row r="3652">
          <cell r="A3652">
            <v>45238</v>
          </cell>
          <cell r="B3652">
            <v>3</v>
          </cell>
        </row>
        <row r="3653">
          <cell r="A3653">
            <v>45239</v>
          </cell>
          <cell r="B3653">
            <v>3</v>
          </cell>
        </row>
        <row r="3654">
          <cell r="A3654">
            <v>45240</v>
          </cell>
          <cell r="B3654">
            <v>3</v>
          </cell>
        </row>
        <row r="3655">
          <cell r="A3655">
            <v>45241</v>
          </cell>
          <cell r="B3655">
            <v>3</v>
          </cell>
        </row>
        <row r="3656">
          <cell r="A3656">
            <v>45242</v>
          </cell>
          <cell r="B3656">
            <v>3</v>
          </cell>
        </row>
        <row r="3657">
          <cell r="A3657">
            <v>45243</v>
          </cell>
          <cell r="B3657">
            <v>3</v>
          </cell>
        </row>
        <row r="3658">
          <cell r="A3658">
            <v>45244</v>
          </cell>
          <cell r="B3658">
            <v>3</v>
          </cell>
        </row>
        <row r="3659">
          <cell r="A3659">
            <v>45245</v>
          </cell>
          <cell r="B3659">
            <v>3</v>
          </cell>
        </row>
        <row r="3660">
          <cell r="A3660">
            <v>45246</v>
          </cell>
          <cell r="B3660">
            <v>3</v>
          </cell>
        </row>
        <row r="3661">
          <cell r="A3661">
            <v>45247</v>
          </cell>
          <cell r="B3661">
            <v>3</v>
          </cell>
        </row>
        <row r="3662">
          <cell r="A3662">
            <v>45248</v>
          </cell>
          <cell r="B3662">
            <v>3</v>
          </cell>
        </row>
        <row r="3663">
          <cell r="A3663">
            <v>45249</v>
          </cell>
          <cell r="B3663">
            <v>3</v>
          </cell>
        </row>
        <row r="3664">
          <cell r="A3664">
            <v>45250</v>
          </cell>
          <cell r="B3664">
            <v>3</v>
          </cell>
        </row>
        <row r="3665">
          <cell r="A3665">
            <v>45251</v>
          </cell>
          <cell r="B3665">
            <v>3</v>
          </cell>
        </row>
        <row r="3666">
          <cell r="A3666">
            <v>45252</v>
          </cell>
          <cell r="B3666">
            <v>3</v>
          </cell>
        </row>
        <row r="3667">
          <cell r="A3667">
            <v>45253</v>
          </cell>
          <cell r="B3667">
            <v>3</v>
          </cell>
        </row>
        <row r="3668">
          <cell r="A3668">
            <v>45254</v>
          </cell>
          <cell r="B3668">
            <v>3</v>
          </cell>
        </row>
        <row r="3669">
          <cell r="A3669">
            <v>45255</v>
          </cell>
          <cell r="B3669">
            <v>3</v>
          </cell>
        </row>
        <row r="3670">
          <cell r="A3670">
            <v>45256</v>
          </cell>
          <cell r="B3670">
            <v>3</v>
          </cell>
        </row>
        <row r="3671">
          <cell r="A3671">
            <v>45257</v>
          </cell>
          <cell r="B3671">
            <v>3</v>
          </cell>
        </row>
        <row r="3672">
          <cell r="A3672">
            <v>45258</v>
          </cell>
          <cell r="B3672">
            <v>3</v>
          </cell>
        </row>
        <row r="3673">
          <cell r="A3673">
            <v>45259</v>
          </cell>
          <cell r="B3673">
            <v>3</v>
          </cell>
        </row>
        <row r="3674">
          <cell r="A3674">
            <v>45260</v>
          </cell>
          <cell r="B3674">
            <v>3</v>
          </cell>
        </row>
        <row r="3675">
          <cell r="A3675">
            <v>45261</v>
          </cell>
          <cell r="B3675">
            <v>3</v>
          </cell>
        </row>
        <row r="3676">
          <cell r="A3676">
            <v>45262</v>
          </cell>
          <cell r="B3676">
            <v>3</v>
          </cell>
        </row>
        <row r="3677">
          <cell r="A3677">
            <v>45263</v>
          </cell>
          <cell r="B3677">
            <v>3</v>
          </cell>
        </row>
        <row r="3678">
          <cell r="A3678">
            <v>45264</v>
          </cell>
          <cell r="B3678">
            <v>3</v>
          </cell>
        </row>
        <row r="3679">
          <cell r="A3679">
            <v>45265</v>
          </cell>
          <cell r="B3679">
            <v>3</v>
          </cell>
        </row>
        <row r="3680">
          <cell r="A3680">
            <v>45266</v>
          </cell>
          <cell r="B3680">
            <v>3</v>
          </cell>
        </row>
        <row r="3681">
          <cell r="A3681">
            <v>45267</v>
          </cell>
          <cell r="B3681">
            <v>3</v>
          </cell>
        </row>
        <row r="3682">
          <cell r="A3682">
            <v>45268</v>
          </cell>
          <cell r="B3682">
            <v>3</v>
          </cell>
        </row>
        <row r="3683">
          <cell r="A3683">
            <v>45269</v>
          </cell>
          <cell r="B3683">
            <v>3</v>
          </cell>
        </row>
        <row r="3684">
          <cell r="A3684">
            <v>45270</v>
          </cell>
          <cell r="B3684">
            <v>3</v>
          </cell>
        </row>
        <row r="3685">
          <cell r="A3685">
            <v>45271</v>
          </cell>
          <cell r="B3685">
            <v>3</v>
          </cell>
        </row>
        <row r="3686">
          <cell r="A3686">
            <v>45272</v>
          </cell>
          <cell r="B3686">
            <v>3</v>
          </cell>
        </row>
        <row r="3687">
          <cell r="A3687">
            <v>45273</v>
          </cell>
          <cell r="B3687">
            <v>3</v>
          </cell>
        </row>
        <row r="3688">
          <cell r="A3688">
            <v>45274</v>
          </cell>
          <cell r="B3688">
            <v>3</v>
          </cell>
        </row>
        <row r="3689">
          <cell r="A3689">
            <v>45275</v>
          </cell>
          <cell r="B3689">
            <v>3</v>
          </cell>
        </row>
        <row r="3690">
          <cell r="A3690">
            <v>45276</v>
          </cell>
          <cell r="B3690">
            <v>3</v>
          </cell>
        </row>
        <row r="3691">
          <cell r="A3691">
            <v>45277</v>
          </cell>
          <cell r="B3691">
            <v>3</v>
          </cell>
        </row>
        <row r="3692">
          <cell r="A3692">
            <v>45278</v>
          </cell>
          <cell r="B3692">
            <v>3</v>
          </cell>
        </row>
        <row r="3693">
          <cell r="A3693">
            <v>45279</v>
          </cell>
          <cell r="B3693">
            <v>3</v>
          </cell>
        </row>
        <row r="3694">
          <cell r="A3694">
            <v>45280</v>
          </cell>
          <cell r="B3694">
            <v>3</v>
          </cell>
        </row>
        <row r="3695">
          <cell r="A3695">
            <v>45281</v>
          </cell>
          <cell r="B3695">
            <v>3</v>
          </cell>
        </row>
        <row r="3696">
          <cell r="A3696">
            <v>45282</v>
          </cell>
          <cell r="B3696">
            <v>3</v>
          </cell>
        </row>
        <row r="3697">
          <cell r="A3697">
            <v>45283</v>
          </cell>
          <cell r="B3697">
            <v>3</v>
          </cell>
        </row>
        <row r="3698">
          <cell r="A3698">
            <v>45284</v>
          </cell>
          <cell r="B3698">
            <v>3</v>
          </cell>
        </row>
        <row r="3699">
          <cell r="A3699">
            <v>45285</v>
          </cell>
          <cell r="B3699">
            <v>3</v>
          </cell>
        </row>
        <row r="3700">
          <cell r="A3700">
            <v>45286</v>
          </cell>
          <cell r="B3700">
            <v>3</v>
          </cell>
        </row>
        <row r="3701">
          <cell r="A3701">
            <v>45287</v>
          </cell>
          <cell r="B3701">
            <v>3</v>
          </cell>
        </row>
        <row r="3702">
          <cell r="A3702">
            <v>45288</v>
          </cell>
          <cell r="B3702">
            <v>3</v>
          </cell>
        </row>
        <row r="3703">
          <cell r="A3703">
            <v>45289</v>
          </cell>
          <cell r="B3703">
            <v>3</v>
          </cell>
        </row>
        <row r="3704">
          <cell r="A3704">
            <v>45290</v>
          </cell>
          <cell r="B3704">
            <v>3</v>
          </cell>
        </row>
        <row r="3705">
          <cell r="A3705">
            <v>45291</v>
          </cell>
          <cell r="B3705">
            <v>3</v>
          </cell>
        </row>
        <row r="3706">
          <cell r="A3706">
            <v>45292</v>
          </cell>
          <cell r="B3706">
            <v>3</v>
          </cell>
        </row>
        <row r="3707">
          <cell r="A3707">
            <v>45293</v>
          </cell>
          <cell r="B3707">
            <v>3</v>
          </cell>
        </row>
        <row r="3708">
          <cell r="A3708">
            <v>45294</v>
          </cell>
          <cell r="B3708">
            <v>3</v>
          </cell>
        </row>
        <row r="3709">
          <cell r="A3709">
            <v>45295</v>
          </cell>
          <cell r="B3709">
            <v>3</v>
          </cell>
        </row>
        <row r="3710">
          <cell r="A3710">
            <v>45296</v>
          </cell>
          <cell r="B3710">
            <v>3</v>
          </cell>
        </row>
        <row r="3711">
          <cell r="A3711">
            <v>45297</v>
          </cell>
          <cell r="B3711">
            <v>3</v>
          </cell>
        </row>
        <row r="3712">
          <cell r="A3712">
            <v>45298</v>
          </cell>
          <cell r="B3712">
            <v>3</v>
          </cell>
        </row>
        <row r="3713">
          <cell r="A3713">
            <v>45299</v>
          </cell>
          <cell r="B3713">
            <v>3</v>
          </cell>
        </row>
        <row r="3714">
          <cell r="A3714">
            <v>45300</v>
          </cell>
          <cell r="B3714">
            <v>3</v>
          </cell>
        </row>
        <row r="3715">
          <cell r="A3715">
            <v>45301</v>
          </cell>
          <cell r="B3715">
            <v>3</v>
          </cell>
        </row>
        <row r="3716">
          <cell r="A3716">
            <v>45302</v>
          </cell>
          <cell r="B3716">
            <v>3</v>
          </cell>
        </row>
        <row r="3717">
          <cell r="A3717">
            <v>45303</v>
          </cell>
          <cell r="B3717">
            <v>3</v>
          </cell>
        </row>
        <row r="3718">
          <cell r="A3718">
            <v>45304</v>
          </cell>
          <cell r="B3718">
            <v>3</v>
          </cell>
        </row>
        <row r="3719">
          <cell r="A3719">
            <v>45305</v>
          </cell>
          <cell r="B3719">
            <v>3</v>
          </cell>
        </row>
        <row r="3720">
          <cell r="A3720">
            <v>45306</v>
          </cell>
          <cell r="B3720">
            <v>3</v>
          </cell>
        </row>
        <row r="3721">
          <cell r="A3721">
            <v>45307</v>
          </cell>
          <cell r="B3721">
            <v>3</v>
          </cell>
        </row>
        <row r="3722">
          <cell r="A3722">
            <v>45308</v>
          </cell>
          <cell r="B3722">
            <v>3</v>
          </cell>
        </row>
        <row r="3723">
          <cell r="A3723">
            <v>45309</v>
          </cell>
          <cell r="B3723">
            <v>3</v>
          </cell>
        </row>
        <row r="3724">
          <cell r="A3724">
            <v>45310</v>
          </cell>
          <cell r="B3724">
            <v>3</v>
          </cell>
        </row>
        <row r="3725">
          <cell r="A3725">
            <v>45311</v>
          </cell>
          <cell r="B3725">
            <v>3</v>
          </cell>
        </row>
        <row r="3726">
          <cell r="A3726">
            <v>45312</v>
          </cell>
          <cell r="B3726">
            <v>3</v>
          </cell>
        </row>
        <row r="3727">
          <cell r="A3727">
            <v>45313</v>
          </cell>
          <cell r="B3727">
            <v>3</v>
          </cell>
        </row>
        <row r="3728">
          <cell r="A3728">
            <v>45314</v>
          </cell>
          <cell r="B3728">
            <v>3</v>
          </cell>
        </row>
        <row r="3729">
          <cell r="A3729">
            <v>45315</v>
          </cell>
          <cell r="B3729">
            <v>3</v>
          </cell>
        </row>
        <row r="3730">
          <cell r="A3730">
            <v>45316</v>
          </cell>
          <cell r="B3730">
            <v>3</v>
          </cell>
        </row>
        <row r="3731">
          <cell r="A3731">
            <v>45317</v>
          </cell>
          <cell r="B3731">
            <v>3</v>
          </cell>
        </row>
        <row r="3732">
          <cell r="A3732">
            <v>45318</v>
          </cell>
          <cell r="B3732">
            <v>3</v>
          </cell>
        </row>
        <row r="3733">
          <cell r="A3733">
            <v>45319</v>
          </cell>
          <cell r="B3733">
            <v>3</v>
          </cell>
        </row>
        <row r="3734">
          <cell r="A3734">
            <v>45320</v>
          </cell>
          <cell r="B3734">
            <v>3</v>
          </cell>
        </row>
        <row r="3735">
          <cell r="A3735">
            <v>45321</v>
          </cell>
          <cell r="B3735">
            <v>3</v>
          </cell>
        </row>
        <row r="3736">
          <cell r="A3736">
            <v>45322</v>
          </cell>
          <cell r="B3736">
            <v>3</v>
          </cell>
        </row>
        <row r="3737">
          <cell r="A3737">
            <v>45323</v>
          </cell>
          <cell r="B3737">
            <v>3</v>
          </cell>
        </row>
        <row r="3738">
          <cell r="A3738">
            <v>45324</v>
          </cell>
          <cell r="B3738">
            <v>3</v>
          </cell>
        </row>
        <row r="3739">
          <cell r="A3739">
            <v>45325</v>
          </cell>
          <cell r="B3739">
            <v>3</v>
          </cell>
        </row>
        <row r="3740">
          <cell r="A3740">
            <v>45326</v>
          </cell>
          <cell r="B3740">
            <v>3</v>
          </cell>
        </row>
        <row r="3741">
          <cell r="A3741">
            <v>45327</v>
          </cell>
          <cell r="B3741">
            <v>3</v>
          </cell>
        </row>
        <row r="3742">
          <cell r="A3742">
            <v>45328</v>
          </cell>
          <cell r="B3742">
            <v>3</v>
          </cell>
        </row>
        <row r="3743">
          <cell r="A3743">
            <v>45329</v>
          </cell>
          <cell r="B3743">
            <v>3</v>
          </cell>
        </row>
        <row r="3744">
          <cell r="A3744">
            <v>45330</v>
          </cell>
          <cell r="B3744">
            <v>3</v>
          </cell>
        </row>
        <row r="3745">
          <cell r="A3745">
            <v>45331</v>
          </cell>
          <cell r="B3745">
            <v>3</v>
          </cell>
        </row>
        <row r="3746">
          <cell r="A3746">
            <v>45332</v>
          </cell>
          <cell r="B3746">
            <v>3</v>
          </cell>
        </row>
        <row r="3747">
          <cell r="A3747">
            <v>45333</v>
          </cell>
          <cell r="B3747">
            <v>3</v>
          </cell>
        </row>
        <row r="3748">
          <cell r="A3748">
            <v>45334</v>
          </cell>
          <cell r="B3748">
            <v>3</v>
          </cell>
        </row>
        <row r="3749">
          <cell r="A3749">
            <v>45335</v>
          </cell>
          <cell r="B3749">
            <v>3</v>
          </cell>
        </row>
        <row r="3750">
          <cell r="A3750">
            <v>45336</v>
          </cell>
          <cell r="B3750">
            <v>3</v>
          </cell>
        </row>
        <row r="3751">
          <cell r="A3751">
            <v>45337</v>
          </cell>
          <cell r="B3751">
            <v>3</v>
          </cell>
        </row>
        <row r="3752">
          <cell r="A3752">
            <v>45338</v>
          </cell>
          <cell r="B3752">
            <v>3</v>
          </cell>
        </row>
        <row r="3753">
          <cell r="A3753">
            <v>45339</v>
          </cell>
          <cell r="B3753">
            <v>3</v>
          </cell>
        </row>
        <row r="3754">
          <cell r="A3754">
            <v>45340</v>
          </cell>
          <cell r="B3754">
            <v>3</v>
          </cell>
        </row>
        <row r="3755">
          <cell r="A3755">
            <v>45341</v>
          </cell>
          <cell r="B3755">
            <v>3</v>
          </cell>
        </row>
        <row r="3756">
          <cell r="A3756">
            <v>45342</v>
          </cell>
          <cell r="B3756">
            <v>3</v>
          </cell>
        </row>
        <row r="3757">
          <cell r="A3757">
            <v>45343</v>
          </cell>
          <cell r="B3757">
            <v>3</v>
          </cell>
        </row>
        <row r="3758">
          <cell r="A3758">
            <v>45344</v>
          </cell>
          <cell r="B3758">
            <v>3</v>
          </cell>
        </row>
        <row r="3759">
          <cell r="A3759">
            <v>45345</v>
          </cell>
          <cell r="B3759">
            <v>3</v>
          </cell>
        </row>
        <row r="3760">
          <cell r="A3760">
            <v>45346</v>
          </cell>
          <cell r="B3760">
            <v>3</v>
          </cell>
        </row>
        <row r="3761">
          <cell r="A3761">
            <v>45347</v>
          </cell>
          <cell r="B3761">
            <v>3</v>
          </cell>
        </row>
        <row r="3762">
          <cell r="A3762">
            <v>45348</v>
          </cell>
          <cell r="B3762">
            <v>3</v>
          </cell>
        </row>
        <row r="3763">
          <cell r="A3763">
            <v>45349</v>
          </cell>
          <cell r="B3763">
            <v>3</v>
          </cell>
        </row>
        <row r="3764">
          <cell r="A3764">
            <v>45350</v>
          </cell>
          <cell r="B3764">
            <v>3</v>
          </cell>
        </row>
        <row r="3765">
          <cell r="A3765">
            <v>45351</v>
          </cell>
          <cell r="B3765">
            <v>3</v>
          </cell>
        </row>
        <row r="3766">
          <cell r="A3766">
            <v>45352</v>
          </cell>
          <cell r="B3766">
            <v>3</v>
          </cell>
        </row>
        <row r="3767">
          <cell r="A3767">
            <v>45353</v>
          </cell>
          <cell r="B3767">
            <v>3</v>
          </cell>
        </row>
        <row r="3768">
          <cell r="A3768">
            <v>45354</v>
          </cell>
          <cell r="B3768">
            <v>3</v>
          </cell>
        </row>
        <row r="3769">
          <cell r="A3769">
            <v>45355</v>
          </cell>
          <cell r="B3769">
            <v>3</v>
          </cell>
        </row>
        <row r="3770">
          <cell r="A3770">
            <v>45356</v>
          </cell>
          <cell r="B3770">
            <v>3</v>
          </cell>
        </row>
        <row r="3771">
          <cell r="A3771">
            <v>45357</v>
          </cell>
          <cell r="B3771">
            <v>3</v>
          </cell>
        </row>
        <row r="3772">
          <cell r="A3772">
            <v>45358</v>
          </cell>
          <cell r="B3772">
            <v>3</v>
          </cell>
        </row>
        <row r="3773">
          <cell r="A3773">
            <v>45359</v>
          </cell>
          <cell r="B3773">
            <v>3</v>
          </cell>
        </row>
        <row r="3774">
          <cell r="A3774">
            <v>45360</v>
          </cell>
          <cell r="B3774">
            <v>3</v>
          </cell>
        </row>
        <row r="3775">
          <cell r="A3775">
            <v>45361</v>
          </cell>
          <cell r="B3775">
            <v>3</v>
          </cell>
        </row>
        <row r="3776">
          <cell r="A3776">
            <v>45362</v>
          </cell>
          <cell r="B3776">
            <v>3</v>
          </cell>
        </row>
        <row r="3777">
          <cell r="A3777">
            <v>45363</v>
          </cell>
          <cell r="B3777">
            <v>3</v>
          </cell>
        </row>
        <row r="3778">
          <cell r="A3778">
            <v>45364</v>
          </cell>
          <cell r="B3778">
            <v>3</v>
          </cell>
        </row>
        <row r="3779">
          <cell r="A3779">
            <v>45365</v>
          </cell>
          <cell r="B3779">
            <v>3</v>
          </cell>
        </row>
        <row r="3780">
          <cell r="A3780">
            <v>45366</v>
          </cell>
          <cell r="B3780">
            <v>3</v>
          </cell>
        </row>
        <row r="3781">
          <cell r="A3781">
            <v>45367</v>
          </cell>
          <cell r="B3781">
            <v>3</v>
          </cell>
        </row>
        <row r="3782">
          <cell r="A3782">
            <v>45368</v>
          </cell>
          <cell r="B3782">
            <v>3</v>
          </cell>
        </row>
        <row r="3783">
          <cell r="A3783">
            <v>45369</v>
          </cell>
          <cell r="B3783">
            <v>3</v>
          </cell>
        </row>
        <row r="3784">
          <cell r="A3784">
            <v>45370</v>
          </cell>
          <cell r="B3784">
            <v>3</v>
          </cell>
        </row>
        <row r="3785">
          <cell r="A3785">
            <v>45371</v>
          </cell>
          <cell r="B3785">
            <v>3</v>
          </cell>
        </row>
        <row r="3786">
          <cell r="A3786">
            <v>45372</v>
          </cell>
          <cell r="B3786">
            <v>3</v>
          </cell>
        </row>
        <row r="3787">
          <cell r="A3787">
            <v>45373</v>
          </cell>
          <cell r="B3787">
            <v>3</v>
          </cell>
        </row>
        <row r="3788">
          <cell r="A3788">
            <v>45374</v>
          </cell>
          <cell r="B3788">
            <v>3</v>
          </cell>
        </row>
        <row r="3789">
          <cell r="A3789">
            <v>45375</v>
          </cell>
          <cell r="B3789">
            <v>3</v>
          </cell>
        </row>
        <row r="3790">
          <cell r="A3790">
            <v>45376</v>
          </cell>
          <cell r="B3790">
            <v>3</v>
          </cell>
        </row>
        <row r="3791">
          <cell r="A3791">
            <v>45377</v>
          </cell>
          <cell r="B3791">
            <v>3</v>
          </cell>
        </row>
        <row r="3792">
          <cell r="A3792">
            <v>45378</v>
          </cell>
          <cell r="B3792">
            <v>3</v>
          </cell>
        </row>
        <row r="3793">
          <cell r="A3793">
            <v>45379</v>
          </cell>
          <cell r="B3793">
            <v>3</v>
          </cell>
        </row>
        <row r="3794">
          <cell r="A3794">
            <v>45380</v>
          </cell>
          <cell r="B3794">
            <v>3</v>
          </cell>
        </row>
        <row r="3795">
          <cell r="A3795">
            <v>45381</v>
          </cell>
          <cell r="B3795">
            <v>3</v>
          </cell>
        </row>
        <row r="3796">
          <cell r="A3796">
            <v>45382</v>
          </cell>
          <cell r="B3796">
            <v>3</v>
          </cell>
        </row>
        <row r="3797">
          <cell r="A3797">
            <v>45383</v>
          </cell>
          <cell r="B3797">
            <v>3</v>
          </cell>
        </row>
        <row r="3798">
          <cell r="A3798">
            <v>45384</v>
          </cell>
          <cell r="B3798">
            <v>3</v>
          </cell>
        </row>
        <row r="3799">
          <cell r="A3799">
            <v>45385</v>
          </cell>
          <cell r="B3799">
            <v>3</v>
          </cell>
        </row>
        <row r="3800">
          <cell r="A3800">
            <v>45386</v>
          </cell>
          <cell r="B3800">
            <v>3</v>
          </cell>
        </row>
        <row r="3801">
          <cell r="A3801">
            <v>45387</v>
          </cell>
          <cell r="B3801">
            <v>3</v>
          </cell>
        </row>
        <row r="3802">
          <cell r="A3802">
            <v>45388</v>
          </cell>
          <cell r="B3802">
            <v>3</v>
          </cell>
        </row>
        <row r="3803">
          <cell r="A3803">
            <v>45389</v>
          </cell>
          <cell r="B3803">
            <v>3</v>
          </cell>
        </row>
        <row r="3804">
          <cell r="A3804">
            <v>45390</v>
          </cell>
          <cell r="B3804">
            <v>3</v>
          </cell>
        </row>
        <row r="3805">
          <cell r="A3805">
            <v>45391</v>
          </cell>
          <cell r="B3805">
            <v>3</v>
          </cell>
        </row>
        <row r="3806">
          <cell r="A3806">
            <v>45392</v>
          </cell>
          <cell r="B3806">
            <v>3</v>
          </cell>
        </row>
        <row r="3807">
          <cell r="A3807">
            <v>45393</v>
          </cell>
          <cell r="B3807">
            <v>3</v>
          </cell>
        </row>
        <row r="3808">
          <cell r="A3808">
            <v>45394</v>
          </cell>
          <cell r="B3808">
            <v>3</v>
          </cell>
        </row>
        <row r="3809">
          <cell r="A3809">
            <v>45395</v>
          </cell>
          <cell r="B3809">
            <v>3</v>
          </cell>
        </row>
        <row r="3810">
          <cell r="A3810">
            <v>45396</v>
          </cell>
          <cell r="B3810">
            <v>3</v>
          </cell>
        </row>
        <row r="3811">
          <cell r="A3811">
            <v>45397</v>
          </cell>
          <cell r="B3811">
            <v>3</v>
          </cell>
        </row>
        <row r="3812">
          <cell r="A3812">
            <v>45398</v>
          </cell>
          <cell r="B3812">
            <v>3</v>
          </cell>
        </row>
        <row r="3813">
          <cell r="A3813">
            <v>45399</v>
          </cell>
          <cell r="B3813">
            <v>3</v>
          </cell>
        </row>
        <row r="3814">
          <cell r="A3814">
            <v>45400</v>
          </cell>
          <cell r="B3814">
            <v>3</v>
          </cell>
        </row>
        <row r="3815">
          <cell r="A3815">
            <v>45401</v>
          </cell>
          <cell r="B3815">
            <v>3</v>
          </cell>
        </row>
        <row r="3816">
          <cell r="A3816">
            <v>45402</v>
          </cell>
          <cell r="B3816">
            <v>3</v>
          </cell>
        </row>
        <row r="3817">
          <cell r="A3817">
            <v>45403</v>
          </cell>
          <cell r="B3817">
            <v>3</v>
          </cell>
        </row>
        <row r="3818">
          <cell r="A3818">
            <v>45404</v>
          </cell>
          <cell r="B3818">
            <v>3</v>
          </cell>
        </row>
        <row r="3819">
          <cell r="A3819">
            <v>45405</v>
          </cell>
          <cell r="B3819">
            <v>3</v>
          </cell>
        </row>
        <row r="3820">
          <cell r="A3820">
            <v>45406</v>
          </cell>
          <cell r="B3820">
            <v>3</v>
          </cell>
        </row>
        <row r="3821">
          <cell r="A3821">
            <v>45407</v>
          </cell>
          <cell r="B3821">
            <v>3</v>
          </cell>
        </row>
        <row r="3822">
          <cell r="A3822">
            <v>45408</v>
          </cell>
          <cell r="B3822">
            <v>3</v>
          </cell>
        </row>
        <row r="3823">
          <cell r="A3823">
            <v>45409</v>
          </cell>
          <cell r="B3823">
            <v>3</v>
          </cell>
        </row>
        <row r="3824">
          <cell r="A3824">
            <v>45410</v>
          </cell>
          <cell r="B3824">
            <v>3</v>
          </cell>
        </row>
        <row r="3825">
          <cell r="A3825">
            <v>45411</v>
          </cell>
          <cell r="B3825">
            <v>3</v>
          </cell>
        </row>
        <row r="3826">
          <cell r="A3826">
            <v>45412</v>
          </cell>
          <cell r="B3826">
            <v>3</v>
          </cell>
        </row>
        <row r="3827">
          <cell r="A3827">
            <v>45413</v>
          </cell>
          <cell r="B3827">
            <v>3</v>
          </cell>
        </row>
        <row r="3828">
          <cell r="A3828">
            <v>45414</v>
          </cell>
          <cell r="B3828">
            <v>3</v>
          </cell>
        </row>
        <row r="3829">
          <cell r="A3829">
            <v>45415</v>
          </cell>
          <cell r="B3829">
            <v>3</v>
          </cell>
        </row>
        <row r="3830">
          <cell r="A3830">
            <v>45416</v>
          </cell>
          <cell r="B3830">
            <v>3</v>
          </cell>
        </row>
        <row r="3831">
          <cell r="A3831">
            <v>45417</v>
          </cell>
          <cell r="B3831">
            <v>3</v>
          </cell>
        </row>
        <row r="3832">
          <cell r="A3832">
            <v>45418</v>
          </cell>
          <cell r="B3832">
            <v>3</v>
          </cell>
        </row>
        <row r="3833">
          <cell r="A3833">
            <v>45419</v>
          </cell>
          <cell r="B3833">
            <v>3</v>
          </cell>
        </row>
        <row r="3834">
          <cell r="A3834">
            <v>45420</v>
          </cell>
          <cell r="B3834">
            <v>3</v>
          </cell>
        </row>
        <row r="3835">
          <cell r="A3835">
            <v>45421</v>
          </cell>
          <cell r="B3835">
            <v>3</v>
          </cell>
        </row>
        <row r="3836">
          <cell r="A3836">
            <v>45422</v>
          </cell>
          <cell r="B3836">
            <v>3</v>
          </cell>
        </row>
        <row r="3837">
          <cell r="A3837">
            <v>45423</v>
          </cell>
          <cell r="B3837">
            <v>3</v>
          </cell>
        </row>
        <row r="3838">
          <cell r="A3838">
            <v>45424</v>
          </cell>
          <cell r="B3838">
            <v>3</v>
          </cell>
        </row>
        <row r="3839">
          <cell r="A3839">
            <v>45425</v>
          </cell>
          <cell r="B3839">
            <v>3</v>
          </cell>
        </row>
        <row r="3840">
          <cell r="A3840">
            <v>45426</v>
          </cell>
          <cell r="B3840">
            <v>3</v>
          </cell>
        </row>
        <row r="3841">
          <cell r="A3841">
            <v>45427</v>
          </cell>
          <cell r="B3841">
            <v>3</v>
          </cell>
        </row>
        <row r="3842">
          <cell r="A3842">
            <v>45428</v>
          </cell>
          <cell r="B3842">
            <v>3</v>
          </cell>
        </row>
        <row r="3843">
          <cell r="A3843">
            <v>45429</v>
          </cell>
          <cell r="B3843">
            <v>3</v>
          </cell>
        </row>
        <row r="3844">
          <cell r="A3844">
            <v>45430</v>
          </cell>
          <cell r="B3844">
            <v>3</v>
          </cell>
        </row>
        <row r="3845">
          <cell r="A3845">
            <v>45431</v>
          </cell>
          <cell r="B3845">
            <v>3</v>
          </cell>
        </row>
        <row r="3846">
          <cell r="A3846">
            <v>45432</v>
          </cell>
          <cell r="B3846">
            <v>3</v>
          </cell>
        </row>
        <row r="3847">
          <cell r="A3847">
            <v>45433</v>
          </cell>
          <cell r="B3847">
            <v>3</v>
          </cell>
        </row>
        <row r="3848">
          <cell r="A3848">
            <v>45434</v>
          </cell>
          <cell r="B3848">
            <v>3</v>
          </cell>
        </row>
        <row r="3849">
          <cell r="A3849">
            <v>45435</v>
          </cell>
          <cell r="B3849">
            <v>3</v>
          </cell>
        </row>
        <row r="3850">
          <cell r="A3850">
            <v>45436</v>
          </cell>
          <cell r="B3850">
            <v>3</v>
          </cell>
        </row>
        <row r="3851">
          <cell r="A3851">
            <v>45437</v>
          </cell>
          <cell r="B3851">
            <v>3</v>
          </cell>
        </row>
        <row r="3852">
          <cell r="A3852">
            <v>45438</v>
          </cell>
          <cell r="B3852">
            <v>3</v>
          </cell>
        </row>
        <row r="3853">
          <cell r="A3853">
            <v>45439</v>
          </cell>
          <cell r="B3853">
            <v>3</v>
          </cell>
        </row>
        <row r="3854">
          <cell r="A3854">
            <v>45440</v>
          </cell>
          <cell r="B3854">
            <v>3</v>
          </cell>
        </row>
        <row r="3855">
          <cell r="A3855">
            <v>45441</v>
          </cell>
          <cell r="B3855">
            <v>3</v>
          </cell>
        </row>
        <row r="3856">
          <cell r="A3856">
            <v>45442</v>
          </cell>
          <cell r="B3856">
            <v>3</v>
          </cell>
        </row>
        <row r="3857">
          <cell r="A3857">
            <v>45443</v>
          </cell>
          <cell r="B3857">
            <v>3</v>
          </cell>
        </row>
        <row r="3858">
          <cell r="A3858">
            <v>45444</v>
          </cell>
          <cell r="B3858">
            <v>3</v>
          </cell>
        </row>
        <row r="3859">
          <cell r="A3859">
            <v>45445</v>
          </cell>
          <cell r="B3859">
            <v>3</v>
          </cell>
        </row>
        <row r="3860">
          <cell r="A3860">
            <v>45446</v>
          </cell>
          <cell r="B3860">
            <v>3</v>
          </cell>
        </row>
        <row r="3861">
          <cell r="A3861">
            <v>45447</v>
          </cell>
          <cell r="B3861">
            <v>3</v>
          </cell>
        </row>
        <row r="3862">
          <cell r="A3862">
            <v>45448</v>
          </cell>
          <cell r="B3862">
            <v>3</v>
          </cell>
        </row>
        <row r="3863">
          <cell r="A3863">
            <v>45449</v>
          </cell>
          <cell r="B3863">
            <v>3</v>
          </cell>
        </row>
        <row r="3864">
          <cell r="A3864">
            <v>45450</v>
          </cell>
          <cell r="B3864">
            <v>3</v>
          </cell>
        </row>
        <row r="3865">
          <cell r="A3865">
            <v>45451</v>
          </cell>
          <cell r="B3865">
            <v>3</v>
          </cell>
        </row>
        <row r="3866">
          <cell r="A3866">
            <v>45452</v>
          </cell>
          <cell r="B3866">
            <v>3</v>
          </cell>
        </row>
        <row r="3867">
          <cell r="A3867">
            <v>45453</v>
          </cell>
          <cell r="B3867">
            <v>3</v>
          </cell>
        </row>
        <row r="3868">
          <cell r="A3868">
            <v>45454</v>
          </cell>
          <cell r="B3868">
            <v>3</v>
          </cell>
        </row>
        <row r="3869">
          <cell r="A3869">
            <v>45455</v>
          </cell>
          <cell r="B3869">
            <v>3</v>
          </cell>
        </row>
        <row r="3870">
          <cell r="A3870">
            <v>45456</v>
          </cell>
          <cell r="B3870">
            <v>3</v>
          </cell>
        </row>
        <row r="3871">
          <cell r="A3871">
            <v>45457</v>
          </cell>
          <cell r="B3871">
            <v>3</v>
          </cell>
        </row>
        <row r="3872">
          <cell r="A3872">
            <v>45458</v>
          </cell>
          <cell r="B3872">
            <v>3</v>
          </cell>
        </row>
        <row r="3873">
          <cell r="A3873">
            <v>45459</v>
          </cell>
          <cell r="B3873">
            <v>3</v>
          </cell>
        </row>
        <row r="3874">
          <cell r="A3874">
            <v>45460</v>
          </cell>
          <cell r="B3874">
            <v>3</v>
          </cell>
        </row>
        <row r="3875">
          <cell r="A3875">
            <v>45461</v>
          </cell>
          <cell r="B3875">
            <v>3</v>
          </cell>
        </row>
        <row r="3876">
          <cell r="A3876">
            <v>45462</v>
          </cell>
          <cell r="B3876">
            <v>3</v>
          </cell>
        </row>
        <row r="3877">
          <cell r="A3877">
            <v>45463</v>
          </cell>
          <cell r="B3877">
            <v>3</v>
          </cell>
        </row>
        <row r="3878">
          <cell r="A3878">
            <v>45464</v>
          </cell>
          <cell r="B3878">
            <v>3</v>
          </cell>
        </row>
        <row r="3879">
          <cell r="A3879">
            <v>45465</v>
          </cell>
          <cell r="B3879">
            <v>3</v>
          </cell>
        </row>
        <row r="3880">
          <cell r="A3880">
            <v>45466</v>
          </cell>
          <cell r="B3880">
            <v>3</v>
          </cell>
        </row>
        <row r="3881">
          <cell r="A3881">
            <v>45467</v>
          </cell>
          <cell r="B3881">
            <v>3</v>
          </cell>
        </row>
        <row r="3882">
          <cell r="A3882">
            <v>45468</v>
          </cell>
          <cell r="B3882">
            <v>3</v>
          </cell>
        </row>
        <row r="3883">
          <cell r="A3883">
            <v>45469</v>
          </cell>
          <cell r="B3883">
            <v>3</v>
          </cell>
        </row>
        <row r="3884">
          <cell r="A3884">
            <v>45470</v>
          </cell>
          <cell r="B3884">
            <v>3</v>
          </cell>
        </row>
        <row r="3885">
          <cell r="A3885">
            <v>45471</v>
          </cell>
          <cell r="B3885">
            <v>3</v>
          </cell>
        </row>
        <row r="3886">
          <cell r="A3886">
            <v>45472</v>
          </cell>
          <cell r="B3886">
            <v>3</v>
          </cell>
        </row>
        <row r="3887">
          <cell r="A3887">
            <v>45473</v>
          </cell>
          <cell r="B3887">
            <v>3</v>
          </cell>
        </row>
        <row r="3888">
          <cell r="A3888">
            <v>45474</v>
          </cell>
          <cell r="B3888">
            <v>3</v>
          </cell>
        </row>
        <row r="3889">
          <cell r="A3889">
            <v>45475</v>
          </cell>
          <cell r="B3889">
            <v>3</v>
          </cell>
        </row>
        <row r="3890">
          <cell r="A3890">
            <v>45476</v>
          </cell>
          <cell r="B3890">
            <v>3</v>
          </cell>
        </row>
        <row r="3891">
          <cell r="A3891">
            <v>45477</v>
          </cell>
          <cell r="B3891">
            <v>3</v>
          </cell>
        </row>
        <row r="3892">
          <cell r="A3892">
            <v>45478</v>
          </cell>
          <cell r="B3892">
            <v>3</v>
          </cell>
        </row>
        <row r="3893">
          <cell r="A3893">
            <v>45479</v>
          </cell>
          <cell r="B3893">
            <v>3</v>
          </cell>
        </row>
        <row r="3894">
          <cell r="A3894">
            <v>45480</v>
          </cell>
          <cell r="B3894">
            <v>3</v>
          </cell>
        </row>
        <row r="3895">
          <cell r="A3895">
            <v>45481</v>
          </cell>
          <cell r="B3895">
            <v>3</v>
          </cell>
        </row>
        <row r="3896">
          <cell r="A3896">
            <v>45482</v>
          </cell>
          <cell r="B3896">
            <v>3</v>
          </cell>
        </row>
        <row r="3897">
          <cell r="A3897">
            <v>45483</v>
          </cell>
          <cell r="B3897">
            <v>3</v>
          </cell>
        </row>
        <row r="3898">
          <cell r="A3898">
            <v>45484</v>
          </cell>
          <cell r="B3898">
            <v>3</v>
          </cell>
        </row>
        <row r="3899">
          <cell r="A3899">
            <v>45485</v>
          </cell>
          <cell r="B3899">
            <v>3</v>
          </cell>
        </row>
        <row r="3900">
          <cell r="A3900">
            <v>45486</v>
          </cell>
          <cell r="B3900">
            <v>3</v>
          </cell>
        </row>
        <row r="3901">
          <cell r="A3901">
            <v>45487</v>
          </cell>
          <cell r="B3901">
            <v>3</v>
          </cell>
        </row>
        <row r="3902">
          <cell r="A3902">
            <v>45488</v>
          </cell>
          <cell r="B3902">
            <v>3</v>
          </cell>
        </row>
        <row r="3903">
          <cell r="A3903">
            <v>45489</v>
          </cell>
          <cell r="B3903">
            <v>3</v>
          </cell>
        </row>
        <row r="3904">
          <cell r="A3904">
            <v>45490</v>
          </cell>
          <cell r="B3904">
            <v>3</v>
          </cell>
        </row>
        <row r="3905">
          <cell r="A3905">
            <v>45491</v>
          </cell>
          <cell r="B3905">
            <v>3</v>
          </cell>
        </row>
        <row r="3906">
          <cell r="A3906">
            <v>45492</v>
          </cell>
          <cell r="B3906">
            <v>3</v>
          </cell>
        </row>
        <row r="3907">
          <cell r="A3907">
            <v>45493</v>
          </cell>
          <cell r="B3907">
            <v>3</v>
          </cell>
        </row>
        <row r="3908">
          <cell r="A3908">
            <v>45494</v>
          </cell>
          <cell r="B3908">
            <v>3</v>
          </cell>
        </row>
        <row r="3909">
          <cell r="A3909">
            <v>45495</v>
          </cell>
          <cell r="B3909">
            <v>3</v>
          </cell>
        </row>
        <row r="3910">
          <cell r="A3910">
            <v>45496</v>
          </cell>
          <cell r="B3910">
            <v>3</v>
          </cell>
        </row>
        <row r="3911">
          <cell r="A3911">
            <v>45497</v>
          </cell>
          <cell r="B3911">
            <v>3</v>
          </cell>
        </row>
        <row r="3912">
          <cell r="A3912">
            <v>45498</v>
          </cell>
          <cell r="B3912">
            <v>3</v>
          </cell>
        </row>
        <row r="3913">
          <cell r="A3913">
            <v>45499</v>
          </cell>
          <cell r="B3913">
            <v>3</v>
          </cell>
        </row>
        <row r="3914">
          <cell r="A3914">
            <v>45500</v>
          </cell>
          <cell r="B3914">
            <v>3</v>
          </cell>
        </row>
        <row r="3915">
          <cell r="A3915">
            <v>45501</v>
          </cell>
          <cell r="B3915">
            <v>3</v>
          </cell>
        </row>
        <row r="3916">
          <cell r="A3916">
            <v>45502</v>
          </cell>
          <cell r="B3916">
            <v>3</v>
          </cell>
        </row>
        <row r="3917">
          <cell r="A3917">
            <v>45503</v>
          </cell>
          <cell r="B3917">
            <v>3</v>
          </cell>
        </row>
        <row r="3918">
          <cell r="A3918">
            <v>45504</v>
          </cell>
          <cell r="B3918">
            <v>3</v>
          </cell>
        </row>
        <row r="3919">
          <cell r="A3919">
            <v>45505</v>
          </cell>
          <cell r="B3919">
            <v>3</v>
          </cell>
        </row>
        <row r="3920">
          <cell r="A3920">
            <v>45506</v>
          </cell>
          <cell r="B3920">
            <v>3</v>
          </cell>
        </row>
        <row r="3921">
          <cell r="A3921">
            <v>45507</v>
          </cell>
          <cell r="B3921">
            <v>3</v>
          </cell>
        </row>
        <row r="3922">
          <cell r="A3922">
            <v>45508</v>
          </cell>
          <cell r="B3922">
            <v>3</v>
          </cell>
        </row>
        <row r="3923">
          <cell r="A3923">
            <v>45509</v>
          </cell>
          <cell r="B3923">
            <v>3</v>
          </cell>
        </row>
        <row r="3924">
          <cell r="A3924">
            <v>45510</v>
          </cell>
          <cell r="B3924">
            <v>3</v>
          </cell>
        </row>
        <row r="3925">
          <cell r="A3925">
            <v>45511</v>
          </cell>
          <cell r="B3925">
            <v>3</v>
          </cell>
        </row>
        <row r="3926">
          <cell r="A3926">
            <v>45512</v>
          </cell>
          <cell r="B3926">
            <v>3</v>
          </cell>
        </row>
        <row r="3927">
          <cell r="A3927">
            <v>45513</v>
          </cell>
          <cell r="B3927">
            <v>3</v>
          </cell>
        </row>
        <row r="3928">
          <cell r="A3928">
            <v>45514</v>
          </cell>
          <cell r="B3928">
            <v>3</v>
          </cell>
        </row>
        <row r="3929">
          <cell r="A3929">
            <v>45515</v>
          </cell>
          <cell r="B3929">
            <v>3</v>
          </cell>
        </row>
        <row r="3930">
          <cell r="A3930">
            <v>45516</v>
          </cell>
          <cell r="B3930">
            <v>3</v>
          </cell>
        </row>
        <row r="3931">
          <cell r="A3931">
            <v>45517</v>
          </cell>
          <cell r="B3931">
            <v>3</v>
          </cell>
        </row>
        <row r="3932">
          <cell r="A3932">
            <v>45518</v>
          </cell>
          <cell r="B3932">
            <v>3</v>
          </cell>
        </row>
        <row r="3933">
          <cell r="A3933">
            <v>45519</v>
          </cell>
          <cell r="B3933">
            <v>3</v>
          </cell>
        </row>
        <row r="3934">
          <cell r="A3934">
            <v>45520</v>
          </cell>
          <cell r="B3934">
            <v>3</v>
          </cell>
        </row>
        <row r="3935">
          <cell r="A3935">
            <v>45521</v>
          </cell>
          <cell r="B3935">
            <v>3</v>
          </cell>
        </row>
        <row r="3936">
          <cell r="A3936">
            <v>45522</v>
          </cell>
          <cell r="B3936">
            <v>3</v>
          </cell>
        </row>
        <row r="3937">
          <cell r="A3937">
            <v>45523</v>
          </cell>
          <cell r="B3937">
            <v>3</v>
          </cell>
        </row>
        <row r="3938">
          <cell r="A3938">
            <v>45524</v>
          </cell>
          <cell r="B3938">
            <v>3</v>
          </cell>
        </row>
        <row r="3939">
          <cell r="A3939">
            <v>45525</v>
          </cell>
          <cell r="B3939">
            <v>3</v>
          </cell>
        </row>
        <row r="3940">
          <cell r="A3940">
            <v>45526</v>
          </cell>
          <cell r="B3940">
            <v>3</v>
          </cell>
        </row>
        <row r="3941">
          <cell r="A3941">
            <v>45527</v>
          </cell>
          <cell r="B3941">
            <v>3</v>
          </cell>
        </row>
        <row r="3942">
          <cell r="A3942">
            <v>45528</v>
          </cell>
          <cell r="B3942">
            <v>3</v>
          </cell>
        </row>
        <row r="3943">
          <cell r="A3943">
            <v>45529</v>
          </cell>
          <cell r="B3943">
            <v>3</v>
          </cell>
        </row>
        <row r="3944">
          <cell r="A3944">
            <v>45530</v>
          </cell>
          <cell r="B3944">
            <v>3</v>
          </cell>
        </row>
        <row r="3945">
          <cell r="A3945">
            <v>45531</v>
          </cell>
          <cell r="B3945">
            <v>3</v>
          </cell>
        </row>
        <row r="3946">
          <cell r="A3946">
            <v>45532</v>
          </cell>
          <cell r="B3946">
            <v>3</v>
          </cell>
        </row>
        <row r="3947">
          <cell r="A3947">
            <v>45533</v>
          </cell>
          <cell r="B3947">
            <v>3</v>
          </cell>
        </row>
        <row r="3948">
          <cell r="A3948">
            <v>45534</v>
          </cell>
          <cell r="B3948">
            <v>3</v>
          </cell>
        </row>
        <row r="3949">
          <cell r="A3949">
            <v>45535</v>
          </cell>
          <cell r="B3949">
            <v>3</v>
          </cell>
        </row>
        <row r="3950">
          <cell r="A3950">
            <v>45536</v>
          </cell>
          <cell r="B3950">
            <v>3</v>
          </cell>
        </row>
        <row r="3951">
          <cell r="A3951">
            <v>45537</v>
          </cell>
          <cell r="B3951">
            <v>3</v>
          </cell>
        </row>
        <row r="3952">
          <cell r="A3952">
            <v>45538</v>
          </cell>
          <cell r="B3952">
            <v>3</v>
          </cell>
        </row>
        <row r="3953">
          <cell r="A3953">
            <v>45539</v>
          </cell>
          <cell r="B3953">
            <v>3</v>
          </cell>
        </row>
        <row r="3954">
          <cell r="A3954">
            <v>45540</v>
          </cell>
          <cell r="B3954">
            <v>3</v>
          </cell>
        </row>
        <row r="3955">
          <cell r="A3955">
            <v>45541</v>
          </cell>
          <cell r="B3955">
            <v>3</v>
          </cell>
        </row>
        <row r="3956">
          <cell r="A3956">
            <v>45542</v>
          </cell>
          <cell r="B3956">
            <v>3</v>
          </cell>
        </row>
        <row r="3957">
          <cell r="A3957">
            <v>45543</v>
          </cell>
          <cell r="B3957">
            <v>3</v>
          </cell>
        </row>
        <row r="3958">
          <cell r="A3958">
            <v>45544</v>
          </cell>
          <cell r="B3958">
            <v>3</v>
          </cell>
        </row>
        <row r="3959">
          <cell r="A3959">
            <v>45545</v>
          </cell>
          <cell r="B3959">
            <v>3</v>
          </cell>
        </row>
        <row r="3960">
          <cell r="A3960">
            <v>45546</v>
          </cell>
          <cell r="B3960">
            <v>3</v>
          </cell>
        </row>
        <row r="3961">
          <cell r="A3961">
            <v>45547</v>
          </cell>
          <cell r="B3961">
            <v>3</v>
          </cell>
        </row>
        <row r="3962">
          <cell r="A3962">
            <v>45548</v>
          </cell>
          <cell r="B3962">
            <v>3</v>
          </cell>
        </row>
        <row r="3963">
          <cell r="A3963">
            <v>45549</v>
          </cell>
          <cell r="B3963">
            <v>3</v>
          </cell>
        </row>
        <row r="3964">
          <cell r="A3964">
            <v>45550</v>
          </cell>
          <cell r="B3964">
            <v>3</v>
          </cell>
        </row>
        <row r="3965">
          <cell r="A3965">
            <v>45551</v>
          </cell>
          <cell r="B3965">
            <v>3</v>
          </cell>
        </row>
        <row r="3966">
          <cell r="A3966">
            <v>45552</v>
          </cell>
          <cell r="B3966">
            <v>3</v>
          </cell>
        </row>
        <row r="3967">
          <cell r="A3967">
            <v>45553</v>
          </cell>
          <cell r="B3967">
            <v>3</v>
          </cell>
        </row>
        <row r="3968">
          <cell r="A3968">
            <v>45554</v>
          </cell>
          <cell r="B3968">
            <v>3</v>
          </cell>
        </row>
        <row r="3969">
          <cell r="A3969">
            <v>45555</v>
          </cell>
          <cell r="B3969">
            <v>3</v>
          </cell>
        </row>
        <row r="3970">
          <cell r="A3970">
            <v>45556</v>
          </cell>
          <cell r="B3970">
            <v>3</v>
          </cell>
        </row>
        <row r="3971">
          <cell r="A3971">
            <v>45557</v>
          </cell>
          <cell r="B3971">
            <v>3</v>
          </cell>
        </row>
        <row r="3972">
          <cell r="A3972">
            <v>45558</v>
          </cell>
          <cell r="B3972">
            <v>3</v>
          </cell>
        </row>
        <row r="3973">
          <cell r="A3973">
            <v>45559</v>
          </cell>
          <cell r="B3973">
            <v>3</v>
          </cell>
        </row>
        <row r="3974">
          <cell r="A3974">
            <v>45560</v>
          </cell>
          <cell r="B3974">
            <v>3</v>
          </cell>
        </row>
        <row r="3975">
          <cell r="A3975">
            <v>45561</v>
          </cell>
          <cell r="B3975">
            <v>3</v>
          </cell>
        </row>
        <row r="3976">
          <cell r="A3976">
            <v>45562</v>
          </cell>
          <cell r="B3976">
            <v>3</v>
          </cell>
        </row>
        <row r="3977">
          <cell r="A3977">
            <v>45563</v>
          </cell>
          <cell r="B3977">
            <v>3</v>
          </cell>
        </row>
        <row r="3978">
          <cell r="A3978">
            <v>45564</v>
          </cell>
          <cell r="B3978">
            <v>3</v>
          </cell>
        </row>
        <row r="3979">
          <cell r="A3979">
            <v>45565</v>
          </cell>
          <cell r="B3979">
            <v>3</v>
          </cell>
        </row>
        <row r="3980">
          <cell r="A3980">
            <v>45566</v>
          </cell>
          <cell r="B3980">
            <v>3</v>
          </cell>
        </row>
        <row r="3981">
          <cell r="A3981">
            <v>45567</v>
          </cell>
          <cell r="B3981">
            <v>3</v>
          </cell>
        </row>
        <row r="3982">
          <cell r="A3982">
            <v>45568</v>
          </cell>
          <cell r="B3982">
            <v>3</v>
          </cell>
        </row>
        <row r="3983">
          <cell r="A3983">
            <v>45569</v>
          </cell>
          <cell r="B3983">
            <v>3</v>
          </cell>
        </row>
        <row r="3984">
          <cell r="A3984">
            <v>45570</v>
          </cell>
          <cell r="B3984">
            <v>3</v>
          </cell>
        </row>
        <row r="3985">
          <cell r="A3985">
            <v>45571</v>
          </cell>
          <cell r="B3985">
            <v>3</v>
          </cell>
        </row>
        <row r="3986">
          <cell r="A3986">
            <v>45572</v>
          </cell>
          <cell r="B3986">
            <v>3</v>
          </cell>
        </row>
        <row r="3987">
          <cell r="A3987">
            <v>45573</v>
          </cell>
          <cell r="B3987">
            <v>3</v>
          </cell>
        </row>
        <row r="3988">
          <cell r="A3988">
            <v>45574</v>
          </cell>
          <cell r="B3988">
            <v>3</v>
          </cell>
        </row>
        <row r="3989">
          <cell r="A3989">
            <v>45575</v>
          </cell>
          <cell r="B3989">
            <v>3</v>
          </cell>
        </row>
        <row r="3990">
          <cell r="A3990">
            <v>45576</v>
          </cell>
          <cell r="B3990">
            <v>3</v>
          </cell>
        </row>
        <row r="3991">
          <cell r="A3991">
            <v>45577</v>
          </cell>
          <cell r="B3991">
            <v>3</v>
          </cell>
        </row>
        <row r="3992">
          <cell r="A3992">
            <v>45578</v>
          </cell>
          <cell r="B3992">
            <v>3</v>
          </cell>
        </row>
        <row r="3993">
          <cell r="A3993">
            <v>45579</v>
          </cell>
          <cell r="B3993">
            <v>3</v>
          </cell>
        </row>
        <row r="3994">
          <cell r="A3994">
            <v>45580</v>
          </cell>
          <cell r="B3994">
            <v>3</v>
          </cell>
        </row>
        <row r="3995">
          <cell r="A3995">
            <v>45581</v>
          </cell>
          <cell r="B3995">
            <v>3</v>
          </cell>
        </row>
        <row r="3996">
          <cell r="A3996">
            <v>45582</v>
          </cell>
          <cell r="B3996">
            <v>3</v>
          </cell>
        </row>
        <row r="3997">
          <cell r="A3997">
            <v>45583</v>
          </cell>
          <cell r="B3997">
            <v>3</v>
          </cell>
        </row>
        <row r="3998">
          <cell r="A3998">
            <v>45584</v>
          </cell>
          <cell r="B3998">
            <v>3</v>
          </cell>
        </row>
        <row r="3999">
          <cell r="A3999">
            <v>45585</v>
          </cell>
          <cell r="B3999">
            <v>3</v>
          </cell>
        </row>
        <row r="4000">
          <cell r="A4000">
            <v>45586</v>
          </cell>
          <cell r="B4000">
            <v>3</v>
          </cell>
        </row>
        <row r="4001">
          <cell r="A4001">
            <v>45587</v>
          </cell>
          <cell r="B4001">
            <v>3</v>
          </cell>
        </row>
        <row r="4002">
          <cell r="A4002">
            <v>45588</v>
          </cell>
          <cell r="B4002">
            <v>3</v>
          </cell>
        </row>
        <row r="4003">
          <cell r="A4003">
            <v>45589</v>
          </cell>
          <cell r="B4003">
            <v>3</v>
          </cell>
        </row>
        <row r="4004">
          <cell r="A4004">
            <v>45590</v>
          </cell>
          <cell r="B4004">
            <v>3</v>
          </cell>
        </row>
        <row r="4005">
          <cell r="A4005">
            <v>45591</v>
          </cell>
          <cell r="B4005">
            <v>3</v>
          </cell>
        </row>
        <row r="4006">
          <cell r="A4006">
            <v>45592</v>
          </cell>
          <cell r="B4006">
            <v>3</v>
          </cell>
        </row>
        <row r="4007">
          <cell r="A4007">
            <v>45593</v>
          </cell>
          <cell r="B4007">
            <v>3</v>
          </cell>
        </row>
        <row r="4008">
          <cell r="A4008">
            <v>45594</v>
          </cell>
          <cell r="B4008">
            <v>3</v>
          </cell>
        </row>
        <row r="4009">
          <cell r="A4009">
            <v>45595</v>
          </cell>
          <cell r="B4009">
            <v>3</v>
          </cell>
        </row>
        <row r="4010">
          <cell r="A4010">
            <v>45596</v>
          </cell>
          <cell r="B4010">
            <v>3</v>
          </cell>
        </row>
        <row r="4011">
          <cell r="A4011">
            <v>45597</v>
          </cell>
          <cell r="B4011">
            <v>3</v>
          </cell>
        </row>
        <row r="4012">
          <cell r="A4012">
            <v>45598</v>
          </cell>
          <cell r="B4012">
            <v>3</v>
          </cell>
        </row>
        <row r="4013">
          <cell r="A4013">
            <v>45599</v>
          </cell>
          <cell r="B4013">
            <v>3</v>
          </cell>
        </row>
        <row r="4014">
          <cell r="A4014">
            <v>45600</v>
          </cell>
          <cell r="B4014">
            <v>3</v>
          </cell>
        </row>
        <row r="4015">
          <cell r="A4015">
            <v>45601</v>
          </cell>
          <cell r="B4015">
            <v>3</v>
          </cell>
        </row>
        <row r="4016">
          <cell r="A4016">
            <v>45602</v>
          </cell>
          <cell r="B4016">
            <v>3</v>
          </cell>
        </row>
        <row r="4017">
          <cell r="A4017">
            <v>45603</v>
          </cell>
          <cell r="B4017">
            <v>3</v>
          </cell>
        </row>
        <row r="4018">
          <cell r="A4018">
            <v>45604</v>
          </cell>
          <cell r="B4018">
            <v>3</v>
          </cell>
        </row>
        <row r="4019">
          <cell r="A4019">
            <v>45605</v>
          </cell>
          <cell r="B4019">
            <v>3</v>
          </cell>
        </row>
        <row r="4020">
          <cell r="A4020">
            <v>45606</v>
          </cell>
          <cell r="B4020">
            <v>3</v>
          </cell>
        </row>
        <row r="4021">
          <cell r="A4021">
            <v>45607</v>
          </cell>
          <cell r="B4021">
            <v>3</v>
          </cell>
        </row>
        <row r="4022">
          <cell r="A4022">
            <v>45608</v>
          </cell>
          <cell r="B4022">
            <v>3</v>
          </cell>
        </row>
        <row r="4023">
          <cell r="A4023">
            <v>45609</v>
          </cell>
          <cell r="B4023">
            <v>3</v>
          </cell>
        </row>
        <row r="4024">
          <cell r="A4024">
            <v>45610</v>
          </cell>
          <cell r="B4024">
            <v>3</v>
          </cell>
        </row>
        <row r="4025">
          <cell r="A4025">
            <v>45611</v>
          </cell>
          <cell r="B4025">
            <v>3</v>
          </cell>
        </row>
        <row r="4026">
          <cell r="A4026">
            <v>45612</v>
          </cell>
          <cell r="B4026">
            <v>3</v>
          </cell>
        </row>
        <row r="4027">
          <cell r="A4027">
            <v>45613</v>
          </cell>
          <cell r="B4027">
            <v>3</v>
          </cell>
        </row>
        <row r="4028">
          <cell r="A4028">
            <v>45614</v>
          </cell>
          <cell r="B4028">
            <v>3</v>
          </cell>
        </row>
        <row r="4029">
          <cell r="A4029">
            <v>45615</v>
          </cell>
          <cell r="B4029">
            <v>3</v>
          </cell>
        </row>
        <row r="4030">
          <cell r="A4030">
            <v>45616</v>
          </cell>
          <cell r="B4030">
            <v>3</v>
          </cell>
        </row>
        <row r="4031">
          <cell r="A4031">
            <v>45617</v>
          </cell>
          <cell r="B4031">
            <v>3</v>
          </cell>
        </row>
        <row r="4032">
          <cell r="A4032">
            <v>45618</v>
          </cell>
          <cell r="B4032">
            <v>3</v>
          </cell>
        </row>
        <row r="4033">
          <cell r="A4033">
            <v>45619</v>
          </cell>
          <cell r="B4033">
            <v>3</v>
          </cell>
        </row>
        <row r="4034">
          <cell r="A4034">
            <v>45620</v>
          </cell>
          <cell r="B4034">
            <v>3</v>
          </cell>
        </row>
        <row r="4035">
          <cell r="A4035">
            <v>45621</v>
          </cell>
          <cell r="B4035">
            <v>3</v>
          </cell>
        </row>
        <row r="4036">
          <cell r="A4036">
            <v>45622</v>
          </cell>
          <cell r="B4036">
            <v>3</v>
          </cell>
        </row>
        <row r="4037">
          <cell r="A4037">
            <v>45623</v>
          </cell>
          <cell r="B4037">
            <v>3</v>
          </cell>
        </row>
        <row r="4038">
          <cell r="A4038">
            <v>45624</v>
          </cell>
          <cell r="B4038">
            <v>3</v>
          </cell>
        </row>
        <row r="4039">
          <cell r="A4039">
            <v>45625</v>
          </cell>
          <cell r="B4039">
            <v>3</v>
          </cell>
        </row>
        <row r="4040">
          <cell r="A4040">
            <v>45626</v>
          </cell>
          <cell r="B4040">
            <v>3</v>
          </cell>
        </row>
        <row r="4041">
          <cell r="A4041">
            <v>45627</v>
          </cell>
          <cell r="B4041">
            <v>3</v>
          </cell>
        </row>
        <row r="4042">
          <cell r="A4042">
            <v>45628</v>
          </cell>
          <cell r="B4042">
            <v>3</v>
          </cell>
        </row>
        <row r="4043">
          <cell r="A4043">
            <v>45629</v>
          </cell>
          <cell r="B4043">
            <v>3</v>
          </cell>
        </row>
        <row r="4044">
          <cell r="A4044">
            <v>45630</v>
          </cell>
          <cell r="B4044">
            <v>3</v>
          </cell>
        </row>
        <row r="4045">
          <cell r="A4045">
            <v>45631</v>
          </cell>
          <cell r="B4045">
            <v>3</v>
          </cell>
        </row>
        <row r="4046">
          <cell r="A4046">
            <v>45632</v>
          </cell>
          <cell r="B4046">
            <v>3</v>
          </cell>
        </row>
        <row r="4047">
          <cell r="A4047">
            <v>45633</v>
          </cell>
          <cell r="B4047">
            <v>3</v>
          </cell>
        </row>
        <row r="4048">
          <cell r="A4048">
            <v>45634</v>
          </cell>
          <cell r="B4048">
            <v>3</v>
          </cell>
        </row>
        <row r="4049">
          <cell r="A4049">
            <v>45635</v>
          </cell>
          <cell r="B4049">
            <v>3</v>
          </cell>
        </row>
        <row r="4050">
          <cell r="A4050">
            <v>45636</v>
          </cell>
          <cell r="B4050">
            <v>3</v>
          </cell>
        </row>
        <row r="4051">
          <cell r="A4051">
            <v>45637</v>
          </cell>
          <cell r="B4051">
            <v>3</v>
          </cell>
        </row>
        <row r="4052">
          <cell r="A4052">
            <v>45638</v>
          </cell>
          <cell r="B4052">
            <v>3</v>
          </cell>
        </row>
        <row r="4053">
          <cell r="A4053">
            <v>45639</v>
          </cell>
          <cell r="B4053">
            <v>3</v>
          </cell>
        </row>
        <row r="4054">
          <cell r="A4054">
            <v>45640</v>
          </cell>
          <cell r="B4054">
            <v>3</v>
          </cell>
        </row>
        <row r="4055">
          <cell r="A4055">
            <v>45641</v>
          </cell>
          <cell r="B4055">
            <v>3</v>
          </cell>
        </row>
        <row r="4056">
          <cell r="A4056">
            <v>45642</v>
          </cell>
          <cell r="B4056">
            <v>3</v>
          </cell>
        </row>
        <row r="4057">
          <cell r="A4057">
            <v>45643</v>
          </cell>
          <cell r="B4057">
            <v>3</v>
          </cell>
        </row>
        <row r="4058">
          <cell r="A4058">
            <v>45644</v>
          </cell>
          <cell r="B4058">
            <v>3</v>
          </cell>
        </row>
        <row r="4059">
          <cell r="A4059">
            <v>45645</v>
          </cell>
          <cell r="B4059">
            <v>3</v>
          </cell>
        </row>
        <row r="4060">
          <cell r="A4060">
            <v>45646</v>
          </cell>
          <cell r="B4060">
            <v>3</v>
          </cell>
        </row>
        <row r="4061">
          <cell r="A4061">
            <v>45647</v>
          </cell>
          <cell r="B4061">
            <v>3</v>
          </cell>
        </row>
        <row r="4062">
          <cell r="A4062">
            <v>45648</v>
          </cell>
          <cell r="B4062">
            <v>3</v>
          </cell>
        </row>
        <row r="4063">
          <cell r="A4063">
            <v>45649</v>
          </cell>
          <cell r="B4063">
            <v>3</v>
          </cell>
        </row>
        <row r="4064">
          <cell r="A4064">
            <v>45650</v>
          </cell>
          <cell r="B4064">
            <v>3</v>
          </cell>
        </row>
        <row r="4065">
          <cell r="A4065">
            <v>45651</v>
          </cell>
          <cell r="B4065">
            <v>3</v>
          </cell>
        </row>
        <row r="4066">
          <cell r="A4066">
            <v>45652</v>
          </cell>
          <cell r="B4066">
            <v>3</v>
          </cell>
        </row>
        <row r="4067">
          <cell r="A4067">
            <v>45653</v>
          </cell>
          <cell r="B4067">
            <v>3</v>
          </cell>
        </row>
        <row r="4068">
          <cell r="A4068">
            <v>45654</v>
          </cell>
          <cell r="B4068">
            <v>3</v>
          </cell>
        </row>
        <row r="4069">
          <cell r="A4069">
            <v>45655</v>
          </cell>
          <cell r="B4069">
            <v>3</v>
          </cell>
        </row>
        <row r="4070">
          <cell r="A4070">
            <v>45656</v>
          </cell>
          <cell r="B4070">
            <v>3</v>
          </cell>
        </row>
        <row r="4071">
          <cell r="A4071">
            <v>45657</v>
          </cell>
          <cell r="B4071">
            <v>3</v>
          </cell>
        </row>
        <row r="4072">
          <cell r="A4072">
            <v>45658</v>
          </cell>
          <cell r="B4072">
            <v>3</v>
          </cell>
        </row>
        <row r="4073">
          <cell r="A4073">
            <v>45659</v>
          </cell>
          <cell r="B4073">
            <v>3</v>
          </cell>
        </row>
        <row r="4074">
          <cell r="A4074">
            <v>45660</v>
          </cell>
          <cell r="B4074">
            <v>3</v>
          </cell>
        </row>
        <row r="4075">
          <cell r="A4075">
            <v>45661</v>
          </cell>
          <cell r="B4075">
            <v>3</v>
          </cell>
        </row>
        <row r="4076">
          <cell r="A4076">
            <v>45662</v>
          </cell>
          <cell r="B4076">
            <v>3</v>
          </cell>
        </row>
        <row r="4077">
          <cell r="A4077">
            <v>45663</v>
          </cell>
          <cell r="B4077">
            <v>3</v>
          </cell>
        </row>
        <row r="4078">
          <cell r="A4078">
            <v>45664</v>
          </cell>
          <cell r="B4078">
            <v>3</v>
          </cell>
        </row>
        <row r="4079">
          <cell r="A4079">
            <v>45665</v>
          </cell>
          <cell r="B4079">
            <v>3</v>
          </cell>
        </row>
        <row r="4080">
          <cell r="A4080">
            <v>45666</v>
          </cell>
          <cell r="B4080">
            <v>3</v>
          </cell>
        </row>
        <row r="4081">
          <cell r="A4081">
            <v>45667</v>
          </cell>
          <cell r="B4081">
            <v>3</v>
          </cell>
        </row>
        <row r="4082">
          <cell r="A4082">
            <v>45668</v>
          </cell>
          <cell r="B4082">
            <v>3</v>
          </cell>
        </row>
        <row r="4083">
          <cell r="A4083">
            <v>45669</v>
          </cell>
          <cell r="B4083">
            <v>3</v>
          </cell>
        </row>
        <row r="4084">
          <cell r="A4084">
            <v>45670</v>
          </cell>
          <cell r="B4084">
            <v>3</v>
          </cell>
        </row>
        <row r="4085">
          <cell r="A4085">
            <v>45671</v>
          </cell>
          <cell r="B4085">
            <v>3</v>
          </cell>
        </row>
        <row r="4086">
          <cell r="A4086">
            <v>45672</v>
          </cell>
          <cell r="B4086">
            <v>3</v>
          </cell>
        </row>
        <row r="4087">
          <cell r="A4087">
            <v>45673</v>
          </cell>
          <cell r="B4087">
            <v>3</v>
          </cell>
        </row>
        <row r="4088">
          <cell r="A4088">
            <v>45674</v>
          </cell>
          <cell r="B4088">
            <v>3</v>
          </cell>
        </row>
        <row r="4089">
          <cell r="A4089">
            <v>45675</v>
          </cell>
          <cell r="B4089">
            <v>3</v>
          </cell>
        </row>
        <row r="4090">
          <cell r="A4090">
            <v>45676</v>
          </cell>
          <cell r="B4090">
            <v>3</v>
          </cell>
        </row>
        <row r="4091">
          <cell r="A4091">
            <v>45677</v>
          </cell>
          <cell r="B4091">
            <v>3</v>
          </cell>
        </row>
        <row r="4092">
          <cell r="A4092">
            <v>45678</v>
          </cell>
          <cell r="B4092">
            <v>3</v>
          </cell>
        </row>
        <row r="4093">
          <cell r="A4093">
            <v>45679</v>
          </cell>
          <cell r="B4093">
            <v>3</v>
          </cell>
        </row>
        <row r="4094">
          <cell r="A4094">
            <v>45680</v>
          </cell>
          <cell r="B4094">
            <v>3</v>
          </cell>
        </row>
        <row r="4095">
          <cell r="A4095">
            <v>45681</v>
          </cell>
          <cell r="B4095">
            <v>3</v>
          </cell>
        </row>
        <row r="4096">
          <cell r="A4096">
            <v>45682</v>
          </cell>
          <cell r="B4096">
            <v>3</v>
          </cell>
        </row>
        <row r="4097">
          <cell r="A4097">
            <v>45683</v>
          </cell>
          <cell r="B4097">
            <v>3</v>
          </cell>
        </row>
        <row r="4098">
          <cell r="A4098">
            <v>45684</v>
          </cell>
          <cell r="B4098">
            <v>3</v>
          </cell>
        </row>
        <row r="4099">
          <cell r="A4099">
            <v>45685</v>
          </cell>
          <cell r="B4099">
            <v>3</v>
          </cell>
        </row>
        <row r="4100">
          <cell r="A4100">
            <v>45686</v>
          </cell>
          <cell r="B4100">
            <v>3</v>
          </cell>
        </row>
        <row r="4101">
          <cell r="A4101">
            <v>45687</v>
          </cell>
          <cell r="B4101">
            <v>3</v>
          </cell>
        </row>
        <row r="4102">
          <cell r="A4102">
            <v>45688</v>
          </cell>
          <cell r="B4102">
            <v>3</v>
          </cell>
        </row>
        <row r="4103">
          <cell r="A4103">
            <v>45689</v>
          </cell>
          <cell r="B4103">
            <v>3</v>
          </cell>
        </row>
        <row r="4104">
          <cell r="A4104">
            <v>45690</v>
          </cell>
          <cell r="B4104">
            <v>3</v>
          </cell>
        </row>
        <row r="4105">
          <cell r="A4105">
            <v>45691</v>
          </cell>
          <cell r="B4105">
            <v>3</v>
          </cell>
        </row>
        <row r="4106">
          <cell r="A4106">
            <v>45692</v>
          </cell>
          <cell r="B4106">
            <v>3</v>
          </cell>
        </row>
        <row r="4107">
          <cell r="A4107">
            <v>45693</v>
          </cell>
          <cell r="B4107">
            <v>3</v>
          </cell>
        </row>
        <row r="4108">
          <cell r="A4108">
            <v>45694</v>
          </cell>
          <cell r="B4108">
            <v>3</v>
          </cell>
        </row>
        <row r="4109">
          <cell r="A4109">
            <v>45695</v>
          </cell>
          <cell r="B4109">
            <v>3</v>
          </cell>
        </row>
        <row r="4110">
          <cell r="A4110">
            <v>45696</v>
          </cell>
          <cell r="B4110">
            <v>3</v>
          </cell>
        </row>
        <row r="4111">
          <cell r="A4111">
            <v>45697</v>
          </cell>
          <cell r="B4111">
            <v>3</v>
          </cell>
        </row>
        <row r="4112">
          <cell r="A4112">
            <v>45698</v>
          </cell>
          <cell r="B4112">
            <v>3</v>
          </cell>
        </row>
        <row r="4113">
          <cell r="A4113">
            <v>45699</v>
          </cell>
          <cell r="B4113">
            <v>3</v>
          </cell>
        </row>
        <row r="4114">
          <cell r="A4114">
            <v>45700</v>
          </cell>
          <cell r="B4114">
            <v>3</v>
          </cell>
        </row>
        <row r="4115">
          <cell r="A4115">
            <v>45701</v>
          </cell>
          <cell r="B4115">
            <v>3</v>
          </cell>
        </row>
        <row r="4116">
          <cell r="A4116">
            <v>45702</v>
          </cell>
          <cell r="B4116">
            <v>3</v>
          </cell>
        </row>
        <row r="4117">
          <cell r="A4117">
            <v>45703</v>
          </cell>
          <cell r="B4117">
            <v>3</v>
          </cell>
        </row>
        <row r="4118">
          <cell r="A4118">
            <v>45704</v>
          </cell>
          <cell r="B4118">
            <v>3</v>
          </cell>
        </row>
        <row r="4119">
          <cell r="A4119">
            <v>45705</v>
          </cell>
          <cell r="B4119">
            <v>3</v>
          </cell>
        </row>
        <row r="4120">
          <cell r="A4120">
            <v>45706</v>
          </cell>
          <cell r="B4120">
            <v>3</v>
          </cell>
        </row>
        <row r="4121">
          <cell r="A4121">
            <v>45707</v>
          </cell>
          <cell r="B4121">
            <v>3</v>
          </cell>
        </row>
        <row r="4122">
          <cell r="A4122">
            <v>45708</v>
          </cell>
          <cell r="B4122">
            <v>3</v>
          </cell>
        </row>
        <row r="4123">
          <cell r="A4123">
            <v>45709</v>
          </cell>
          <cell r="B4123">
            <v>3</v>
          </cell>
        </row>
        <row r="4124">
          <cell r="A4124">
            <v>45710</v>
          </cell>
          <cell r="B4124">
            <v>3</v>
          </cell>
        </row>
        <row r="4125">
          <cell r="A4125">
            <v>45711</v>
          </cell>
          <cell r="B4125">
            <v>3</v>
          </cell>
        </row>
        <row r="4126">
          <cell r="A4126">
            <v>45712</v>
          </cell>
          <cell r="B4126">
            <v>3</v>
          </cell>
        </row>
        <row r="4127">
          <cell r="A4127">
            <v>45713</v>
          </cell>
          <cell r="B4127">
            <v>3</v>
          </cell>
        </row>
        <row r="4128">
          <cell r="A4128">
            <v>45714</v>
          </cell>
          <cell r="B4128">
            <v>3</v>
          </cell>
        </row>
        <row r="4129">
          <cell r="A4129">
            <v>45715</v>
          </cell>
          <cell r="B4129">
            <v>3</v>
          </cell>
        </row>
        <row r="4130">
          <cell r="A4130">
            <v>45716</v>
          </cell>
          <cell r="B4130">
            <v>3</v>
          </cell>
        </row>
        <row r="4131">
          <cell r="A4131">
            <v>45717</v>
          </cell>
          <cell r="B4131">
            <v>3</v>
          </cell>
        </row>
        <row r="4132">
          <cell r="A4132">
            <v>45718</v>
          </cell>
          <cell r="B4132">
            <v>3</v>
          </cell>
        </row>
        <row r="4133">
          <cell r="A4133">
            <v>45719</v>
          </cell>
          <cell r="B4133">
            <v>3</v>
          </cell>
        </row>
        <row r="4134">
          <cell r="A4134">
            <v>45720</v>
          </cell>
          <cell r="B4134">
            <v>3</v>
          </cell>
        </row>
        <row r="4135">
          <cell r="A4135">
            <v>45721</v>
          </cell>
          <cell r="B4135">
            <v>3</v>
          </cell>
        </row>
        <row r="4136">
          <cell r="A4136">
            <v>45722</v>
          </cell>
          <cell r="B4136">
            <v>3</v>
          </cell>
        </row>
        <row r="4137">
          <cell r="A4137">
            <v>45723</v>
          </cell>
          <cell r="B4137">
            <v>3</v>
          </cell>
        </row>
        <row r="4138">
          <cell r="A4138">
            <v>45724</v>
          </cell>
          <cell r="B4138">
            <v>3</v>
          </cell>
        </row>
        <row r="4139">
          <cell r="A4139">
            <v>45725</v>
          </cell>
          <cell r="B4139">
            <v>3</v>
          </cell>
        </row>
        <row r="4140">
          <cell r="A4140">
            <v>45726</v>
          </cell>
          <cell r="B4140">
            <v>3</v>
          </cell>
        </row>
        <row r="4141">
          <cell r="A4141">
            <v>45727</v>
          </cell>
          <cell r="B4141">
            <v>3</v>
          </cell>
        </row>
        <row r="4142">
          <cell r="A4142">
            <v>45728</v>
          </cell>
          <cell r="B4142">
            <v>3</v>
          </cell>
        </row>
        <row r="4143">
          <cell r="A4143">
            <v>45729</v>
          </cell>
          <cell r="B4143">
            <v>3</v>
          </cell>
        </row>
        <row r="4144">
          <cell r="A4144">
            <v>45730</v>
          </cell>
          <cell r="B4144">
            <v>3</v>
          </cell>
        </row>
        <row r="4145">
          <cell r="A4145">
            <v>45731</v>
          </cell>
          <cell r="B4145">
            <v>3</v>
          </cell>
        </row>
        <row r="4146">
          <cell r="A4146">
            <v>45732</v>
          </cell>
          <cell r="B4146">
            <v>3</v>
          </cell>
        </row>
        <row r="4147">
          <cell r="A4147">
            <v>45733</v>
          </cell>
          <cell r="B4147">
            <v>3</v>
          </cell>
        </row>
        <row r="4148">
          <cell r="A4148">
            <v>45734</v>
          </cell>
          <cell r="B4148">
            <v>3</v>
          </cell>
        </row>
        <row r="4149">
          <cell r="A4149">
            <v>45735</v>
          </cell>
          <cell r="B4149">
            <v>3</v>
          </cell>
        </row>
        <row r="4150">
          <cell r="A4150">
            <v>45736</v>
          </cell>
          <cell r="B4150">
            <v>3</v>
          </cell>
        </row>
        <row r="4151">
          <cell r="A4151">
            <v>45737</v>
          </cell>
          <cell r="B4151">
            <v>3</v>
          </cell>
        </row>
        <row r="4152">
          <cell r="A4152">
            <v>45738</v>
          </cell>
          <cell r="B4152">
            <v>3</v>
          </cell>
        </row>
        <row r="4153">
          <cell r="A4153">
            <v>45739</v>
          </cell>
          <cell r="B4153">
            <v>3</v>
          </cell>
        </row>
        <row r="4154">
          <cell r="A4154">
            <v>45740</v>
          </cell>
          <cell r="B4154">
            <v>3</v>
          </cell>
        </row>
        <row r="4155">
          <cell r="A4155">
            <v>45741</v>
          </cell>
          <cell r="B4155">
            <v>3</v>
          </cell>
        </row>
        <row r="4156">
          <cell r="A4156">
            <v>45742</v>
          </cell>
          <cell r="B4156">
            <v>3</v>
          </cell>
        </row>
        <row r="4157">
          <cell r="A4157">
            <v>45743</v>
          </cell>
          <cell r="B4157">
            <v>3</v>
          </cell>
        </row>
        <row r="4158">
          <cell r="A4158">
            <v>45744</v>
          </cell>
          <cell r="B4158">
            <v>3</v>
          </cell>
        </row>
        <row r="4159">
          <cell r="A4159">
            <v>45745</v>
          </cell>
          <cell r="B4159">
            <v>3</v>
          </cell>
        </row>
        <row r="4160">
          <cell r="A4160">
            <v>45746</v>
          </cell>
          <cell r="B4160">
            <v>3</v>
          </cell>
        </row>
        <row r="4161">
          <cell r="A4161">
            <v>45747</v>
          </cell>
          <cell r="B4161">
            <v>3</v>
          </cell>
        </row>
        <row r="4162">
          <cell r="A4162">
            <v>45748</v>
          </cell>
          <cell r="B4162">
            <v>3</v>
          </cell>
        </row>
        <row r="4163">
          <cell r="A4163">
            <v>45749</v>
          </cell>
          <cell r="B4163">
            <v>3</v>
          </cell>
        </row>
        <row r="4164">
          <cell r="A4164">
            <v>45750</v>
          </cell>
          <cell r="B4164">
            <v>3</v>
          </cell>
        </row>
        <row r="4165">
          <cell r="A4165">
            <v>45751</v>
          </cell>
          <cell r="B4165">
            <v>3</v>
          </cell>
        </row>
        <row r="4166">
          <cell r="A4166">
            <v>45752</v>
          </cell>
          <cell r="B4166">
            <v>3</v>
          </cell>
        </row>
        <row r="4167">
          <cell r="A4167">
            <v>45753</v>
          </cell>
          <cell r="B4167">
            <v>3</v>
          </cell>
        </row>
        <row r="4168">
          <cell r="A4168">
            <v>45754</v>
          </cell>
          <cell r="B4168">
            <v>3</v>
          </cell>
        </row>
        <row r="4169">
          <cell r="A4169">
            <v>45755</v>
          </cell>
          <cell r="B4169">
            <v>3</v>
          </cell>
        </row>
        <row r="4170">
          <cell r="A4170">
            <v>45756</v>
          </cell>
          <cell r="B4170">
            <v>3</v>
          </cell>
        </row>
        <row r="4171">
          <cell r="A4171">
            <v>45757</v>
          </cell>
          <cell r="B4171">
            <v>3</v>
          </cell>
        </row>
        <row r="4172">
          <cell r="A4172">
            <v>45758</v>
          </cell>
          <cell r="B4172">
            <v>3</v>
          </cell>
        </row>
        <row r="4173">
          <cell r="A4173">
            <v>45759</v>
          </cell>
          <cell r="B4173">
            <v>3</v>
          </cell>
        </row>
        <row r="4174">
          <cell r="A4174">
            <v>45760</v>
          </cell>
          <cell r="B4174">
            <v>3</v>
          </cell>
        </row>
        <row r="4175">
          <cell r="A4175">
            <v>45761</v>
          </cell>
          <cell r="B4175">
            <v>3</v>
          </cell>
        </row>
        <row r="4176">
          <cell r="A4176">
            <v>45762</v>
          </cell>
          <cell r="B4176">
            <v>3</v>
          </cell>
        </row>
        <row r="4177">
          <cell r="A4177">
            <v>45763</v>
          </cell>
          <cell r="B4177">
            <v>3</v>
          </cell>
        </row>
        <row r="4178">
          <cell r="A4178">
            <v>45764</v>
          </cell>
          <cell r="B4178">
            <v>3</v>
          </cell>
        </row>
        <row r="4179">
          <cell r="A4179">
            <v>45765</v>
          </cell>
          <cell r="B4179">
            <v>3</v>
          </cell>
        </row>
        <row r="4180">
          <cell r="A4180">
            <v>45766</v>
          </cell>
          <cell r="B4180">
            <v>3</v>
          </cell>
        </row>
        <row r="4181">
          <cell r="A4181">
            <v>45767</v>
          </cell>
          <cell r="B4181">
            <v>3</v>
          </cell>
        </row>
        <row r="4182">
          <cell r="A4182">
            <v>45768</v>
          </cell>
          <cell r="B4182">
            <v>3</v>
          </cell>
        </row>
        <row r="4183">
          <cell r="A4183">
            <v>45769</v>
          </cell>
          <cell r="B4183">
            <v>3</v>
          </cell>
        </row>
        <row r="4184">
          <cell r="A4184">
            <v>45770</v>
          </cell>
          <cell r="B4184">
            <v>3</v>
          </cell>
        </row>
        <row r="4185">
          <cell r="A4185">
            <v>45771</v>
          </cell>
          <cell r="B4185">
            <v>3</v>
          </cell>
        </row>
        <row r="4186">
          <cell r="A4186">
            <v>45772</v>
          </cell>
          <cell r="B4186">
            <v>3</v>
          </cell>
        </row>
        <row r="4187">
          <cell r="A4187">
            <v>45773</v>
          </cell>
          <cell r="B4187">
            <v>3</v>
          </cell>
        </row>
        <row r="4188">
          <cell r="A4188">
            <v>45774</v>
          </cell>
          <cell r="B4188">
            <v>3</v>
          </cell>
        </row>
        <row r="4189">
          <cell r="A4189">
            <v>45775</v>
          </cell>
          <cell r="B4189">
            <v>3</v>
          </cell>
        </row>
        <row r="4190">
          <cell r="A4190">
            <v>45776</v>
          </cell>
          <cell r="B4190">
            <v>3</v>
          </cell>
        </row>
        <row r="4191">
          <cell r="A4191">
            <v>45777</v>
          </cell>
          <cell r="B4191">
            <v>3</v>
          </cell>
        </row>
        <row r="4192">
          <cell r="A4192">
            <v>45778</v>
          </cell>
          <cell r="B4192">
            <v>3</v>
          </cell>
        </row>
        <row r="4193">
          <cell r="A4193">
            <v>45779</v>
          </cell>
          <cell r="B4193">
            <v>3</v>
          </cell>
        </row>
        <row r="4194">
          <cell r="A4194">
            <v>45780</v>
          </cell>
          <cell r="B4194">
            <v>3</v>
          </cell>
        </row>
        <row r="4195">
          <cell r="A4195">
            <v>45781</v>
          </cell>
          <cell r="B4195">
            <v>3</v>
          </cell>
        </row>
        <row r="4196">
          <cell r="A4196">
            <v>45782</v>
          </cell>
          <cell r="B4196">
            <v>3</v>
          </cell>
        </row>
        <row r="4197">
          <cell r="A4197">
            <v>45783</v>
          </cell>
          <cell r="B4197">
            <v>3</v>
          </cell>
        </row>
        <row r="4198">
          <cell r="A4198">
            <v>45784</v>
          </cell>
          <cell r="B4198">
            <v>3</v>
          </cell>
        </row>
        <row r="4199">
          <cell r="A4199">
            <v>45785</v>
          </cell>
          <cell r="B4199">
            <v>3</v>
          </cell>
        </row>
        <row r="4200">
          <cell r="A4200">
            <v>45786</v>
          </cell>
          <cell r="B4200">
            <v>3</v>
          </cell>
        </row>
        <row r="4201">
          <cell r="A4201">
            <v>45787</v>
          </cell>
          <cell r="B4201">
            <v>3</v>
          </cell>
        </row>
        <row r="4202">
          <cell r="A4202">
            <v>45788</v>
          </cell>
          <cell r="B4202">
            <v>3</v>
          </cell>
        </row>
        <row r="4203">
          <cell r="A4203">
            <v>45789</v>
          </cell>
          <cell r="B4203">
            <v>3</v>
          </cell>
        </row>
        <row r="4204">
          <cell r="A4204">
            <v>45790</v>
          </cell>
          <cell r="B4204">
            <v>3</v>
          </cell>
        </row>
        <row r="4205">
          <cell r="A4205">
            <v>45791</v>
          </cell>
          <cell r="B4205">
            <v>3</v>
          </cell>
        </row>
        <row r="4206">
          <cell r="A4206">
            <v>45792</v>
          </cell>
          <cell r="B4206">
            <v>3</v>
          </cell>
        </row>
        <row r="4207">
          <cell r="A4207">
            <v>45793</v>
          </cell>
          <cell r="B4207">
            <v>3</v>
          </cell>
        </row>
        <row r="4208">
          <cell r="A4208">
            <v>45794</v>
          </cell>
          <cell r="B4208">
            <v>3</v>
          </cell>
        </row>
        <row r="4209">
          <cell r="A4209">
            <v>45795</v>
          </cell>
          <cell r="B4209">
            <v>3</v>
          </cell>
        </row>
        <row r="4210">
          <cell r="A4210">
            <v>45796</v>
          </cell>
          <cell r="B4210">
            <v>3</v>
          </cell>
        </row>
        <row r="4211">
          <cell r="A4211">
            <v>45797</v>
          </cell>
          <cell r="B4211">
            <v>3</v>
          </cell>
        </row>
        <row r="4212">
          <cell r="A4212">
            <v>45798</v>
          </cell>
          <cell r="B4212">
            <v>3</v>
          </cell>
        </row>
        <row r="4213">
          <cell r="A4213">
            <v>45799</v>
          </cell>
          <cell r="B4213">
            <v>3</v>
          </cell>
        </row>
        <row r="4214">
          <cell r="A4214">
            <v>45800</v>
          </cell>
          <cell r="B4214">
            <v>3</v>
          </cell>
        </row>
        <row r="4215">
          <cell r="A4215">
            <v>45801</v>
          </cell>
          <cell r="B4215">
            <v>3</v>
          </cell>
        </row>
        <row r="4216">
          <cell r="A4216">
            <v>45802</v>
          </cell>
          <cell r="B4216">
            <v>3</v>
          </cell>
        </row>
        <row r="4217">
          <cell r="A4217">
            <v>45803</v>
          </cell>
          <cell r="B4217">
            <v>3</v>
          </cell>
        </row>
        <row r="4218">
          <cell r="A4218">
            <v>45804</v>
          </cell>
          <cell r="B4218">
            <v>3</v>
          </cell>
        </row>
        <row r="4219">
          <cell r="A4219">
            <v>45805</v>
          </cell>
          <cell r="B4219">
            <v>3</v>
          </cell>
        </row>
        <row r="4220">
          <cell r="A4220">
            <v>45806</v>
          </cell>
          <cell r="B4220">
            <v>3</v>
          </cell>
        </row>
        <row r="4221">
          <cell r="A4221">
            <v>45807</v>
          </cell>
          <cell r="B4221">
            <v>3</v>
          </cell>
        </row>
        <row r="4222">
          <cell r="A4222">
            <v>45808</v>
          </cell>
          <cell r="B4222">
            <v>3</v>
          </cell>
        </row>
        <row r="4223">
          <cell r="A4223">
            <v>45809</v>
          </cell>
          <cell r="B4223">
            <v>3</v>
          </cell>
        </row>
        <row r="4224">
          <cell r="A4224">
            <v>45810</v>
          </cell>
          <cell r="B4224">
            <v>3</v>
          </cell>
        </row>
        <row r="4225">
          <cell r="A4225">
            <v>45811</v>
          </cell>
          <cell r="B4225">
            <v>3</v>
          </cell>
        </row>
        <row r="4226">
          <cell r="A4226">
            <v>45812</v>
          </cell>
          <cell r="B4226">
            <v>3</v>
          </cell>
        </row>
        <row r="4227">
          <cell r="A4227">
            <v>45813</v>
          </cell>
          <cell r="B4227">
            <v>3</v>
          </cell>
        </row>
        <row r="4228">
          <cell r="A4228">
            <v>45814</v>
          </cell>
          <cell r="B4228">
            <v>3</v>
          </cell>
        </row>
        <row r="4229">
          <cell r="A4229">
            <v>45815</v>
          </cell>
          <cell r="B4229">
            <v>3</v>
          </cell>
        </row>
        <row r="4230">
          <cell r="A4230">
            <v>45816</v>
          </cell>
          <cell r="B4230">
            <v>3</v>
          </cell>
        </row>
        <row r="4231">
          <cell r="A4231">
            <v>45817</v>
          </cell>
          <cell r="B4231">
            <v>3</v>
          </cell>
        </row>
        <row r="4232">
          <cell r="A4232">
            <v>45818</v>
          </cell>
          <cell r="B4232">
            <v>3</v>
          </cell>
        </row>
        <row r="4233">
          <cell r="A4233">
            <v>45819</v>
          </cell>
          <cell r="B4233">
            <v>3</v>
          </cell>
        </row>
        <row r="4234">
          <cell r="A4234">
            <v>45820</v>
          </cell>
          <cell r="B4234">
            <v>3</v>
          </cell>
        </row>
        <row r="4235">
          <cell r="A4235">
            <v>45821</v>
          </cell>
          <cell r="B4235">
            <v>3</v>
          </cell>
        </row>
        <row r="4236">
          <cell r="A4236">
            <v>45822</v>
          </cell>
          <cell r="B4236">
            <v>3</v>
          </cell>
        </row>
        <row r="4237">
          <cell r="A4237">
            <v>45823</v>
          </cell>
          <cell r="B4237">
            <v>3</v>
          </cell>
        </row>
        <row r="4238">
          <cell r="A4238">
            <v>45824</v>
          </cell>
          <cell r="B4238">
            <v>3</v>
          </cell>
        </row>
        <row r="4239">
          <cell r="A4239">
            <v>45825</v>
          </cell>
          <cell r="B4239">
            <v>3</v>
          </cell>
        </row>
        <row r="4240">
          <cell r="A4240">
            <v>45826</v>
          </cell>
          <cell r="B4240">
            <v>3</v>
          </cell>
        </row>
        <row r="4241">
          <cell r="A4241">
            <v>45827</v>
          </cell>
          <cell r="B4241">
            <v>3</v>
          </cell>
        </row>
        <row r="4242">
          <cell r="A4242">
            <v>45828</v>
          </cell>
          <cell r="B4242">
            <v>3</v>
          </cell>
        </row>
        <row r="4243">
          <cell r="A4243">
            <v>45829</v>
          </cell>
          <cell r="B4243">
            <v>3</v>
          </cell>
        </row>
        <row r="4244">
          <cell r="A4244">
            <v>45830</v>
          </cell>
          <cell r="B4244">
            <v>3</v>
          </cell>
        </row>
        <row r="4245">
          <cell r="A4245">
            <v>45831</v>
          </cell>
          <cell r="B4245">
            <v>3</v>
          </cell>
        </row>
        <row r="4246">
          <cell r="A4246">
            <v>45832</v>
          </cell>
          <cell r="B4246">
            <v>3</v>
          </cell>
        </row>
        <row r="4247">
          <cell r="A4247">
            <v>45833</v>
          </cell>
          <cell r="B4247">
            <v>3</v>
          </cell>
        </row>
        <row r="4248">
          <cell r="A4248">
            <v>45834</v>
          </cell>
          <cell r="B4248">
            <v>3</v>
          </cell>
        </row>
        <row r="4249">
          <cell r="A4249">
            <v>45835</v>
          </cell>
          <cell r="B4249">
            <v>3</v>
          </cell>
        </row>
        <row r="4250">
          <cell r="A4250">
            <v>45836</v>
          </cell>
          <cell r="B4250">
            <v>3</v>
          </cell>
        </row>
        <row r="4251">
          <cell r="A4251">
            <v>45837</v>
          </cell>
          <cell r="B4251">
            <v>3</v>
          </cell>
        </row>
        <row r="4252">
          <cell r="A4252">
            <v>45838</v>
          </cell>
          <cell r="B4252">
            <v>3</v>
          </cell>
        </row>
        <row r="4253">
          <cell r="A4253">
            <v>45839</v>
          </cell>
          <cell r="B4253">
            <v>3</v>
          </cell>
        </row>
        <row r="4254">
          <cell r="A4254">
            <v>45840</v>
          </cell>
          <cell r="B4254">
            <v>3</v>
          </cell>
        </row>
        <row r="4255">
          <cell r="A4255">
            <v>45841</v>
          </cell>
          <cell r="B4255">
            <v>3</v>
          </cell>
        </row>
        <row r="4256">
          <cell r="A4256">
            <v>45842</v>
          </cell>
          <cell r="B4256">
            <v>3</v>
          </cell>
        </row>
        <row r="4257">
          <cell r="A4257">
            <v>45843</v>
          </cell>
          <cell r="B4257">
            <v>3</v>
          </cell>
        </row>
        <row r="4258">
          <cell r="A4258">
            <v>45844</v>
          </cell>
          <cell r="B4258">
            <v>3</v>
          </cell>
        </row>
        <row r="4259">
          <cell r="A4259">
            <v>45845</v>
          </cell>
          <cell r="B4259">
            <v>3</v>
          </cell>
        </row>
        <row r="4260">
          <cell r="A4260">
            <v>45846</v>
          </cell>
          <cell r="B4260">
            <v>3</v>
          </cell>
        </row>
        <row r="4261">
          <cell r="A4261">
            <v>45847</v>
          </cell>
          <cell r="B4261">
            <v>3</v>
          </cell>
        </row>
        <row r="4262">
          <cell r="A4262">
            <v>45848</v>
          </cell>
          <cell r="B4262">
            <v>3</v>
          </cell>
        </row>
        <row r="4263">
          <cell r="A4263">
            <v>45849</v>
          </cell>
          <cell r="B4263">
            <v>3</v>
          </cell>
        </row>
        <row r="4264">
          <cell r="A4264">
            <v>45850</v>
          </cell>
          <cell r="B4264">
            <v>3</v>
          </cell>
        </row>
        <row r="4265">
          <cell r="A4265">
            <v>45851</v>
          </cell>
          <cell r="B4265">
            <v>3</v>
          </cell>
        </row>
        <row r="4266">
          <cell r="A4266">
            <v>45852</v>
          </cell>
          <cell r="B4266">
            <v>3</v>
          </cell>
        </row>
        <row r="4267">
          <cell r="A4267">
            <v>45853</v>
          </cell>
          <cell r="B4267">
            <v>3</v>
          </cell>
        </row>
        <row r="4268">
          <cell r="A4268">
            <v>45854</v>
          </cell>
          <cell r="B4268">
            <v>3</v>
          </cell>
        </row>
        <row r="4269">
          <cell r="A4269">
            <v>45855</v>
          </cell>
          <cell r="B4269">
            <v>3</v>
          </cell>
        </row>
        <row r="4270">
          <cell r="A4270">
            <v>45856</v>
          </cell>
          <cell r="B4270">
            <v>3</v>
          </cell>
        </row>
        <row r="4271">
          <cell r="A4271">
            <v>45857</v>
          </cell>
          <cell r="B4271">
            <v>3</v>
          </cell>
        </row>
        <row r="4272">
          <cell r="A4272">
            <v>45858</v>
          </cell>
          <cell r="B4272">
            <v>3</v>
          </cell>
        </row>
        <row r="4273">
          <cell r="A4273">
            <v>45859</v>
          </cell>
          <cell r="B4273">
            <v>3</v>
          </cell>
        </row>
        <row r="4274">
          <cell r="A4274">
            <v>45860</v>
          </cell>
          <cell r="B4274">
            <v>3</v>
          </cell>
        </row>
        <row r="4275">
          <cell r="A4275">
            <v>45861</v>
          </cell>
          <cell r="B4275">
            <v>3</v>
          </cell>
        </row>
        <row r="4276">
          <cell r="A4276">
            <v>45862</v>
          </cell>
          <cell r="B4276">
            <v>3</v>
          </cell>
        </row>
        <row r="4277">
          <cell r="A4277">
            <v>45863</v>
          </cell>
          <cell r="B4277">
            <v>3</v>
          </cell>
        </row>
        <row r="4278">
          <cell r="A4278">
            <v>45864</v>
          </cell>
          <cell r="B4278">
            <v>3</v>
          </cell>
        </row>
        <row r="4279">
          <cell r="A4279">
            <v>45865</v>
          </cell>
          <cell r="B4279">
            <v>3</v>
          </cell>
        </row>
        <row r="4280">
          <cell r="A4280">
            <v>45866</v>
          </cell>
          <cell r="B4280">
            <v>3</v>
          </cell>
        </row>
        <row r="4281">
          <cell r="A4281">
            <v>45867</v>
          </cell>
          <cell r="B4281">
            <v>3</v>
          </cell>
        </row>
        <row r="4282">
          <cell r="A4282">
            <v>45868</v>
          </cell>
          <cell r="B4282">
            <v>3</v>
          </cell>
        </row>
        <row r="4283">
          <cell r="A4283">
            <v>45869</v>
          </cell>
          <cell r="B4283">
            <v>3</v>
          </cell>
        </row>
        <row r="4284">
          <cell r="A4284">
            <v>45870</v>
          </cell>
          <cell r="B4284">
            <v>3</v>
          </cell>
        </row>
        <row r="4285">
          <cell r="A4285">
            <v>45871</v>
          </cell>
          <cell r="B4285">
            <v>3</v>
          </cell>
        </row>
        <row r="4286">
          <cell r="A4286">
            <v>45872</v>
          </cell>
          <cell r="B4286">
            <v>3</v>
          </cell>
        </row>
        <row r="4287">
          <cell r="A4287">
            <v>45873</v>
          </cell>
          <cell r="B4287">
            <v>3</v>
          </cell>
        </row>
        <row r="4288">
          <cell r="A4288">
            <v>45874</v>
          </cell>
          <cell r="B4288">
            <v>3</v>
          </cell>
        </row>
        <row r="4289">
          <cell r="A4289">
            <v>45875</v>
          </cell>
          <cell r="B4289">
            <v>3</v>
          </cell>
        </row>
        <row r="4290">
          <cell r="A4290">
            <v>45876</v>
          </cell>
          <cell r="B4290">
            <v>3</v>
          </cell>
        </row>
        <row r="4291">
          <cell r="A4291">
            <v>45877</v>
          </cell>
          <cell r="B4291">
            <v>3</v>
          </cell>
        </row>
        <row r="4292">
          <cell r="A4292">
            <v>45878</v>
          </cell>
          <cell r="B4292">
            <v>3</v>
          </cell>
        </row>
        <row r="4293">
          <cell r="A4293">
            <v>45879</v>
          </cell>
          <cell r="B4293">
            <v>3</v>
          </cell>
        </row>
        <row r="4294">
          <cell r="A4294">
            <v>45880</v>
          </cell>
          <cell r="B4294">
            <v>3</v>
          </cell>
        </row>
        <row r="4295">
          <cell r="A4295">
            <v>45881</v>
          </cell>
          <cell r="B4295">
            <v>3</v>
          </cell>
        </row>
        <row r="4296">
          <cell r="A4296">
            <v>45882</v>
          </cell>
          <cell r="B4296">
            <v>3</v>
          </cell>
        </row>
        <row r="4297">
          <cell r="A4297">
            <v>45883</v>
          </cell>
          <cell r="B4297">
            <v>3</v>
          </cell>
        </row>
        <row r="4298">
          <cell r="A4298">
            <v>45884</v>
          </cell>
          <cell r="B4298">
            <v>3</v>
          </cell>
        </row>
        <row r="4299">
          <cell r="A4299">
            <v>45885</v>
          </cell>
          <cell r="B4299">
            <v>3</v>
          </cell>
        </row>
        <row r="4300">
          <cell r="A4300">
            <v>45886</v>
          </cell>
          <cell r="B4300">
            <v>3</v>
          </cell>
        </row>
        <row r="4301">
          <cell r="A4301">
            <v>45887</v>
          </cell>
          <cell r="B4301">
            <v>3</v>
          </cell>
        </row>
        <row r="4302">
          <cell r="A4302">
            <v>45888</v>
          </cell>
          <cell r="B4302">
            <v>3</v>
          </cell>
        </row>
        <row r="4303">
          <cell r="A4303">
            <v>45889</v>
          </cell>
          <cell r="B4303">
            <v>3</v>
          </cell>
        </row>
        <row r="4304">
          <cell r="A4304">
            <v>45890</v>
          </cell>
          <cell r="B4304">
            <v>3</v>
          </cell>
        </row>
        <row r="4305">
          <cell r="A4305">
            <v>45891</v>
          </cell>
          <cell r="B4305">
            <v>3</v>
          </cell>
        </row>
        <row r="4306">
          <cell r="A4306">
            <v>45892</v>
          </cell>
          <cell r="B4306">
            <v>3</v>
          </cell>
        </row>
        <row r="4307">
          <cell r="A4307">
            <v>45893</v>
          </cell>
          <cell r="B4307">
            <v>3</v>
          </cell>
        </row>
        <row r="4308">
          <cell r="A4308">
            <v>45894</v>
          </cell>
          <cell r="B4308">
            <v>3</v>
          </cell>
        </row>
        <row r="4309">
          <cell r="A4309">
            <v>45895</v>
          </cell>
          <cell r="B4309">
            <v>3</v>
          </cell>
        </row>
        <row r="4310">
          <cell r="A4310">
            <v>45896</v>
          </cell>
          <cell r="B4310">
            <v>3</v>
          </cell>
        </row>
        <row r="4311">
          <cell r="A4311">
            <v>45897</v>
          </cell>
          <cell r="B4311">
            <v>3</v>
          </cell>
        </row>
        <row r="4312">
          <cell r="A4312">
            <v>45898</v>
          </cell>
          <cell r="B4312">
            <v>3</v>
          </cell>
        </row>
        <row r="4313">
          <cell r="A4313">
            <v>45899</v>
          </cell>
          <cell r="B4313">
            <v>3</v>
          </cell>
        </row>
        <row r="4314">
          <cell r="A4314">
            <v>45900</v>
          </cell>
          <cell r="B4314">
            <v>3</v>
          </cell>
        </row>
        <row r="4315">
          <cell r="A4315">
            <v>45901</v>
          </cell>
          <cell r="B4315">
            <v>3</v>
          </cell>
        </row>
        <row r="4316">
          <cell r="A4316">
            <v>45902</v>
          </cell>
          <cell r="B4316">
            <v>3</v>
          </cell>
        </row>
        <row r="4317">
          <cell r="A4317">
            <v>45903</v>
          </cell>
          <cell r="B4317">
            <v>3</v>
          </cell>
        </row>
        <row r="4318">
          <cell r="A4318">
            <v>45904</v>
          </cell>
          <cell r="B4318">
            <v>3</v>
          </cell>
        </row>
        <row r="4319">
          <cell r="A4319">
            <v>45905</v>
          </cell>
          <cell r="B4319">
            <v>3</v>
          </cell>
        </row>
        <row r="4320">
          <cell r="A4320">
            <v>45906</v>
          </cell>
          <cell r="B4320">
            <v>3</v>
          </cell>
        </row>
        <row r="4321">
          <cell r="A4321">
            <v>45907</v>
          </cell>
          <cell r="B4321">
            <v>3</v>
          </cell>
        </row>
        <row r="4322">
          <cell r="A4322">
            <v>45908</v>
          </cell>
          <cell r="B4322">
            <v>3</v>
          </cell>
        </row>
        <row r="4323">
          <cell r="A4323">
            <v>45909</v>
          </cell>
          <cell r="B4323">
            <v>3</v>
          </cell>
        </row>
        <row r="4324">
          <cell r="A4324">
            <v>45910</v>
          </cell>
          <cell r="B4324">
            <v>3</v>
          </cell>
        </row>
        <row r="4325">
          <cell r="A4325">
            <v>45911</v>
          </cell>
          <cell r="B4325">
            <v>3</v>
          </cell>
        </row>
        <row r="4326">
          <cell r="A4326">
            <v>45912</v>
          </cell>
          <cell r="B4326">
            <v>3</v>
          </cell>
        </row>
        <row r="4327">
          <cell r="A4327">
            <v>45913</v>
          </cell>
          <cell r="B4327">
            <v>3</v>
          </cell>
        </row>
        <row r="4328">
          <cell r="A4328">
            <v>45914</v>
          </cell>
          <cell r="B4328">
            <v>3</v>
          </cell>
        </row>
        <row r="4329">
          <cell r="A4329">
            <v>45915</v>
          </cell>
          <cell r="B4329">
            <v>3</v>
          </cell>
        </row>
        <row r="4330">
          <cell r="A4330">
            <v>45916</v>
          </cell>
          <cell r="B4330">
            <v>3</v>
          </cell>
        </row>
        <row r="4331">
          <cell r="A4331">
            <v>45917</v>
          </cell>
          <cell r="B4331">
            <v>3</v>
          </cell>
        </row>
        <row r="4332">
          <cell r="A4332">
            <v>45918</v>
          </cell>
          <cell r="B4332">
            <v>3</v>
          </cell>
        </row>
        <row r="4333">
          <cell r="A4333">
            <v>45919</v>
          </cell>
          <cell r="B4333">
            <v>3</v>
          </cell>
        </row>
        <row r="4334">
          <cell r="A4334">
            <v>45920</v>
          </cell>
          <cell r="B4334">
            <v>3</v>
          </cell>
        </row>
        <row r="4335">
          <cell r="A4335">
            <v>45921</v>
          </cell>
          <cell r="B4335">
            <v>3</v>
          </cell>
        </row>
        <row r="4336">
          <cell r="A4336">
            <v>45922</v>
          </cell>
          <cell r="B4336">
            <v>3</v>
          </cell>
        </row>
        <row r="4337">
          <cell r="A4337">
            <v>45923</v>
          </cell>
          <cell r="B4337">
            <v>3</v>
          </cell>
        </row>
        <row r="4338">
          <cell r="A4338">
            <v>45924</v>
          </cell>
          <cell r="B4338">
            <v>3</v>
          </cell>
        </row>
        <row r="4339">
          <cell r="A4339">
            <v>45925</v>
          </cell>
          <cell r="B4339">
            <v>3</v>
          </cell>
        </row>
        <row r="4340">
          <cell r="A4340">
            <v>45926</v>
          </cell>
          <cell r="B4340">
            <v>3</v>
          </cell>
        </row>
        <row r="4341">
          <cell r="A4341">
            <v>45927</v>
          </cell>
          <cell r="B4341">
            <v>3</v>
          </cell>
        </row>
        <row r="4342">
          <cell r="A4342">
            <v>45928</v>
          </cell>
          <cell r="B4342">
            <v>3</v>
          </cell>
        </row>
        <row r="4343">
          <cell r="A4343">
            <v>45929</v>
          </cell>
          <cell r="B4343">
            <v>3</v>
          </cell>
        </row>
        <row r="4344">
          <cell r="A4344">
            <v>45930</v>
          </cell>
          <cell r="B4344">
            <v>3</v>
          </cell>
        </row>
        <row r="4345">
          <cell r="A4345">
            <v>45931</v>
          </cell>
          <cell r="B4345">
            <v>3</v>
          </cell>
        </row>
        <row r="4346">
          <cell r="A4346">
            <v>45932</v>
          </cell>
          <cell r="B4346">
            <v>3</v>
          </cell>
        </row>
        <row r="4347">
          <cell r="A4347">
            <v>45933</v>
          </cell>
          <cell r="B4347">
            <v>3</v>
          </cell>
        </row>
        <row r="4348">
          <cell r="A4348">
            <v>45934</v>
          </cell>
          <cell r="B4348">
            <v>3</v>
          </cell>
        </row>
        <row r="4349">
          <cell r="A4349">
            <v>45935</v>
          </cell>
          <cell r="B4349">
            <v>3</v>
          </cell>
        </row>
        <row r="4350">
          <cell r="A4350">
            <v>45936</v>
          </cell>
          <cell r="B4350">
            <v>3</v>
          </cell>
        </row>
        <row r="4351">
          <cell r="A4351">
            <v>45937</v>
          </cell>
          <cell r="B4351">
            <v>3</v>
          </cell>
        </row>
        <row r="4352">
          <cell r="A4352">
            <v>45938</v>
          </cell>
          <cell r="B4352">
            <v>3</v>
          </cell>
        </row>
        <row r="4353">
          <cell r="A4353">
            <v>45939</v>
          </cell>
          <cell r="B4353">
            <v>3</v>
          </cell>
        </row>
        <row r="4354">
          <cell r="A4354">
            <v>45940</v>
          </cell>
          <cell r="B4354">
            <v>3</v>
          </cell>
        </row>
        <row r="4355">
          <cell r="A4355">
            <v>45941</v>
          </cell>
          <cell r="B4355">
            <v>3</v>
          </cell>
        </row>
        <row r="4356">
          <cell r="A4356">
            <v>45942</v>
          </cell>
          <cell r="B4356">
            <v>3</v>
          </cell>
        </row>
        <row r="4357">
          <cell r="A4357">
            <v>45943</v>
          </cell>
          <cell r="B4357">
            <v>3</v>
          </cell>
        </row>
        <row r="4358">
          <cell r="A4358">
            <v>45944</v>
          </cell>
          <cell r="B4358">
            <v>3</v>
          </cell>
        </row>
        <row r="4359">
          <cell r="A4359">
            <v>45945</v>
          </cell>
          <cell r="B4359">
            <v>3</v>
          </cell>
        </row>
        <row r="4360">
          <cell r="A4360">
            <v>45946</v>
          </cell>
          <cell r="B4360">
            <v>3</v>
          </cell>
        </row>
        <row r="4361">
          <cell r="A4361">
            <v>45947</v>
          </cell>
          <cell r="B4361">
            <v>3</v>
          </cell>
        </row>
        <row r="4362">
          <cell r="A4362">
            <v>45948</v>
          </cell>
          <cell r="B4362">
            <v>3</v>
          </cell>
        </row>
        <row r="4363">
          <cell r="A4363">
            <v>45949</v>
          </cell>
          <cell r="B4363">
            <v>3</v>
          </cell>
        </row>
        <row r="4364">
          <cell r="A4364">
            <v>45950</v>
          </cell>
          <cell r="B4364">
            <v>3</v>
          </cell>
        </row>
        <row r="4365">
          <cell r="A4365">
            <v>45951</v>
          </cell>
          <cell r="B4365">
            <v>3</v>
          </cell>
        </row>
        <row r="4366">
          <cell r="A4366">
            <v>45952</v>
          </cell>
          <cell r="B4366">
            <v>3</v>
          </cell>
        </row>
        <row r="4367">
          <cell r="A4367">
            <v>45953</v>
          </cell>
          <cell r="B4367">
            <v>3</v>
          </cell>
        </row>
        <row r="4368">
          <cell r="A4368">
            <v>45954</v>
          </cell>
          <cell r="B4368">
            <v>3</v>
          </cell>
        </row>
        <row r="4369">
          <cell r="A4369">
            <v>45955</v>
          </cell>
          <cell r="B4369">
            <v>3</v>
          </cell>
        </row>
        <row r="4370">
          <cell r="A4370">
            <v>45956</v>
          </cell>
          <cell r="B4370">
            <v>3</v>
          </cell>
        </row>
        <row r="4371">
          <cell r="A4371">
            <v>45957</v>
          </cell>
          <cell r="B4371">
            <v>3</v>
          </cell>
        </row>
        <row r="4372">
          <cell r="A4372">
            <v>45958</v>
          </cell>
          <cell r="B4372">
            <v>3</v>
          </cell>
        </row>
        <row r="4373">
          <cell r="A4373">
            <v>45959</v>
          </cell>
          <cell r="B4373">
            <v>3</v>
          </cell>
        </row>
        <row r="4374">
          <cell r="A4374">
            <v>45960</v>
          </cell>
          <cell r="B4374">
            <v>3</v>
          </cell>
        </row>
        <row r="4375">
          <cell r="A4375">
            <v>45961</v>
          </cell>
          <cell r="B4375">
            <v>3</v>
          </cell>
        </row>
        <row r="4376">
          <cell r="A4376">
            <v>45962</v>
          </cell>
          <cell r="B4376">
            <v>3</v>
          </cell>
        </row>
        <row r="4377">
          <cell r="A4377">
            <v>45963</v>
          </cell>
          <cell r="B4377">
            <v>3</v>
          </cell>
        </row>
        <row r="4378">
          <cell r="A4378">
            <v>45964</v>
          </cell>
          <cell r="B4378">
            <v>3</v>
          </cell>
        </row>
        <row r="4379">
          <cell r="A4379">
            <v>45965</v>
          </cell>
          <cell r="B4379">
            <v>3</v>
          </cell>
        </row>
        <row r="4380">
          <cell r="A4380">
            <v>45966</v>
          </cell>
          <cell r="B4380">
            <v>3</v>
          </cell>
        </row>
        <row r="4381">
          <cell r="A4381">
            <v>45967</v>
          </cell>
          <cell r="B4381">
            <v>3</v>
          </cell>
        </row>
        <row r="4382">
          <cell r="A4382">
            <v>45968</v>
          </cell>
          <cell r="B4382">
            <v>3</v>
          </cell>
        </row>
        <row r="4383">
          <cell r="A4383">
            <v>45969</v>
          </cell>
          <cell r="B4383">
            <v>3</v>
          </cell>
        </row>
        <row r="4384">
          <cell r="A4384">
            <v>45970</v>
          </cell>
          <cell r="B4384">
            <v>3</v>
          </cell>
        </row>
        <row r="4385">
          <cell r="A4385">
            <v>45971</v>
          </cell>
          <cell r="B4385">
            <v>3</v>
          </cell>
        </row>
        <row r="4386">
          <cell r="A4386">
            <v>45972</v>
          </cell>
          <cell r="B4386">
            <v>3</v>
          </cell>
        </row>
        <row r="4387">
          <cell r="A4387">
            <v>45973</v>
          </cell>
          <cell r="B4387">
            <v>3</v>
          </cell>
        </row>
        <row r="4388">
          <cell r="A4388">
            <v>45974</v>
          </cell>
          <cell r="B4388">
            <v>3</v>
          </cell>
        </row>
        <row r="4389">
          <cell r="A4389">
            <v>45975</v>
          </cell>
          <cell r="B4389">
            <v>3</v>
          </cell>
        </row>
        <row r="4390">
          <cell r="A4390">
            <v>45976</v>
          </cell>
          <cell r="B4390">
            <v>3</v>
          </cell>
        </row>
        <row r="4391">
          <cell r="A4391">
            <v>45977</v>
          </cell>
          <cell r="B4391">
            <v>3</v>
          </cell>
        </row>
        <row r="4392">
          <cell r="A4392">
            <v>45978</v>
          </cell>
          <cell r="B4392">
            <v>3</v>
          </cell>
        </row>
        <row r="4393">
          <cell r="A4393">
            <v>45979</v>
          </cell>
          <cell r="B4393">
            <v>3</v>
          </cell>
        </row>
        <row r="4394">
          <cell r="A4394">
            <v>45980</v>
          </cell>
          <cell r="B4394">
            <v>3</v>
          </cell>
        </row>
        <row r="4395">
          <cell r="A4395">
            <v>45981</v>
          </cell>
          <cell r="B4395">
            <v>3</v>
          </cell>
        </row>
        <row r="4396">
          <cell r="A4396">
            <v>45982</v>
          </cell>
          <cell r="B4396">
            <v>3</v>
          </cell>
        </row>
        <row r="4397">
          <cell r="A4397">
            <v>45983</v>
          </cell>
          <cell r="B4397">
            <v>3</v>
          </cell>
        </row>
        <row r="4398">
          <cell r="A4398">
            <v>45984</v>
          </cell>
          <cell r="B4398">
            <v>3</v>
          </cell>
        </row>
        <row r="4399">
          <cell r="A4399">
            <v>45985</v>
          </cell>
          <cell r="B4399">
            <v>3</v>
          </cell>
        </row>
        <row r="4400">
          <cell r="A4400">
            <v>45986</v>
          </cell>
          <cell r="B4400">
            <v>3</v>
          </cell>
        </row>
        <row r="4401">
          <cell r="A4401">
            <v>45987</v>
          </cell>
          <cell r="B4401">
            <v>3</v>
          </cell>
        </row>
        <row r="4402">
          <cell r="A4402">
            <v>45988</v>
          </cell>
          <cell r="B4402">
            <v>3</v>
          </cell>
        </row>
        <row r="4403">
          <cell r="A4403">
            <v>45989</v>
          </cell>
          <cell r="B4403">
            <v>3</v>
          </cell>
        </row>
        <row r="4404">
          <cell r="A4404">
            <v>45990</v>
          </cell>
          <cell r="B4404">
            <v>3</v>
          </cell>
        </row>
        <row r="4405">
          <cell r="A4405">
            <v>45991</v>
          </cell>
          <cell r="B4405">
            <v>3</v>
          </cell>
        </row>
        <row r="4406">
          <cell r="A4406">
            <v>45992</v>
          </cell>
          <cell r="B4406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oning"/>
      <sheetName val="Board Summary"/>
      <sheetName val="Data Entry"/>
      <sheetName val="FastTrack"/>
      <sheetName val="Notes"/>
      <sheetName val="STR"/>
      <sheetName val="Overview"/>
      <sheetName val="Key Data"/>
      <sheetName val="PIP &amp; Source &amp; Use"/>
      <sheetName val="ProForma"/>
      <sheetName val="Pricing"/>
      <sheetName val="Property Tax"/>
      <sheetName val="ValueLock"/>
      <sheetName val="DCR Analysis"/>
      <sheetName val="Rent"/>
      <sheetName val="Sensitivity"/>
      <sheetName val="Financing Matrix"/>
      <sheetName val="Financing Constants"/>
      <sheetName val="Property Data Sheet"/>
      <sheetName val="Reports"/>
      <sheetName val="Photos-Map"/>
      <sheetName val="DCFA"/>
      <sheetName val="HOST Projections"/>
      <sheetName val="Labor Allocations"/>
      <sheetName val="Detail CapX"/>
      <sheetName val="Financials"/>
      <sheetName val="RevPAR Analysi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25">
          <cell r="L25" t="e">
            <v>#DIV/0!</v>
          </cell>
        </row>
        <row r="26">
          <cell r="L26" t="e">
            <v>#DIV/0!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asymapmaker.com/map/f754b0622bc31647a87f99577af658dd" TargetMode="External"/><Relationship Id="rId1" Type="http://schemas.openxmlformats.org/officeDocument/2006/relationships/hyperlink" Target="https://www.easymapmaker.com/map/4738e79fd5c285ca93c09c39a7aa387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workbookViewId="0">
      <selection activeCell="C12" sqref="C12"/>
    </sheetView>
  </sheetViews>
  <sheetFormatPr defaultColWidth="11.42578125" defaultRowHeight="15" x14ac:dyDescent="0.25"/>
  <cols>
    <col min="2" max="2" width="11.42578125" style="840"/>
    <col min="3" max="3" width="7" style="840" customWidth="1"/>
    <col min="4" max="4" width="71.42578125" customWidth="1"/>
  </cols>
  <sheetData>
    <row r="1" spans="1:4" ht="23.25" x14ac:dyDescent="0.35">
      <c r="A1" s="1" t="s">
        <v>927</v>
      </c>
    </row>
    <row r="2" spans="1:4" x14ac:dyDescent="0.25">
      <c r="A2" t="s">
        <v>928</v>
      </c>
    </row>
    <row r="3" spans="1:4" s="427" customFormat="1" x14ac:dyDescent="0.25">
      <c r="B3" s="840"/>
      <c r="C3" s="840"/>
    </row>
    <row r="4" spans="1:4" ht="40.9" customHeight="1" thickBot="1" x14ac:dyDescent="0.35">
      <c r="A4" s="863" t="s">
        <v>930</v>
      </c>
      <c r="B4" s="913" t="s">
        <v>931</v>
      </c>
      <c r="C4" s="863" t="s">
        <v>932</v>
      </c>
      <c r="D4" s="887" t="s">
        <v>933</v>
      </c>
    </row>
    <row r="5" spans="1:4" ht="15.75" x14ac:dyDescent="0.25">
      <c r="A5" s="914" t="s">
        <v>929</v>
      </c>
      <c r="B5" s="915">
        <v>43431</v>
      </c>
      <c r="C5" s="914">
        <v>1</v>
      </c>
      <c r="D5" s="864" t="s">
        <v>934</v>
      </c>
    </row>
    <row r="6" spans="1:4" ht="15.75" x14ac:dyDescent="0.25">
      <c r="A6" s="914"/>
      <c r="B6" s="914"/>
      <c r="C6" s="914">
        <v>2</v>
      </c>
      <c r="D6" s="864" t="s">
        <v>935</v>
      </c>
    </row>
    <row r="7" spans="1:4" ht="15.75" x14ac:dyDescent="0.25">
      <c r="A7" s="914"/>
      <c r="B7" s="914"/>
      <c r="C7" s="914">
        <v>3</v>
      </c>
      <c r="D7" s="864" t="s">
        <v>937</v>
      </c>
    </row>
    <row r="8" spans="1:4" ht="15.75" x14ac:dyDescent="0.25">
      <c r="A8" s="914"/>
      <c r="B8" s="914"/>
      <c r="C8" s="914">
        <v>4</v>
      </c>
      <c r="D8" s="864" t="s">
        <v>936</v>
      </c>
    </row>
    <row r="9" spans="1:4" ht="15.75" x14ac:dyDescent="0.25">
      <c r="A9" s="914"/>
      <c r="B9" s="914"/>
      <c r="C9" s="914">
        <v>5</v>
      </c>
      <c r="D9" s="864" t="s">
        <v>938</v>
      </c>
    </row>
    <row r="10" spans="1:4" ht="15.75" x14ac:dyDescent="0.25">
      <c r="A10" s="914"/>
      <c r="B10" s="914"/>
      <c r="C10" s="914">
        <v>6</v>
      </c>
      <c r="D10" s="864" t="s">
        <v>939</v>
      </c>
    </row>
    <row r="11" spans="1:4" s="427" customFormat="1" ht="15.75" x14ac:dyDescent="0.25">
      <c r="A11" s="914"/>
      <c r="B11" s="914"/>
      <c r="C11" s="914">
        <v>7</v>
      </c>
      <c r="D11" s="927" t="s">
        <v>964</v>
      </c>
    </row>
    <row r="12" spans="1:4" ht="15.75" x14ac:dyDescent="0.25">
      <c r="A12" s="914" t="s">
        <v>940</v>
      </c>
      <c r="B12" s="914"/>
      <c r="C12" s="914"/>
      <c r="D12" s="864"/>
    </row>
    <row r="13" spans="1:4" ht="15.75" x14ac:dyDescent="0.25">
      <c r="A13" s="914"/>
      <c r="B13" s="914"/>
      <c r="C13" s="914"/>
      <c r="D13" s="864"/>
    </row>
    <row r="14" spans="1:4" ht="15.75" x14ac:dyDescent="0.25">
      <c r="A14" s="914"/>
      <c r="B14" s="914"/>
      <c r="C14" s="914"/>
      <c r="D14" s="864"/>
    </row>
    <row r="15" spans="1:4" ht="15.75" x14ac:dyDescent="0.25">
      <c r="A15" s="914"/>
      <c r="B15" s="914"/>
      <c r="C15" s="914"/>
      <c r="D15" s="864"/>
    </row>
    <row r="16" spans="1:4" ht="15.75" x14ac:dyDescent="0.25">
      <c r="A16" s="914"/>
      <c r="B16" s="914"/>
      <c r="C16" s="914"/>
      <c r="D16" s="864"/>
    </row>
    <row r="17" spans="1:4" ht="15.75" x14ac:dyDescent="0.25">
      <c r="A17" s="914"/>
      <c r="B17" s="914"/>
      <c r="C17" s="914"/>
      <c r="D17" s="864"/>
    </row>
    <row r="18" spans="1:4" ht="15.75" x14ac:dyDescent="0.25">
      <c r="A18" s="914"/>
      <c r="B18" s="914"/>
      <c r="C18" s="914"/>
      <c r="D18" s="864"/>
    </row>
    <row r="19" spans="1:4" ht="15.75" x14ac:dyDescent="0.25">
      <c r="A19" s="914"/>
      <c r="B19" s="914"/>
      <c r="C19" s="914"/>
      <c r="D19" s="864"/>
    </row>
    <row r="20" spans="1:4" ht="15.75" x14ac:dyDescent="0.25">
      <c r="A20" s="914"/>
      <c r="B20" s="914"/>
      <c r="C20" s="914"/>
      <c r="D20" s="864"/>
    </row>
    <row r="21" spans="1:4" ht="15.75" x14ac:dyDescent="0.25">
      <c r="A21" s="914"/>
      <c r="B21" s="914"/>
      <c r="C21" s="914"/>
      <c r="D21" s="864"/>
    </row>
    <row r="22" spans="1:4" ht="15.75" x14ac:dyDescent="0.25">
      <c r="A22" s="914"/>
      <c r="B22" s="914"/>
      <c r="C22" s="914"/>
      <c r="D22" s="864"/>
    </row>
    <row r="23" spans="1:4" ht="15.75" x14ac:dyDescent="0.25">
      <c r="A23" s="914"/>
      <c r="B23" s="914"/>
      <c r="C23" s="914"/>
      <c r="D23" s="864"/>
    </row>
    <row r="24" spans="1:4" ht="15.75" x14ac:dyDescent="0.25">
      <c r="A24" s="914"/>
      <c r="B24" s="914"/>
      <c r="C24" s="914"/>
      <c r="D24" s="864"/>
    </row>
    <row r="25" spans="1:4" ht="15.75" x14ac:dyDescent="0.25">
      <c r="A25" s="914"/>
      <c r="B25" s="914"/>
      <c r="C25" s="914"/>
      <c r="D25" s="864"/>
    </row>
    <row r="26" spans="1:4" ht="15.75" x14ac:dyDescent="0.25">
      <c r="A26" s="914"/>
      <c r="B26" s="914"/>
      <c r="C26" s="914"/>
      <c r="D26" s="864"/>
    </row>
    <row r="27" spans="1:4" ht="15.75" x14ac:dyDescent="0.25">
      <c r="A27" s="914"/>
      <c r="B27" s="914"/>
      <c r="C27" s="914"/>
      <c r="D27" s="864"/>
    </row>
    <row r="28" spans="1:4" ht="15.75" x14ac:dyDescent="0.25">
      <c r="A28" s="914"/>
      <c r="B28" s="914"/>
      <c r="C28" s="914"/>
      <c r="D28" s="864"/>
    </row>
    <row r="29" spans="1:4" ht="15.75" x14ac:dyDescent="0.25">
      <c r="A29" s="914"/>
      <c r="B29" s="914"/>
      <c r="C29" s="914"/>
      <c r="D29" s="864"/>
    </row>
    <row r="30" spans="1:4" ht="15.75" x14ac:dyDescent="0.25">
      <c r="A30" s="914"/>
      <c r="B30" s="914"/>
      <c r="C30" s="914"/>
      <c r="D30" s="864"/>
    </row>
    <row r="31" spans="1:4" ht="15.75" x14ac:dyDescent="0.25">
      <c r="A31" s="914"/>
      <c r="B31" s="914"/>
      <c r="C31" s="914"/>
      <c r="D31" s="864"/>
    </row>
    <row r="32" spans="1:4" ht="15.75" x14ac:dyDescent="0.25">
      <c r="A32" s="914"/>
      <c r="B32" s="914"/>
      <c r="C32" s="914"/>
      <c r="D32" s="864"/>
    </row>
    <row r="33" spans="1:4" ht="15.75" x14ac:dyDescent="0.25">
      <c r="A33" s="914"/>
      <c r="B33" s="914"/>
      <c r="C33" s="914"/>
      <c r="D33" s="864"/>
    </row>
    <row r="34" spans="1:4" ht="15.75" x14ac:dyDescent="0.25">
      <c r="A34" s="914"/>
      <c r="B34" s="914"/>
      <c r="C34" s="914"/>
      <c r="D34" s="864"/>
    </row>
    <row r="35" spans="1:4" ht="15.75" x14ac:dyDescent="0.25">
      <c r="A35" s="914"/>
      <c r="B35" s="914"/>
      <c r="C35" s="914"/>
      <c r="D35" s="864"/>
    </row>
    <row r="36" spans="1:4" ht="15.75" x14ac:dyDescent="0.25">
      <c r="A36" s="914"/>
      <c r="B36" s="914"/>
      <c r="C36" s="914"/>
      <c r="D36" s="864"/>
    </row>
    <row r="37" spans="1:4" ht="15.75" x14ac:dyDescent="0.25">
      <c r="A37" s="914"/>
      <c r="B37" s="914"/>
      <c r="C37" s="914"/>
      <c r="D37" s="864"/>
    </row>
    <row r="38" spans="1:4" ht="15.75" x14ac:dyDescent="0.25">
      <c r="A38" s="914"/>
      <c r="B38" s="914"/>
      <c r="C38" s="914"/>
      <c r="D38" s="864"/>
    </row>
    <row r="39" spans="1:4" ht="15.75" x14ac:dyDescent="0.25">
      <c r="A39" s="914"/>
      <c r="B39" s="914"/>
      <c r="C39" s="914"/>
      <c r="D39" s="864"/>
    </row>
    <row r="40" spans="1:4" ht="15.75" x14ac:dyDescent="0.25">
      <c r="A40" s="914"/>
      <c r="B40" s="914"/>
      <c r="C40" s="914"/>
      <c r="D40" s="864"/>
    </row>
    <row r="41" spans="1:4" ht="15.75" x14ac:dyDescent="0.25">
      <c r="A41" s="914"/>
      <c r="B41" s="914"/>
      <c r="C41" s="914"/>
      <c r="D41" s="864"/>
    </row>
    <row r="42" spans="1:4" ht="15.75" x14ac:dyDescent="0.25">
      <c r="A42" s="914"/>
      <c r="B42" s="914"/>
      <c r="C42" s="914"/>
      <c r="D42" s="864"/>
    </row>
    <row r="43" spans="1:4" ht="15.75" x14ac:dyDescent="0.25">
      <c r="A43" s="914"/>
      <c r="B43" s="914"/>
      <c r="C43" s="914"/>
      <c r="D43" s="864"/>
    </row>
    <row r="44" spans="1:4" ht="15.75" x14ac:dyDescent="0.25">
      <c r="A44" s="914"/>
      <c r="B44" s="914"/>
      <c r="C44" s="914"/>
      <c r="D44" s="864"/>
    </row>
    <row r="45" spans="1:4" ht="15.75" x14ac:dyDescent="0.25">
      <c r="A45" s="914"/>
      <c r="B45" s="914"/>
      <c r="C45" s="914"/>
      <c r="D45" s="864"/>
    </row>
    <row r="46" spans="1:4" ht="15.75" x14ac:dyDescent="0.25">
      <c r="A46" s="914"/>
      <c r="B46" s="914"/>
      <c r="C46" s="914"/>
      <c r="D46" s="864"/>
    </row>
    <row r="47" spans="1:4" ht="15.75" x14ac:dyDescent="0.25">
      <c r="A47" s="914"/>
      <c r="B47" s="914"/>
      <c r="C47" s="914"/>
      <c r="D47" s="864"/>
    </row>
    <row r="48" spans="1:4" ht="15.75" x14ac:dyDescent="0.25">
      <c r="A48" s="914"/>
      <c r="B48" s="914"/>
      <c r="C48" s="914"/>
      <c r="D48" s="864"/>
    </row>
    <row r="49" spans="1:4" ht="15.75" x14ac:dyDescent="0.25">
      <c r="A49" s="914"/>
      <c r="B49" s="914"/>
      <c r="C49" s="914"/>
      <c r="D49" s="864"/>
    </row>
    <row r="50" spans="1:4" ht="15.75" x14ac:dyDescent="0.25">
      <c r="A50" s="914"/>
      <c r="B50" s="914"/>
      <c r="C50" s="914"/>
      <c r="D50" s="864"/>
    </row>
    <row r="51" spans="1:4" ht="15.75" x14ac:dyDescent="0.25">
      <c r="A51" s="914"/>
      <c r="B51" s="914"/>
      <c r="C51" s="914"/>
      <c r="D51" s="864"/>
    </row>
    <row r="52" spans="1:4" ht="15.75" x14ac:dyDescent="0.25">
      <c r="A52" s="864"/>
      <c r="B52" s="914"/>
      <c r="C52" s="914"/>
      <c r="D52" s="864"/>
    </row>
    <row r="53" spans="1:4" ht="15.75" x14ac:dyDescent="0.25">
      <c r="A53" s="864"/>
      <c r="B53" s="914"/>
      <c r="C53" s="914"/>
      <c r="D53" s="864"/>
    </row>
    <row r="54" spans="1:4" ht="15.75" x14ac:dyDescent="0.25">
      <c r="A54" s="864"/>
      <c r="B54" s="914"/>
      <c r="C54" s="914"/>
      <c r="D54" s="864"/>
    </row>
    <row r="55" spans="1:4" ht="15.75" x14ac:dyDescent="0.25">
      <c r="A55" s="864"/>
      <c r="B55" s="914"/>
      <c r="C55" s="914"/>
      <c r="D55" s="864"/>
    </row>
    <row r="56" spans="1:4" ht="15.75" x14ac:dyDescent="0.25">
      <c r="A56" s="864"/>
      <c r="B56" s="914"/>
      <c r="C56" s="914"/>
      <c r="D56" s="864"/>
    </row>
    <row r="57" spans="1:4" ht="15.75" x14ac:dyDescent="0.25">
      <c r="A57" s="864"/>
      <c r="B57" s="914"/>
      <c r="C57" s="914"/>
      <c r="D57" s="864"/>
    </row>
    <row r="58" spans="1:4" ht="15.75" x14ac:dyDescent="0.25">
      <c r="A58" s="864"/>
      <c r="B58" s="914"/>
      <c r="C58" s="914"/>
      <c r="D58" s="864"/>
    </row>
    <row r="59" spans="1:4" ht="15.75" x14ac:dyDescent="0.25">
      <c r="A59" s="864"/>
      <c r="B59" s="914"/>
      <c r="C59" s="914"/>
      <c r="D59" s="864"/>
    </row>
    <row r="60" spans="1:4" ht="15.75" x14ac:dyDescent="0.25">
      <c r="A60" s="864"/>
      <c r="B60" s="914"/>
      <c r="C60" s="914"/>
      <c r="D60" s="864"/>
    </row>
    <row r="61" spans="1:4" ht="15.75" x14ac:dyDescent="0.25">
      <c r="A61" s="864"/>
      <c r="B61" s="914"/>
      <c r="C61" s="914"/>
      <c r="D61" s="864"/>
    </row>
    <row r="62" spans="1:4" ht="15.75" x14ac:dyDescent="0.25">
      <c r="A62" s="864"/>
      <c r="B62" s="914"/>
      <c r="C62" s="914"/>
      <c r="D62" s="864"/>
    </row>
    <row r="63" spans="1:4" ht="15.75" x14ac:dyDescent="0.25">
      <c r="A63" s="864"/>
      <c r="B63" s="914"/>
      <c r="C63" s="914"/>
      <c r="D63" s="864"/>
    </row>
    <row r="64" spans="1:4" ht="15.75" x14ac:dyDescent="0.25">
      <c r="A64" s="864"/>
      <c r="B64" s="914"/>
      <c r="C64" s="914"/>
      <c r="D64" s="864"/>
    </row>
    <row r="65" spans="1:4" ht="15.75" x14ac:dyDescent="0.25">
      <c r="A65" s="864"/>
      <c r="B65" s="914"/>
      <c r="C65" s="914"/>
      <c r="D65" s="864"/>
    </row>
    <row r="66" spans="1:4" ht="15.75" x14ac:dyDescent="0.25">
      <c r="A66" s="864"/>
      <c r="B66" s="914"/>
      <c r="C66" s="914"/>
      <c r="D66" s="864"/>
    </row>
    <row r="67" spans="1:4" ht="15.75" x14ac:dyDescent="0.25">
      <c r="A67" s="864"/>
      <c r="B67" s="914"/>
      <c r="C67" s="914"/>
      <c r="D67" s="864"/>
    </row>
    <row r="68" spans="1:4" ht="15.75" x14ac:dyDescent="0.25">
      <c r="A68" s="864"/>
      <c r="B68" s="914"/>
      <c r="C68" s="914"/>
      <c r="D68" s="86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A1:V35"/>
  <sheetViews>
    <sheetView topLeftCell="F1" workbookViewId="0">
      <selection activeCell="I33" sqref="I33"/>
    </sheetView>
  </sheetViews>
  <sheetFormatPr defaultColWidth="8.7109375" defaultRowHeight="15" x14ac:dyDescent="0.25"/>
  <cols>
    <col min="1" max="1" width="1.42578125" customWidth="1"/>
    <col min="2" max="2" width="12.7109375" style="359" customWidth="1"/>
    <col min="3" max="3" width="17.7109375" style="359" customWidth="1"/>
    <col min="4" max="5" width="13.7109375" style="359" customWidth="1"/>
    <col min="6" max="8" width="13.7109375" customWidth="1"/>
    <col min="9" max="9" width="14.7109375" customWidth="1"/>
    <col min="10" max="12" width="13.7109375" customWidth="1"/>
    <col min="13" max="13" width="13.7109375" style="427" customWidth="1"/>
    <col min="14" max="14" width="13.7109375" customWidth="1"/>
    <col min="16" max="16" width="7.28515625" customWidth="1"/>
    <col min="17" max="17" width="14.7109375" customWidth="1"/>
    <col min="18" max="18" width="15.42578125" customWidth="1"/>
    <col min="20" max="20" width="5" customWidth="1"/>
    <col min="21" max="21" width="14.7109375" customWidth="1"/>
    <col min="22" max="22" width="15.42578125" customWidth="1"/>
  </cols>
  <sheetData>
    <row r="1" spans="2:22" s="427" customFormat="1" ht="5.65" customHeight="1" x14ac:dyDescent="0.25">
      <c r="B1" s="770"/>
      <c r="C1" s="770"/>
      <c r="D1" s="770"/>
      <c r="E1" s="770"/>
    </row>
    <row r="2" spans="2:22" x14ac:dyDescent="0.25">
      <c r="B2" s="1258" t="s">
        <v>457</v>
      </c>
      <c r="C2" s="1259"/>
      <c r="D2" s="1259"/>
      <c r="E2" s="1259"/>
      <c r="F2" s="1259"/>
      <c r="G2" s="1259"/>
      <c r="H2" s="1259"/>
      <c r="I2" s="1259"/>
      <c r="J2" s="1259"/>
      <c r="K2" s="1259"/>
      <c r="L2" s="1259"/>
      <c r="M2" s="1259"/>
      <c r="N2" s="1260"/>
      <c r="P2" s="1253"/>
      <c r="Q2" s="1254"/>
      <c r="R2" s="1255"/>
      <c r="S2" s="358"/>
      <c r="T2" s="1253"/>
      <c r="U2" s="1254"/>
      <c r="V2" s="1255"/>
    </row>
    <row r="3" spans="2:22" x14ac:dyDescent="0.25">
      <c r="B3" s="1256" t="s">
        <v>458</v>
      </c>
      <c r="C3" s="1261"/>
      <c r="D3" s="363">
        <v>2010</v>
      </c>
      <c r="E3" s="826">
        <v>2011</v>
      </c>
      <c r="F3" s="826">
        <v>2012</v>
      </c>
      <c r="G3" s="826">
        <v>2013</v>
      </c>
      <c r="H3" s="827">
        <v>2014</v>
      </c>
      <c r="I3" s="827">
        <v>2015</v>
      </c>
      <c r="J3" s="827">
        <v>2016</v>
      </c>
      <c r="K3" s="827">
        <v>2017</v>
      </c>
      <c r="L3" s="827">
        <v>2018</v>
      </c>
      <c r="M3" s="827">
        <v>2019</v>
      </c>
      <c r="N3" s="827">
        <v>2020</v>
      </c>
      <c r="P3" s="357" t="s">
        <v>354</v>
      </c>
      <c r="Q3" s="357" t="s">
        <v>473</v>
      </c>
      <c r="R3" s="357" t="s">
        <v>474</v>
      </c>
      <c r="T3" s="357" t="s">
        <v>354</v>
      </c>
      <c r="U3" s="357" t="s">
        <v>473</v>
      </c>
      <c r="V3" s="357" t="s">
        <v>474</v>
      </c>
    </row>
    <row r="4" spans="2:22" x14ac:dyDescent="0.25">
      <c r="B4" s="1262" t="s">
        <v>509</v>
      </c>
      <c r="C4" s="1263"/>
      <c r="D4" s="824"/>
      <c r="E4" s="824"/>
      <c r="F4" s="824"/>
      <c r="G4" s="824"/>
      <c r="H4" s="824"/>
      <c r="I4" s="824"/>
      <c r="J4" s="824"/>
      <c r="K4" s="824"/>
      <c r="L4" s="825"/>
      <c r="M4" s="364"/>
      <c r="N4" s="364"/>
      <c r="P4" s="355">
        <v>2017</v>
      </c>
      <c r="Q4" s="365"/>
      <c r="R4" s="366" t="e">
        <f>+(Q4-Q5)/Q5</f>
        <v>#DIV/0!</v>
      </c>
      <c r="S4" s="361"/>
      <c r="T4" s="355">
        <v>2017</v>
      </c>
      <c r="U4" s="365"/>
      <c r="V4" s="366" t="e">
        <f>+(U4-U5)/U5</f>
        <v>#DIV/0!</v>
      </c>
    </row>
    <row r="5" spans="2:22" ht="15.75" thickBot="1" x14ac:dyDescent="0.3">
      <c r="B5" s="1262" t="s">
        <v>510</v>
      </c>
      <c r="C5" s="1263"/>
      <c r="D5" s="367"/>
      <c r="E5" s="367"/>
      <c r="F5" s="367"/>
      <c r="G5" s="367"/>
      <c r="H5" s="367"/>
      <c r="I5" s="367"/>
      <c r="J5" s="367"/>
      <c r="K5" s="367"/>
      <c r="L5" s="368"/>
      <c r="M5" s="368"/>
      <c r="N5" s="368"/>
      <c r="P5" s="355">
        <v>2016</v>
      </c>
      <c r="Q5" s="369"/>
      <c r="R5" s="366" t="e">
        <f>+(Q5-Q6)/Q6</f>
        <v>#DIV/0!</v>
      </c>
      <c r="S5" s="361"/>
      <c r="T5" s="355">
        <v>2016</v>
      </c>
      <c r="U5" s="369"/>
      <c r="V5" s="366" t="e">
        <f>+(U5-U6)/U6</f>
        <v>#DIV/0!</v>
      </c>
    </row>
    <row r="6" spans="2:22" ht="15.75" thickBot="1" x14ac:dyDescent="0.3">
      <c r="B6" s="1256" t="s">
        <v>511</v>
      </c>
      <c r="C6" s="1261"/>
      <c r="D6" s="344">
        <f t="shared" ref="D6:L6" si="0">+D4+D5</f>
        <v>0</v>
      </c>
      <c r="E6" s="344">
        <f t="shared" si="0"/>
        <v>0</v>
      </c>
      <c r="F6" s="344">
        <f t="shared" si="0"/>
        <v>0</v>
      </c>
      <c r="G6" s="344">
        <f t="shared" si="0"/>
        <v>0</v>
      </c>
      <c r="H6" s="344">
        <f t="shared" si="0"/>
        <v>0</v>
      </c>
      <c r="I6" s="344">
        <f t="shared" si="0"/>
        <v>0</v>
      </c>
      <c r="J6" s="344">
        <f t="shared" si="0"/>
        <v>0</v>
      </c>
      <c r="K6" s="344">
        <f t="shared" si="0"/>
        <v>0</v>
      </c>
      <c r="L6" s="344">
        <f t="shared" si="0"/>
        <v>0</v>
      </c>
      <c r="M6" s="344">
        <f>+L6*(1+M7)</f>
        <v>0</v>
      </c>
      <c r="N6" s="344">
        <f>+M6*(1+N7)</f>
        <v>0</v>
      </c>
      <c r="P6" s="355">
        <v>2015</v>
      </c>
      <c r="Q6" s="369"/>
      <c r="R6" s="366" t="e">
        <f>+(Q6-Q7)/Q7</f>
        <v>#DIV/0!</v>
      </c>
      <c r="S6" s="361"/>
      <c r="T6" s="355">
        <v>2015</v>
      </c>
      <c r="U6" s="369"/>
      <c r="V6" s="366" t="e">
        <f>+(U6-U7)/U7</f>
        <v>#DIV/0!</v>
      </c>
    </row>
    <row r="7" spans="2:22" x14ac:dyDescent="0.25">
      <c r="B7" s="1113" t="s">
        <v>459</v>
      </c>
      <c r="C7" s="1113"/>
      <c r="D7"/>
      <c r="E7" s="37" t="e">
        <f t="shared" ref="E7:L7" si="1">+(E6-D6)/D6</f>
        <v>#DIV/0!</v>
      </c>
      <c r="F7" s="37" t="e">
        <f t="shared" si="1"/>
        <v>#DIV/0!</v>
      </c>
      <c r="G7" s="37" t="e">
        <f t="shared" si="1"/>
        <v>#DIV/0!</v>
      </c>
      <c r="H7" s="37" t="e">
        <f t="shared" si="1"/>
        <v>#DIV/0!</v>
      </c>
      <c r="I7" s="37" t="e">
        <f t="shared" si="1"/>
        <v>#DIV/0!</v>
      </c>
      <c r="J7" s="37" t="e">
        <f t="shared" si="1"/>
        <v>#DIV/0!</v>
      </c>
      <c r="K7" s="37" t="e">
        <f t="shared" si="1"/>
        <v>#DIV/0!</v>
      </c>
      <c r="L7" s="37" t="e">
        <f t="shared" si="1"/>
        <v>#DIV/0!</v>
      </c>
      <c r="M7" s="828"/>
      <c r="N7" s="828"/>
      <c r="P7" s="355">
        <v>2014</v>
      </c>
      <c r="Q7" s="369"/>
      <c r="R7" s="366" t="e">
        <f>+(Q7-Q8)/Q8</f>
        <v>#DIV/0!</v>
      </c>
      <c r="S7" s="361"/>
      <c r="T7" s="355">
        <v>2014</v>
      </c>
      <c r="U7" s="369"/>
      <c r="V7" s="366" t="e">
        <f>+(U7-U8)/U8</f>
        <v>#DIV/0!</v>
      </c>
    </row>
    <row r="8" spans="2:22" x14ac:dyDescent="0.25">
      <c r="B8" s="1256" t="s">
        <v>460</v>
      </c>
      <c r="C8" s="1257"/>
      <c r="D8" s="370"/>
      <c r="E8" s="370"/>
      <c r="F8" s="370" t="e">
        <f>+AVERAGE(E7:L7)</f>
        <v>#DIV/0!</v>
      </c>
      <c r="G8" s="37"/>
      <c r="H8" s="37"/>
      <c r="I8" s="37"/>
      <c r="J8" s="37"/>
      <c r="P8" s="356">
        <v>2013</v>
      </c>
      <c r="Q8" s="371"/>
      <c r="R8" s="372"/>
      <c r="S8" s="361"/>
      <c r="T8" s="356">
        <v>2013</v>
      </c>
      <c r="U8" s="371"/>
      <c r="V8" s="372"/>
    </row>
    <row r="9" spans="2:22" ht="15.75" thickBot="1" x14ac:dyDescent="0.3">
      <c r="B9" s="362"/>
      <c r="C9" s="362"/>
      <c r="D9" s="345"/>
      <c r="E9" s="345"/>
      <c r="F9" s="345"/>
      <c r="G9" s="37"/>
      <c r="H9" s="37"/>
      <c r="I9" s="37"/>
      <c r="J9" s="37"/>
    </row>
    <row r="10" spans="2:22" ht="15.75" thickBot="1" x14ac:dyDescent="0.3">
      <c r="B10" s="1266" t="s">
        <v>461</v>
      </c>
      <c r="C10" s="1267"/>
      <c r="D10" s="346">
        <f>+D6*$C$11</f>
        <v>0</v>
      </c>
      <c r="E10" s="346">
        <f>+E6*$C$11</f>
        <v>0</v>
      </c>
      <c r="F10" s="346">
        <f>+F6*$C$11</f>
        <v>0</v>
      </c>
      <c r="G10" s="346">
        <f t="shared" ref="G10:N10" si="2">+G6*$C$11</f>
        <v>0</v>
      </c>
      <c r="H10" s="346">
        <f t="shared" si="2"/>
        <v>0</v>
      </c>
      <c r="I10" s="346">
        <f t="shared" si="2"/>
        <v>0</v>
      </c>
      <c r="J10" s="346">
        <f t="shared" si="2"/>
        <v>0</v>
      </c>
      <c r="K10" s="346">
        <f t="shared" si="2"/>
        <v>0</v>
      </c>
      <c r="L10" s="346">
        <f t="shared" si="2"/>
        <v>0</v>
      </c>
      <c r="M10" s="346">
        <f>+M6*$C$11</f>
        <v>0</v>
      </c>
      <c r="N10" s="346">
        <f t="shared" si="2"/>
        <v>0</v>
      </c>
      <c r="P10" s="1253"/>
      <c r="Q10" s="1254"/>
      <c r="R10" s="1255"/>
      <c r="T10" s="1253"/>
      <c r="U10" s="1254"/>
      <c r="V10" s="1255"/>
    </row>
    <row r="11" spans="2:22" x14ac:dyDescent="0.25">
      <c r="B11" s="37"/>
      <c r="C11" s="373">
        <v>1</v>
      </c>
      <c r="D11" s="269"/>
      <c r="E11" s="269"/>
      <c r="F11" s="269"/>
      <c r="G11" s="37"/>
      <c r="H11" s="37"/>
      <c r="I11" s="37"/>
      <c r="J11" s="37"/>
      <c r="P11" s="357" t="s">
        <v>354</v>
      </c>
      <c r="Q11" s="357" t="s">
        <v>473</v>
      </c>
      <c r="R11" s="357" t="s">
        <v>474</v>
      </c>
      <c r="T11" s="357" t="s">
        <v>354</v>
      </c>
      <c r="U11" s="357" t="s">
        <v>473</v>
      </c>
      <c r="V11" s="357" t="s">
        <v>474</v>
      </c>
    </row>
    <row r="12" spans="2:22" x14ac:dyDescent="0.25">
      <c r="C12" s="771"/>
      <c r="D12"/>
      <c r="E12"/>
      <c r="P12" s="355">
        <v>2017</v>
      </c>
      <c r="Q12" s="365"/>
      <c r="R12" s="366" t="e">
        <f>+(Q12-Q13)/Q13</f>
        <v>#DIV/0!</v>
      </c>
      <c r="T12" s="355">
        <v>2017</v>
      </c>
      <c r="U12" s="365"/>
      <c r="V12" s="366" t="e">
        <f>+(U12-U13)/U13</f>
        <v>#DIV/0!</v>
      </c>
    </row>
    <row r="13" spans="2:22" x14ac:dyDescent="0.25">
      <c r="B13" s="1258" t="s">
        <v>462</v>
      </c>
      <c r="C13" s="1259"/>
      <c r="D13" s="1259"/>
      <c r="E13" s="1259"/>
      <c r="F13" s="1259"/>
      <c r="G13" s="1259"/>
      <c r="H13" s="1259"/>
      <c r="I13" s="1259"/>
      <c r="J13" s="1259"/>
      <c r="K13" s="1259"/>
      <c r="L13" s="1259"/>
      <c r="M13" s="1259"/>
      <c r="N13" s="1260"/>
      <c r="P13" s="355">
        <v>2016</v>
      </c>
      <c r="Q13" s="369"/>
      <c r="R13" s="366" t="e">
        <f>+(Q13-Q14)/Q14</f>
        <v>#DIV/0!</v>
      </c>
      <c r="T13" s="355">
        <v>2016</v>
      </c>
      <c r="U13" s="369"/>
      <c r="V13" s="366" t="e">
        <f>+(U13-U14)/U14</f>
        <v>#DIV/0!</v>
      </c>
    </row>
    <row r="14" spans="2:22" x14ac:dyDescent="0.25">
      <c r="B14" s="1256" t="s">
        <v>463</v>
      </c>
      <c r="C14" s="1261"/>
      <c r="D14" s="363" t="s">
        <v>803</v>
      </c>
      <c r="E14" s="363" t="s">
        <v>483</v>
      </c>
      <c r="F14" s="363" t="s">
        <v>482</v>
      </c>
      <c r="G14" s="363" t="s">
        <v>804</v>
      </c>
      <c r="H14" s="357" t="s">
        <v>481</v>
      </c>
      <c r="I14" s="357" t="s">
        <v>480</v>
      </c>
      <c r="J14" s="357" t="s">
        <v>479</v>
      </c>
      <c r="K14" s="357" t="s">
        <v>478</v>
      </c>
      <c r="L14" s="357" t="s">
        <v>477</v>
      </c>
      <c r="M14" s="357" t="s">
        <v>484</v>
      </c>
      <c r="N14" s="357" t="s">
        <v>485</v>
      </c>
      <c r="P14" s="355">
        <v>2015</v>
      </c>
      <c r="Q14" s="369"/>
      <c r="R14" s="366" t="e">
        <f>+(Q14-Q15)/Q15</f>
        <v>#DIV/0!</v>
      </c>
      <c r="T14" s="355">
        <v>2015</v>
      </c>
      <c r="U14" s="369"/>
      <c r="V14" s="366" t="e">
        <f>+(U14-U15)/U15</f>
        <v>#DIV/0!</v>
      </c>
    </row>
    <row r="15" spans="2:22" ht="15.75" thickBot="1" x14ac:dyDescent="0.3">
      <c r="B15" s="1262" t="s">
        <v>464</v>
      </c>
      <c r="C15" s="1263"/>
      <c r="D15" s="374" t="e">
        <f t="shared" ref="D15:I15" si="3">+D16/D10</f>
        <v>#DIV/0!</v>
      </c>
      <c r="E15" s="374" t="e">
        <f t="shared" si="3"/>
        <v>#DIV/0!</v>
      </c>
      <c r="F15" s="374" t="e">
        <f t="shared" si="3"/>
        <v>#DIV/0!</v>
      </c>
      <c r="G15" s="374" t="e">
        <f t="shared" si="3"/>
        <v>#DIV/0!</v>
      </c>
      <c r="H15" s="374" t="e">
        <f t="shared" si="3"/>
        <v>#DIV/0!</v>
      </c>
      <c r="I15" s="374" t="e">
        <f t="shared" si="3"/>
        <v>#DIV/0!</v>
      </c>
      <c r="J15" s="374" t="e">
        <f>+J16/J10</f>
        <v>#DIV/0!</v>
      </c>
      <c r="K15" s="375" t="e">
        <f>+J15*(1+K17)</f>
        <v>#DIV/0!</v>
      </c>
      <c r="L15" s="375" t="e">
        <f>+K15*(1+L17)</f>
        <v>#DIV/0!</v>
      </c>
      <c r="M15" s="375" t="e">
        <f>+K15*(1+M17)</f>
        <v>#DIV/0!</v>
      </c>
      <c r="N15" s="375" t="e">
        <f>+L15*(1+N17)</f>
        <v>#DIV/0!</v>
      </c>
      <c r="P15" s="355">
        <v>2014</v>
      </c>
      <c r="Q15" s="369"/>
      <c r="R15" s="366" t="e">
        <f>+(Q15-Q16)/Q16</f>
        <v>#DIV/0!</v>
      </c>
      <c r="T15" s="355">
        <v>2014</v>
      </c>
      <c r="U15" s="369"/>
      <c r="V15" s="366" t="e">
        <f>+(U15-U16)/U16</f>
        <v>#DIV/0!</v>
      </c>
    </row>
    <row r="16" spans="2:22" ht="15.75" thickBot="1" x14ac:dyDescent="0.3">
      <c r="B16" s="1264" t="s">
        <v>465</v>
      </c>
      <c r="C16" s="1265"/>
      <c r="D16" s="346"/>
      <c r="E16" s="346"/>
      <c r="F16" s="346"/>
      <c r="G16" s="346"/>
      <c r="H16" s="346"/>
      <c r="I16" s="346"/>
      <c r="J16" s="346"/>
      <c r="K16" s="346"/>
      <c r="L16" s="346" t="e">
        <f>+L15*L10</f>
        <v>#DIV/0!</v>
      </c>
      <c r="M16" s="346" t="e">
        <f>+M10*M15</f>
        <v>#DIV/0!</v>
      </c>
      <c r="N16" s="346" t="e">
        <f>+N10*N15</f>
        <v>#DIV/0!</v>
      </c>
      <c r="P16" s="356">
        <v>2013</v>
      </c>
      <c r="Q16" s="371"/>
      <c r="R16" s="372"/>
      <c r="T16" s="356">
        <v>2013</v>
      </c>
      <c r="U16" s="371"/>
      <c r="V16" s="372"/>
    </row>
    <row r="17" spans="1:18" x14ac:dyDescent="0.25">
      <c r="B17" s="1113" t="s">
        <v>466</v>
      </c>
      <c r="C17" s="1113"/>
      <c r="D17"/>
      <c r="E17" s="37"/>
      <c r="F17" s="37" t="e">
        <f>+(F15-E15)/E15</f>
        <v>#DIV/0!</v>
      </c>
      <c r="G17" s="37" t="e">
        <f>+(G15-F15)/F15</f>
        <v>#DIV/0!</v>
      </c>
      <c r="H17" s="37" t="e">
        <f t="shared" ref="H17:L18" si="4">+(H15-G15)/G15</f>
        <v>#DIV/0!</v>
      </c>
      <c r="I17" s="37" t="e">
        <f t="shared" si="4"/>
        <v>#DIV/0!</v>
      </c>
      <c r="J17" s="37" t="e">
        <f t="shared" si="4"/>
        <v>#DIV/0!</v>
      </c>
      <c r="K17" s="376">
        <v>5.0000000000000001E-3</v>
      </c>
      <c r="L17" s="376">
        <v>5.0000000000000001E-3</v>
      </c>
      <c r="M17" s="376">
        <v>5.0000000000000001E-3</v>
      </c>
      <c r="N17" s="376">
        <v>5.0000000000000001E-3</v>
      </c>
    </row>
    <row r="18" spans="1:18" x14ac:dyDescent="0.25">
      <c r="B18" s="1113" t="s">
        <v>467</v>
      </c>
      <c r="C18" s="1113"/>
      <c r="D18"/>
      <c r="E18" s="37" t="e">
        <f>+(E16-D16)/D16</f>
        <v>#DIV/0!</v>
      </c>
      <c r="F18" s="37" t="e">
        <f>+(F16-E16)/E16</f>
        <v>#DIV/0!</v>
      </c>
      <c r="G18" s="37" t="e">
        <f>+(G16-F16)/F16</f>
        <v>#DIV/0!</v>
      </c>
      <c r="H18" s="37" t="e">
        <f t="shared" si="4"/>
        <v>#DIV/0!</v>
      </c>
      <c r="I18" s="37" t="e">
        <f t="shared" si="4"/>
        <v>#DIV/0!</v>
      </c>
      <c r="J18" s="37" t="e">
        <f t="shared" si="4"/>
        <v>#DIV/0!</v>
      </c>
      <c r="K18" s="37" t="e">
        <f t="shared" si="4"/>
        <v>#DIV/0!</v>
      </c>
      <c r="L18" s="37" t="e">
        <f t="shared" si="4"/>
        <v>#DIV/0!</v>
      </c>
      <c r="M18" s="37"/>
      <c r="N18" s="37"/>
      <c r="P18" s="1253"/>
      <c r="Q18" s="1254"/>
      <c r="R18" s="1255"/>
    </row>
    <row r="19" spans="1:18" x14ac:dyDescent="0.25">
      <c r="B19" s="1256" t="s">
        <v>512</v>
      </c>
      <c r="C19" s="1257"/>
      <c r="D19" s="425"/>
      <c r="E19" s="425"/>
      <c r="F19" s="377" t="e">
        <f>+AVERAGE(E17:J17)</f>
        <v>#DIV/0!</v>
      </c>
      <c r="P19" s="357" t="s">
        <v>354</v>
      </c>
      <c r="Q19" s="357" t="s">
        <v>473</v>
      </c>
      <c r="R19" s="357" t="s">
        <v>474</v>
      </c>
    </row>
    <row r="20" spans="1:18" x14ac:dyDescent="0.25">
      <c r="B20" s="1256" t="s">
        <v>468</v>
      </c>
      <c r="C20" s="1257"/>
      <c r="D20" s="425"/>
      <c r="E20" s="425"/>
      <c r="F20" s="377" t="e">
        <f>+AVERAGE(E18:J18)</f>
        <v>#DIV/0!</v>
      </c>
      <c r="P20" s="426"/>
      <c r="Q20" s="364"/>
      <c r="R20" s="368"/>
    </row>
    <row r="21" spans="1:18" x14ac:dyDescent="0.25">
      <c r="B21" s="362"/>
      <c r="C21" s="362"/>
      <c r="D21" s="362"/>
      <c r="E21" s="362"/>
      <c r="F21" s="347"/>
      <c r="I21" s="1253" t="s">
        <v>148</v>
      </c>
      <c r="J21" s="1255"/>
      <c r="P21" s="355">
        <v>2017</v>
      </c>
      <c r="Q21" s="365"/>
      <c r="R21" s="366" t="e">
        <f>+(Q21-Q22)/Q22</f>
        <v>#DIV/0!</v>
      </c>
    </row>
    <row r="22" spans="1:18" x14ac:dyDescent="0.25">
      <c r="A22" s="348"/>
      <c r="B22" s="362"/>
      <c r="C22" s="362"/>
      <c r="D22" s="362"/>
      <c r="E22" s="362"/>
      <c r="F22" s="362"/>
      <c r="G22" s="362"/>
      <c r="H22" s="378" t="s">
        <v>486</v>
      </c>
      <c r="I22" s="379"/>
      <c r="J22" s="379"/>
      <c r="K22" s="380"/>
      <c r="L22" s="380"/>
      <c r="M22" s="380"/>
      <c r="N22" s="380"/>
      <c r="P22" s="355">
        <v>2016</v>
      </c>
      <c r="Q22" s="369"/>
      <c r="R22" s="366" t="e">
        <f>+(Q22-Q23)/Q23</f>
        <v>#DIV/0!</v>
      </c>
    </row>
    <row r="23" spans="1:18" x14ac:dyDescent="0.25">
      <c r="A23" s="358"/>
      <c r="B23" s="829" t="s">
        <v>470</v>
      </c>
      <c r="C23" s="362"/>
      <c r="D23" s="362"/>
      <c r="E23" s="362"/>
      <c r="F23" s="359"/>
      <c r="G23" s="359"/>
      <c r="H23" s="359"/>
      <c r="I23" s="359"/>
      <c r="J23" s="359"/>
      <c r="K23" s="359"/>
      <c r="P23" s="355">
        <v>2015</v>
      </c>
      <c r="Q23" s="369"/>
      <c r="R23" s="366" t="e">
        <f>+(Q23-Q24)/Q24</f>
        <v>#DIV/0!</v>
      </c>
    </row>
    <row r="24" spans="1:18" x14ac:dyDescent="0.25">
      <c r="A24" s="358"/>
      <c r="B24" s="830"/>
      <c r="F24" s="362"/>
      <c r="G24" s="362"/>
      <c r="H24" s="362"/>
      <c r="I24" s="362"/>
      <c r="J24" s="362"/>
      <c r="K24" s="362"/>
      <c r="P24" s="355">
        <v>2014</v>
      </c>
      <c r="Q24" s="369"/>
      <c r="R24" s="366" t="e">
        <f>+(Q24-Q25)/Q25</f>
        <v>#DIV/0!</v>
      </c>
    </row>
    <row r="25" spans="1:18" x14ac:dyDescent="0.25">
      <c r="B25" s="772"/>
      <c r="F25" s="359"/>
      <c r="G25" s="359"/>
      <c r="H25" s="359"/>
      <c r="I25" s="359"/>
      <c r="J25" s="359"/>
      <c r="K25" s="359"/>
      <c r="P25" s="356">
        <v>2013</v>
      </c>
      <c r="Q25" s="371"/>
      <c r="R25" s="372"/>
    </row>
    <row r="26" spans="1:18" x14ac:dyDescent="0.25">
      <c r="B26" s="830"/>
      <c r="F26" s="362"/>
      <c r="G26" s="362"/>
      <c r="H26" s="362"/>
      <c r="I26" s="362"/>
      <c r="J26" s="362"/>
      <c r="K26" s="362"/>
    </row>
    <row r="27" spans="1:18" x14ac:dyDescent="0.25">
      <c r="B27" s="772"/>
      <c r="C27"/>
      <c r="D27"/>
      <c r="E27"/>
      <c r="F27" s="359"/>
      <c r="G27" s="359"/>
      <c r="H27" s="359"/>
      <c r="I27" s="359"/>
      <c r="J27" s="359"/>
      <c r="K27" s="359"/>
    </row>
    <row r="28" spans="1:18" x14ac:dyDescent="0.25">
      <c r="B28" s="772"/>
      <c r="C28"/>
      <c r="D28"/>
      <c r="E28"/>
      <c r="G28" s="233"/>
      <c r="H28" s="121"/>
      <c r="I28" s="121"/>
      <c r="J28" s="121"/>
    </row>
    <row r="29" spans="1:18" x14ac:dyDescent="0.25">
      <c r="B29" s="829" t="s">
        <v>469</v>
      </c>
      <c r="C29"/>
      <c r="D29"/>
      <c r="E29"/>
    </row>
    <row r="30" spans="1:18" x14ac:dyDescent="0.25">
      <c r="B30" s="772"/>
      <c r="C30"/>
      <c r="D30"/>
      <c r="E30"/>
    </row>
    <row r="31" spans="1:18" x14ac:dyDescent="0.25">
      <c r="B31" s="772"/>
      <c r="C31"/>
      <c r="D31"/>
      <c r="E31"/>
    </row>
    <row r="32" spans="1:18" x14ac:dyDescent="0.25">
      <c r="B32" s="831"/>
      <c r="C32" s="358"/>
      <c r="D32" s="358"/>
      <c r="E32" s="358"/>
    </row>
    <row r="33" spans="2:2" x14ac:dyDescent="0.25">
      <c r="B33" s="360"/>
    </row>
    <row r="34" spans="2:2" x14ac:dyDescent="0.25">
      <c r="B34" s="360"/>
    </row>
    <row r="35" spans="2:2" x14ac:dyDescent="0.25">
      <c r="B35" s="360"/>
    </row>
  </sheetData>
  <customSheetViews>
    <customSheetView guid="{BBA80CC4-398C-41FE-99C8-A75F96D5CA58}">
      <selection activeCell="H41" sqref="H41"/>
      <pageMargins left="0.7" right="0.7" top="0.75" bottom="0.75" header="0.3" footer="0.3"/>
      <pageSetup scale="53" orientation="portrait"/>
    </customSheetView>
    <customSheetView guid="{03C358DA-88A4-4E12-84B7-BB4E50E89831}">
      <selection activeCell="H41" sqref="H41"/>
      <pageMargins left="0.7" right="0.7" top="0.75" bottom="0.75" header="0.3" footer="0.3"/>
      <pageSetup scale="53" orientation="portrait"/>
    </customSheetView>
  </customSheetViews>
  <mergeCells count="22">
    <mergeCell ref="T10:V10"/>
    <mergeCell ref="B2:N2"/>
    <mergeCell ref="P2:R2"/>
    <mergeCell ref="T2:V2"/>
    <mergeCell ref="B3:C3"/>
    <mergeCell ref="B4:C4"/>
    <mergeCell ref="B5:C5"/>
    <mergeCell ref="B6:C6"/>
    <mergeCell ref="B7:C7"/>
    <mergeCell ref="B8:C8"/>
    <mergeCell ref="B10:C10"/>
    <mergeCell ref="P10:R10"/>
    <mergeCell ref="P18:R18"/>
    <mergeCell ref="B19:C19"/>
    <mergeCell ref="I21:J21"/>
    <mergeCell ref="B13:N13"/>
    <mergeCell ref="B14:C14"/>
    <mergeCell ref="B15:C15"/>
    <mergeCell ref="B16:C16"/>
    <mergeCell ref="B17:C17"/>
    <mergeCell ref="B18:C18"/>
    <mergeCell ref="B20:C20"/>
  </mergeCells>
  <pageMargins left="0.7" right="0.7" top="0.75" bottom="0.75" header="0.3" footer="0.3"/>
  <pageSetup scale="53" orientation="portrait"/>
  <colBreaks count="1" manualBreakCount="1">
    <brk id="14" min="1" max="2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  <pageSetUpPr fitToPage="1"/>
  </sheetPr>
  <dimension ref="A1:P63"/>
  <sheetViews>
    <sheetView topLeftCell="A28" workbookViewId="0">
      <selection activeCell="B2" sqref="B2"/>
    </sheetView>
  </sheetViews>
  <sheetFormatPr defaultColWidth="8.7109375" defaultRowHeight="15" x14ac:dyDescent="0.25"/>
  <cols>
    <col min="1" max="1" width="3.28515625" customWidth="1"/>
    <col min="4" max="4" width="12" customWidth="1"/>
    <col min="5" max="5" width="12.28515625" customWidth="1"/>
    <col min="6" max="6" width="20.28515625" style="160" customWidth="1"/>
    <col min="7" max="7" width="15" customWidth="1"/>
    <col min="8" max="8" width="15.42578125" customWidth="1"/>
    <col min="9" max="9" width="3.7109375" customWidth="1"/>
    <col min="10" max="10" width="31.140625" customWidth="1"/>
    <col min="11" max="11" width="17.7109375" customWidth="1"/>
    <col min="12" max="12" width="12.7109375" customWidth="1"/>
    <col min="13" max="13" width="8.7109375" customWidth="1"/>
    <col min="14" max="14" width="30.42578125" customWidth="1"/>
    <col min="15" max="15" width="8.7109375" customWidth="1"/>
    <col min="16" max="16" width="17.28515625" customWidth="1"/>
  </cols>
  <sheetData>
    <row r="1" spans="1:16" ht="23.25" x14ac:dyDescent="0.35">
      <c r="A1" s="1" t="str">
        <f>+'Data Entry'!C6</f>
        <v>LF III</v>
      </c>
      <c r="F1" s="5"/>
    </row>
    <row r="2" spans="1:16" ht="15.75" x14ac:dyDescent="0.25">
      <c r="A2" s="12" t="s">
        <v>54</v>
      </c>
      <c r="F2" s="5"/>
    </row>
    <row r="3" spans="1:16" x14ac:dyDescent="0.25">
      <c r="A3" s="11" t="s">
        <v>529</v>
      </c>
      <c r="F3" s="5"/>
    </row>
    <row r="4" spans="1:16" x14ac:dyDescent="0.25">
      <c r="A4" s="1268" t="str">
        <f>+'Board Summary'!B3</f>
        <v>Hampton Inn &amp; Suites Wichita Airport</v>
      </c>
      <c r="B4" s="1268"/>
      <c r="C4" s="1268"/>
      <c r="F4" s="5"/>
    </row>
    <row r="5" spans="1:16" x14ac:dyDescent="0.25">
      <c r="F5" s="5"/>
    </row>
    <row r="6" spans="1:16" ht="18.75" x14ac:dyDescent="0.3">
      <c r="A6" s="194"/>
      <c r="F6" s="162" t="s">
        <v>201</v>
      </c>
      <c r="G6" s="159" t="s">
        <v>119</v>
      </c>
      <c r="H6" s="406"/>
      <c r="I6" s="217" t="s">
        <v>569</v>
      </c>
      <c r="J6" s="556"/>
      <c r="K6" s="557"/>
      <c r="M6" s="217" t="s">
        <v>552</v>
      </c>
      <c r="N6" s="556"/>
      <c r="O6" s="557"/>
      <c r="P6" s="557"/>
    </row>
    <row r="7" spans="1:16" x14ac:dyDescent="0.25">
      <c r="A7" t="s">
        <v>570</v>
      </c>
      <c r="F7" s="5"/>
      <c r="G7" s="28"/>
      <c r="I7" s="163"/>
      <c r="J7" s="164"/>
      <c r="K7" s="187" t="s">
        <v>112</v>
      </c>
      <c r="L7" s="194"/>
      <c r="M7" s="194"/>
      <c r="N7" s="194"/>
      <c r="O7" s="14"/>
      <c r="P7" s="162" t="s">
        <v>112</v>
      </c>
    </row>
    <row r="8" spans="1:16" x14ac:dyDescent="0.25">
      <c r="F8" s="409"/>
      <c r="G8" s="28"/>
      <c r="I8" t="s">
        <v>114</v>
      </c>
      <c r="K8" s="257"/>
      <c r="M8" s="468" t="s">
        <v>113</v>
      </c>
      <c r="O8" s="5"/>
      <c r="P8" s="257"/>
    </row>
    <row r="9" spans="1:16" x14ac:dyDescent="0.25">
      <c r="B9" t="str">
        <f>+I6</f>
        <v>INTERNALLY ESTIMATED PIP</v>
      </c>
      <c r="E9" s="467"/>
      <c r="F9" s="194">
        <f>+K31</f>
        <v>200000</v>
      </c>
      <c r="G9" s="28">
        <f>F9/'Data Entry'!E$18</f>
        <v>1600</v>
      </c>
      <c r="H9" s="103"/>
      <c r="I9" t="s">
        <v>530</v>
      </c>
      <c r="K9" s="257"/>
      <c r="M9" s="468" t="s">
        <v>548</v>
      </c>
      <c r="O9" s="5"/>
      <c r="P9" s="257"/>
    </row>
    <row r="10" spans="1:16" x14ac:dyDescent="0.25">
      <c r="B10" t="str">
        <f>+M6</f>
        <v>OBSERVED INFRASTRUCTURE (NON PIP)</v>
      </c>
      <c r="F10" s="194">
        <f>+P40</f>
        <v>0</v>
      </c>
      <c r="G10" s="28">
        <f>F10/'Data Entry'!E$18</f>
        <v>0</v>
      </c>
      <c r="I10" t="s">
        <v>531</v>
      </c>
      <c r="K10" s="257"/>
      <c r="M10" s="468"/>
      <c r="N10" t="s">
        <v>549</v>
      </c>
      <c r="P10" s="257"/>
    </row>
    <row r="11" spans="1:16" x14ac:dyDescent="0.25">
      <c r="D11" s="165"/>
      <c r="E11" s="165"/>
      <c r="F11" s="194"/>
      <c r="G11" s="28"/>
      <c r="J11" t="s">
        <v>533</v>
      </c>
      <c r="K11" s="257"/>
      <c r="M11" s="468"/>
      <c r="N11" t="s">
        <v>550</v>
      </c>
      <c r="P11" s="257"/>
    </row>
    <row r="12" spans="1:16" x14ac:dyDescent="0.25">
      <c r="B12" t="s">
        <v>732</v>
      </c>
      <c r="F12" s="409">
        <f>+'Data Entry'!E52</f>
        <v>175000</v>
      </c>
      <c r="G12" s="28">
        <f>F12/'Data Entry'!E$18</f>
        <v>1400</v>
      </c>
      <c r="J12" t="s">
        <v>534</v>
      </c>
      <c r="K12" s="257"/>
      <c r="M12" s="468"/>
      <c r="N12" t="s">
        <v>20</v>
      </c>
      <c r="O12" s="5"/>
      <c r="P12" s="257"/>
    </row>
    <row r="13" spans="1:16" x14ac:dyDescent="0.25">
      <c r="A13" t="s">
        <v>571</v>
      </c>
      <c r="F13" s="409">
        <f>SUM(F9:F12)</f>
        <v>375000</v>
      </c>
      <c r="G13" s="28">
        <f>F13/'Data Entry'!E$18</f>
        <v>3000</v>
      </c>
      <c r="J13" t="s">
        <v>535</v>
      </c>
      <c r="K13" s="257"/>
      <c r="M13" s="468" t="s">
        <v>551</v>
      </c>
      <c r="O13" s="5"/>
      <c r="P13" s="257"/>
    </row>
    <row r="14" spans="1:16" x14ac:dyDescent="0.25">
      <c r="F14" s="409"/>
      <c r="G14" s="28"/>
      <c r="J14" t="s">
        <v>536</v>
      </c>
      <c r="K14" s="257"/>
      <c r="M14" s="468"/>
      <c r="N14" t="s">
        <v>547</v>
      </c>
      <c r="O14" s="5"/>
      <c r="P14" s="257"/>
    </row>
    <row r="15" spans="1:16" x14ac:dyDescent="0.25">
      <c r="A15" s="11" t="s">
        <v>202</v>
      </c>
      <c r="F15" s="409"/>
      <c r="G15" s="28"/>
      <c r="J15" t="s">
        <v>743</v>
      </c>
      <c r="K15" s="257"/>
      <c r="M15" s="468"/>
      <c r="N15" s="427" t="s">
        <v>744</v>
      </c>
      <c r="O15" s="5"/>
      <c r="P15" s="257"/>
    </row>
    <row r="16" spans="1:16" x14ac:dyDescent="0.25">
      <c r="F16" s="409"/>
      <c r="G16" s="28"/>
      <c r="J16" t="s">
        <v>537</v>
      </c>
      <c r="K16" s="257"/>
      <c r="N16" t="s">
        <v>573</v>
      </c>
      <c r="O16" s="5"/>
      <c r="P16" s="257"/>
    </row>
    <row r="17" spans="1:16" x14ac:dyDescent="0.25">
      <c r="F17" s="194"/>
      <c r="G17" s="28"/>
      <c r="J17" t="s">
        <v>538</v>
      </c>
      <c r="K17" s="257"/>
      <c r="N17" t="s">
        <v>20</v>
      </c>
      <c r="O17" s="5"/>
      <c r="P17" s="257"/>
    </row>
    <row r="18" spans="1:16" x14ac:dyDescent="0.25">
      <c r="B18" t="s">
        <v>56</v>
      </c>
      <c r="F18" s="194">
        <v>75000</v>
      </c>
      <c r="G18" s="28">
        <f>F18/'Data Entry'!E$18</f>
        <v>600</v>
      </c>
      <c r="I18" s="427"/>
      <c r="J18" t="s">
        <v>539</v>
      </c>
      <c r="K18" s="257"/>
      <c r="M18" s="468" t="s">
        <v>553</v>
      </c>
      <c r="P18" s="257"/>
    </row>
    <row r="19" spans="1:16" x14ac:dyDescent="0.25">
      <c r="B19" t="s">
        <v>57</v>
      </c>
      <c r="F19" s="194">
        <f>35000+(Pricing!E15*0.00125)</f>
        <v>57500</v>
      </c>
      <c r="G19" s="28">
        <f>F19/'Data Entry'!E$18</f>
        <v>460</v>
      </c>
      <c r="I19" s="427" t="s">
        <v>532</v>
      </c>
      <c r="K19" s="257"/>
      <c r="M19" s="468"/>
      <c r="N19" t="s">
        <v>554</v>
      </c>
      <c r="P19" s="257"/>
    </row>
    <row r="20" spans="1:16" x14ac:dyDescent="0.25">
      <c r="B20" t="s">
        <v>572</v>
      </c>
      <c r="F20" s="194">
        <f>25000+20000+30000</f>
        <v>75000</v>
      </c>
      <c r="G20" s="28">
        <f>F20/'Data Entry'!E$18</f>
        <v>600</v>
      </c>
      <c r="J20" t="s">
        <v>540</v>
      </c>
      <c r="K20" s="257"/>
      <c r="M20" s="468"/>
      <c r="N20" t="s">
        <v>20</v>
      </c>
      <c r="P20" s="257"/>
    </row>
    <row r="21" spans="1:16" x14ac:dyDescent="0.25">
      <c r="B21" t="s">
        <v>745</v>
      </c>
      <c r="F21" s="194">
        <f>+(Pricing!E15*Pricing!E36*'Data Entry'!E46)+15000</f>
        <v>71250</v>
      </c>
      <c r="G21" s="28">
        <f>F21/'Data Entry'!E$18</f>
        <v>570</v>
      </c>
      <c r="J21" t="s">
        <v>541</v>
      </c>
      <c r="K21" s="257"/>
      <c r="M21" s="468" t="s">
        <v>555</v>
      </c>
      <c r="P21" s="257"/>
    </row>
    <row r="22" spans="1:16" x14ac:dyDescent="0.25">
      <c r="F22" s="194"/>
      <c r="G22" s="28"/>
      <c r="J22" t="s">
        <v>542</v>
      </c>
      <c r="K22" s="257"/>
      <c r="M22" s="468"/>
      <c r="N22" t="s">
        <v>556</v>
      </c>
      <c r="P22" s="257"/>
    </row>
    <row r="23" spans="1:16" x14ac:dyDescent="0.25">
      <c r="B23" t="s">
        <v>251</v>
      </c>
      <c r="F23" s="194">
        <f>+(F13+Pricing!E15+F25)*0.03</f>
        <v>551550</v>
      </c>
      <c r="G23" s="28">
        <f>F23/'Data Entry'!E$18</f>
        <v>4412.3999999999996</v>
      </c>
      <c r="J23" t="s">
        <v>543</v>
      </c>
      <c r="K23" s="257"/>
      <c r="M23" s="468"/>
      <c r="N23" t="s">
        <v>557</v>
      </c>
      <c r="P23" s="257"/>
    </row>
    <row r="24" spans="1:16" s="427" customFormat="1" x14ac:dyDescent="0.25">
      <c r="B24" t="s">
        <v>55</v>
      </c>
      <c r="C24"/>
      <c r="D24"/>
      <c r="E24"/>
      <c r="F24" s="194">
        <f>+Pricing!E15*0.00375</f>
        <v>67500</v>
      </c>
      <c r="G24" s="28">
        <f>F24/'Data Entry'!E$18</f>
        <v>540</v>
      </c>
      <c r="I24" s="427" t="s">
        <v>546</v>
      </c>
      <c r="K24" s="409">
        <f>SUM(K$8:K$23)*0.03</f>
        <v>0</v>
      </c>
      <c r="M24" s="468"/>
      <c r="N24" t="s">
        <v>20</v>
      </c>
      <c r="P24" s="257"/>
    </row>
    <row r="25" spans="1:16" s="427" customFormat="1" x14ac:dyDescent="0.25">
      <c r="B25" s="427" t="s">
        <v>357</v>
      </c>
      <c r="F25" s="194">
        <f>+F9*0.05</f>
        <v>10000</v>
      </c>
      <c r="G25" s="28">
        <f>F25/'Data Entry'!E$18</f>
        <v>80</v>
      </c>
      <c r="I25" t="s">
        <v>206</v>
      </c>
      <c r="K25" s="409">
        <f>SUM(K$8:K$23)*0.00875</f>
        <v>0</v>
      </c>
      <c r="M25" s="468" t="s">
        <v>558</v>
      </c>
      <c r="P25" s="257"/>
    </row>
    <row r="26" spans="1:16" x14ac:dyDescent="0.25">
      <c r="F26" s="409"/>
      <c r="G26" s="28"/>
      <c r="I26" s="427" t="s">
        <v>544</v>
      </c>
      <c r="K26" s="409">
        <f>SUM(K$8:K$23)*0.0075</f>
        <v>0</v>
      </c>
      <c r="M26" s="468"/>
      <c r="N26" t="s">
        <v>210</v>
      </c>
      <c r="P26" s="257"/>
    </row>
    <row r="27" spans="1:16" x14ac:dyDescent="0.25">
      <c r="A27" t="s">
        <v>203</v>
      </c>
      <c r="F27" s="409">
        <f>SUM(F18:F25)</f>
        <v>907800</v>
      </c>
      <c r="G27" s="28">
        <f>F27/'Data Entry'!E$18</f>
        <v>7262.4</v>
      </c>
      <c r="I27" t="s">
        <v>545</v>
      </c>
      <c r="K27" s="409">
        <f>SUM(K$8:K$23)*0.06</f>
        <v>0</v>
      </c>
      <c r="M27" s="468"/>
      <c r="N27" t="s">
        <v>559</v>
      </c>
      <c r="O27" s="5"/>
      <c r="P27" s="257"/>
    </row>
    <row r="28" spans="1:16" x14ac:dyDescent="0.25">
      <c r="F28" s="409"/>
      <c r="G28" s="28"/>
      <c r="I28" t="s">
        <v>749</v>
      </c>
      <c r="K28" s="409">
        <f>+'Data Entry'!E66</f>
        <v>200000</v>
      </c>
      <c r="M28" s="468" t="s">
        <v>20</v>
      </c>
      <c r="P28" s="257"/>
    </row>
    <row r="29" spans="1:16" x14ac:dyDescent="0.25">
      <c r="F29" s="194"/>
      <c r="G29" s="28"/>
      <c r="I29" s="427" t="s">
        <v>750</v>
      </c>
      <c r="K29" s="706"/>
      <c r="M29" s="468"/>
      <c r="N29" t="s">
        <v>560</v>
      </c>
      <c r="O29" s="5"/>
      <c r="P29" s="257"/>
    </row>
    <row r="30" spans="1:16" x14ac:dyDescent="0.25">
      <c r="F30" s="5"/>
      <c r="G30" s="28"/>
      <c r="K30" s="409"/>
      <c r="M30" s="468"/>
      <c r="N30" t="s">
        <v>561</v>
      </c>
      <c r="P30" s="257"/>
    </row>
    <row r="31" spans="1:16" ht="15.75" thickBot="1" x14ac:dyDescent="0.3">
      <c r="A31" s="23" t="s">
        <v>58</v>
      </c>
      <c r="B31" s="23"/>
      <c r="C31" s="23"/>
      <c r="D31" s="23"/>
      <c r="E31" s="23"/>
      <c r="F31" s="404">
        <f>+F27+F13</f>
        <v>1282800</v>
      </c>
      <c r="G31" s="658">
        <f>F31/'Data Entry'!E$18</f>
        <v>10262.4</v>
      </c>
      <c r="I31" s="167" t="s">
        <v>112</v>
      </c>
      <c r="J31" s="167"/>
      <c r="K31" s="258">
        <f>SUM(K8:K30)</f>
        <v>200000</v>
      </c>
      <c r="M31" s="468"/>
      <c r="N31" t="s">
        <v>563</v>
      </c>
      <c r="P31" s="257"/>
    </row>
    <row r="32" spans="1:16" ht="15.75" thickTop="1" x14ac:dyDescent="0.25">
      <c r="F32" s="5"/>
      <c r="G32" s="28"/>
      <c r="K32" s="409"/>
      <c r="M32" s="468"/>
      <c r="P32" s="257"/>
    </row>
    <row r="33" spans="1:16" x14ac:dyDescent="0.25">
      <c r="F33" s="5"/>
      <c r="K33" s="409"/>
      <c r="M33" s="468" t="s">
        <v>562</v>
      </c>
      <c r="O33" s="5"/>
      <c r="P33" s="257"/>
    </row>
    <row r="34" spans="1:16" x14ac:dyDescent="0.25">
      <c r="F34" s="5"/>
      <c r="M34" s="468"/>
      <c r="N34" t="s">
        <v>564</v>
      </c>
      <c r="P34" s="257"/>
    </row>
    <row r="35" spans="1:16" ht="23.25" x14ac:dyDescent="0.35">
      <c r="A35" s="1" t="str">
        <f>+A1</f>
        <v>LF III</v>
      </c>
      <c r="F35" s="5"/>
      <c r="J35" s="634"/>
      <c r="M35" s="468"/>
      <c r="N35" t="s">
        <v>565</v>
      </c>
      <c r="P35" s="257"/>
    </row>
    <row r="36" spans="1:16" ht="15.75" x14ac:dyDescent="0.25">
      <c r="A36" s="12"/>
      <c r="F36" s="5"/>
      <c r="M36" s="468"/>
      <c r="N36" t="s">
        <v>566</v>
      </c>
      <c r="P36" s="257"/>
    </row>
    <row r="37" spans="1:16" ht="15.75" x14ac:dyDescent="0.25">
      <c r="A37" s="469" t="s">
        <v>211</v>
      </c>
      <c r="F37" s="5"/>
      <c r="P37" s="194"/>
    </row>
    <row r="38" spans="1:16" x14ac:dyDescent="0.25">
      <c r="F38" s="5"/>
      <c r="P38" s="194"/>
    </row>
    <row r="39" spans="1:16" ht="15.75" x14ac:dyDescent="0.25">
      <c r="A39" s="320" t="s">
        <v>204</v>
      </c>
      <c r="B39" s="321"/>
      <c r="C39" s="321"/>
      <c r="D39" s="321"/>
      <c r="E39" s="321"/>
      <c r="F39" s="322"/>
      <c r="P39" s="194"/>
    </row>
    <row r="40" spans="1:16" ht="15.75" thickBot="1" x14ac:dyDescent="0.3">
      <c r="F40" s="5"/>
      <c r="M40" s="167" t="s">
        <v>112</v>
      </c>
      <c r="N40" s="167"/>
      <c r="O40" s="167"/>
      <c r="P40" s="258">
        <f>SUM(P8:P39)</f>
        <v>0</v>
      </c>
    </row>
    <row r="41" spans="1:16" x14ac:dyDescent="0.25">
      <c r="A41" t="s">
        <v>205</v>
      </c>
      <c r="F41" s="160">
        <f>+Pricing!E15</f>
        <v>18000000</v>
      </c>
    </row>
    <row r="42" spans="1:16" s="427" customFormat="1" x14ac:dyDescent="0.25">
      <c r="F42" s="409"/>
    </row>
    <row r="43" spans="1:16" x14ac:dyDescent="0.25">
      <c r="A43" t="s">
        <v>568</v>
      </c>
      <c r="F43" s="160">
        <f>K31</f>
        <v>200000</v>
      </c>
    </row>
    <row r="44" spans="1:16" x14ac:dyDescent="0.25">
      <c r="A44" t="s">
        <v>567</v>
      </c>
      <c r="E44" s="160"/>
      <c r="F44" s="160">
        <f>P40</f>
        <v>0</v>
      </c>
    </row>
    <row r="45" spans="1:16" x14ac:dyDescent="0.25">
      <c r="E45" s="160"/>
    </row>
    <row r="46" spans="1:16" x14ac:dyDescent="0.25">
      <c r="A46" s="427" t="s">
        <v>528</v>
      </c>
      <c r="E46" s="160"/>
      <c r="F46" s="160">
        <f>+F29</f>
        <v>0</v>
      </c>
    </row>
    <row r="47" spans="1:16" x14ac:dyDescent="0.25">
      <c r="E47" s="160"/>
    </row>
    <row r="48" spans="1:16" x14ac:dyDescent="0.25">
      <c r="A48" t="s">
        <v>207</v>
      </c>
      <c r="F48" s="160">
        <f>SUM(F19:F23)</f>
        <v>755300</v>
      </c>
    </row>
    <row r="50" spans="1:6" x14ac:dyDescent="0.25">
      <c r="A50" t="s">
        <v>208</v>
      </c>
      <c r="F50" s="160">
        <f>+F18</f>
        <v>75000</v>
      </c>
    </row>
    <row r="52" spans="1:6" x14ac:dyDescent="0.25">
      <c r="A52" s="318" t="s">
        <v>442</v>
      </c>
      <c r="B52" s="318"/>
      <c r="C52" s="318"/>
      <c r="D52" s="318"/>
      <c r="E52" s="318"/>
      <c r="F52" s="319">
        <f>SUM(F41:F51)</f>
        <v>19030300</v>
      </c>
    </row>
    <row r="55" spans="1:6" x14ac:dyDescent="0.25">
      <c r="A55" s="11" t="s">
        <v>209</v>
      </c>
    </row>
    <row r="57" spans="1:6" x14ac:dyDescent="0.25">
      <c r="A57" t="s">
        <v>177</v>
      </c>
      <c r="F57" s="160">
        <f>Pricing!E35</f>
        <v>12282475</v>
      </c>
    </row>
    <row r="58" spans="1:6" x14ac:dyDescent="0.25">
      <c r="A58" t="s">
        <v>574</v>
      </c>
    </row>
    <row r="59" spans="1:6" x14ac:dyDescent="0.25">
      <c r="A59" t="s">
        <v>178</v>
      </c>
      <c r="F59" s="160">
        <f>+F52-F57</f>
        <v>6747825</v>
      </c>
    </row>
    <row r="60" spans="1:6" x14ac:dyDescent="0.25">
      <c r="A60" t="s">
        <v>575</v>
      </c>
    </row>
    <row r="62" spans="1:6" x14ac:dyDescent="0.25">
      <c r="A62" s="318" t="s">
        <v>443</v>
      </c>
      <c r="B62" s="318"/>
      <c r="C62" s="318"/>
      <c r="D62" s="318"/>
      <c r="E62" s="318"/>
      <c r="F62" s="319">
        <f>SUM(F57:F61)</f>
        <v>19030300</v>
      </c>
    </row>
    <row r="63" spans="1:6" x14ac:dyDescent="0.25">
      <c r="A63" s="194"/>
      <c r="B63" s="194"/>
      <c r="C63" s="194"/>
      <c r="D63" s="194"/>
      <c r="E63" s="194"/>
      <c r="F63" s="166"/>
    </row>
  </sheetData>
  <customSheetViews>
    <customSheetView guid="{BBA80CC4-398C-41FE-99C8-A75F96D5CA58}" scale="80" showPageBreaks="1" fitToPage="1" printArea="1">
      <selection activeCell="U22" sqref="U22"/>
      <rowBreaks count="1" manualBreakCount="1">
        <brk id="34" max="17" man="1"/>
      </rowBreaks>
      <pageMargins left="0.7" right="0.7" top="0.75" bottom="0.75" header="0.3" footer="0.3"/>
      <pageSetup scale="54" orientation="landscape"/>
    </customSheetView>
    <customSheetView guid="{03C358DA-88A4-4E12-84B7-BB4E50E89831}" scale="80" showPageBreaks="1" fitToPage="1" printArea="1">
      <selection activeCell="H38" sqref="H38"/>
      <rowBreaks count="1" manualBreakCount="1">
        <brk id="34" max="17" man="1"/>
      </rowBreaks>
      <pageMargins left="0.7" right="0.7" top="0.75" bottom="0.75" header="0.3" footer="0.3"/>
      <pageSetup scale="54" orientation="landscape"/>
    </customSheetView>
  </customSheetViews>
  <mergeCells count="1">
    <mergeCell ref="A4:C4"/>
  </mergeCells>
  <phoneticPr fontId="26" type="noConversion"/>
  <pageMargins left="0.7" right="0.7" top="0.75" bottom="0.75" header="0.3" footer="0.3"/>
  <pageSetup scale="54" orientation="landscape"/>
  <rowBreaks count="1" manualBreakCount="1">
    <brk id="34" max="1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  <pageSetUpPr fitToPage="1"/>
  </sheetPr>
  <dimension ref="A1:V99"/>
  <sheetViews>
    <sheetView tabSelected="1" workbookViewId="0">
      <selection activeCell="K7" sqref="K7"/>
    </sheetView>
  </sheetViews>
  <sheetFormatPr defaultColWidth="8.7109375" defaultRowHeight="15" outlineLevelRow="1" x14ac:dyDescent="0.25"/>
  <cols>
    <col min="1" max="1" width="5.28515625" customWidth="1"/>
    <col min="2" max="2" width="19" customWidth="1"/>
    <col min="3" max="3" width="12.28515625" customWidth="1"/>
    <col min="4" max="4" width="13.7109375" customWidth="1"/>
    <col min="5" max="5" width="16.28515625" bestFit="1" customWidth="1"/>
    <col min="6" max="6" width="11.7109375" customWidth="1"/>
    <col min="7" max="7" width="13.28515625" customWidth="1"/>
    <col min="8" max="8" width="14.7109375" bestFit="1" customWidth="1"/>
    <col min="9" max="9" width="15.140625" customWidth="1"/>
    <col min="11" max="11" width="10.28515625" customWidth="1"/>
    <col min="13" max="13" width="11.28515625" bestFit="1" customWidth="1"/>
    <col min="14" max="14" width="15.7109375" customWidth="1"/>
    <col min="15" max="15" width="19.28515625" customWidth="1"/>
    <col min="16" max="16" width="11.7109375" customWidth="1"/>
    <col min="19" max="19" width="16.140625" customWidth="1"/>
    <col min="20" max="20" width="18" customWidth="1"/>
    <col min="21" max="21" width="14.28515625" customWidth="1"/>
    <col min="22" max="22" width="15.28515625" customWidth="1"/>
  </cols>
  <sheetData>
    <row r="1" spans="1:22" ht="23.25" x14ac:dyDescent="0.35">
      <c r="A1" s="1" t="str">
        <f>+'Data Entry'!C6</f>
        <v>LF III</v>
      </c>
    </row>
    <row r="2" spans="1:22" ht="15.75" x14ac:dyDescent="0.25">
      <c r="A2" s="501" t="s">
        <v>54</v>
      </c>
    </row>
    <row r="3" spans="1:22" ht="18.75" x14ac:dyDescent="0.3">
      <c r="A3" s="502" t="s">
        <v>59</v>
      </c>
      <c r="B3" s="215"/>
    </row>
    <row r="4" spans="1:22" x14ac:dyDescent="0.25">
      <c r="A4" s="839" t="str">
        <f>+'Board Summary'!B3</f>
        <v>Hampton Inn &amp; Suites Wichita Airport</v>
      </c>
      <c r="B4" s="839"/>
      <c r="C4" s="871"/>
      <c r="E4" s="42" t="s">
        <v>112</v>
      </c>
      <c r="F4" s="42" t="s">
        <v>119</v>
      </c>
      <c r="R4" s="281"/>
      <c r="S4" s="281"/>
      <c r="T4" s="281"/>
      <c r="U4" s="281"/>
      <c r="V4" s="281"/>
    </row>
    <row r="5" spans="1:22" ht="7.9" customHeight="1" x14ac:dyDescent="0.25">
      <c r="F5" s="280"/>
      <c r="L5" s="77"/>
      <c r="R5" s="1276"/>
      <c r="S5" s="1276"/>
      <c r="T5" s="1276"/>
      <c r="U5" s="1276"/>
      <c r="V5" s="1276"/>
    </row>
    <row r="6" spans="1:22" x14ac:dyDescent="0.25">
      <c r="A6" t="s">
        <v>60</v>
      </c>
      <c r="E6" s="11">
        <f>+'Data Entry'!E36</f>
        <v>18000000</v>
      </c>
      <c r="F6" s="409">
        <f>+E6/'Key Data'!$C$45</f>
        <v>144000</v>
      </c>
      <c r="R6" s="281"/>
      <c r="S6" s="281"/>
      <c r="T6" s="281"/>
      <c r="U6" s="281"/>
      <c r="V6" s="281"/>
    </row>
    <row r="7" spans="1:22" x14ac:dyDescent="0.25">
      <c r="E7" s="280"/>
      <c r="F7" s="409"/>
      <c r="L7" s="471" t="s">
        <v>580</v>
      </c>
      <c r="M7" s="472"/>
      <c r="N7" s="472"/>
      <c r="O7" s="473">
        <f>+DCFA!G45</f>
        <v>19256095.009249695</v>
      </c>
      <c r="R7" s="281"/>
      <c r="S7" s="281"/>
      <c r="T7" s="281"/>
      <c r="U7" s="281"/>
      <c r="V7" s="281"/>
    </row>
    <row r="8" spans="1:22" ht="15.75" x14ac:dyDescent="0.25">
      <c r="A8" t="s">
        <v>62</v>
      </c>
      <c r="E8" s="280">
        <f>+ProForma!L71</f>
        <v>1870584.6215999995</v>
      </c>
      <c r="F8" s="409">
        <f>+E8/'Key Data'!$C$45</f>
        <v>14964.676972799996</v>
      </c>
      <c r="L8" s="12"/>
      <c r="R8" s="496"/>
      <c r="S8" s="496"/>
      <c r="T8" s="496"/>
      <c r="U8" s="496"/>
      <c r="V8" s="496"/>
    </row>
    <row r="9" spans="1:22" x14ac:dyDescent="0.25">
      <c r="E9" s="280"/>
      <c r="F9" s="409"/>
      <c r="L9" s="474" t="s">
        <v>578</v>
      </c>
      <c r="M9" s="475"/>
      <c r="N9" s="475"/>
      <c r="O9" s="476"/>
      <c r="R9" s="496"/>
      <c r="S9" s="496"/>
      <c r="T9" s="497"/>
      <c r="U9" s="496"/>
      <c r="V9" s="498"/>
    </row>
    <row r="10" spans="1:22" x14ac:dyDescent="0.25">
      <c r="A10" t="s">
        <v>63</v>
      </c>
      <c r="E10" s="280">
        <f>+ProForma!AP71</f>
        <v>1832646.7500115687</v>
      </c>
      <c r="F10" s="409">
        <f>+E10/'Key Data'!$C$45</f>
        <v>14661.174000092549</v>
      </c>
      <c r="L10" s="441"/>
      <c r="M10" s="103"/>
      <c r="N10" s="103"/>
      <c r="O10" s="477"/>
      <c r="R10" s="281"/>
      <c r="S10" s="486"/>
      <c r="T10" s="499"/>
      <c r="U10" s="486"/>
      <c r="V10" s="486"/>
    </row>
    <row r="11" spans="1:22" x14ac:dyDescent="0.25">
      <c r="F11" s="409"/>
      <c r="L11" s="441" t="s">
        <v>227</v>
      </c>
      <c r="M11" s="103"/>
      <c r="N11" s="103"/>
      <c r="O11" s="478">
        <f>ProForma!L71</f>
        <v>1870584.6215999995</v>
      </c>
      <c r="R11" s="281"/>
      <c r="S11" s="486"/>
      <c r="T11" s="499"/>
      <c r="U11" s="486"/>
      <c r="V11" s="486"/>
    </row>
    <row r="12" spans="1:22" s="427" customFormat="1" x14ac:dyDescent="0.25">
      <c r="A12" t="s">
        <v>446</v>
      </c>
      <c r="B12"/>
      <c r="C12"/>
      <c r="D12"/>
      <c r="E12" s="9">
        <v>0.12</v>
      </c>
      <c r="F12" s="409"/>
      <c r="G12"/>
      <c r="H12"/>
      <c r="I12"/>
      <c r="J12"/>
      <c r="L12" s="633"/>
      <c r="M12" s="103"/>
      <c r="N12" s="103"/>
      <c r="O12" s="478"/>
    </row>
    <row r="13" spans="1:22" s="427" customFormat="1" x14ac:dyDescent="0.25">
      <c r="A13"/>
      <c r="B13"/>
      <c r="C13"/>
      <c r="D13"/>
      <c r="E13"/>
      <c r="F13" s="409"/>
      <c r="G13"/>
      <c r="H13"/>
      <c r="I13"/>
      <c r="J13"/>
      <c r="L13" s="633"/>
      <c r="M13" s="103"/>
      <c r="N13" s="103"/>
      <c r="O13" s="478"/>
    </row>
    <row r="14" spans="1:22" ht="15.75" thickBot="1" x14ac:dyDescent="0.3">
      <c r="A14" t="s">
        <v>100</v>
      </c>
      <c r="E14" s="28">
        <f>+'PIP &amp; Source &amp; Use'!F31</f>
        <v>1282800</v>
      </c>
      <c r="F14" s="409">
        <f>+E14/'Key Data'!C$45</f>
        <v>10262.4</v>
      </c>
      <c r="G14" t="s">
        <v>92</v>
      </c>
      <c r="J14" s="7">
        <f>+(E$6-E15)/E$6</f>
        <v>0</v>
      </c>
      <c r="L14" s="441"/>
      <c r="M14" s="103"/>
      <c r="N14" s="103"/>
      <c r="O14" s="477"/>
    </row>
    <row r="15" spans="1:22" ht="15.75" thickBot="1" x14ac:dyDescent="0.3">
      <c r="A15" t="s">
        <v>68</v>
      </c>
      <c r="E15" s="27">
        <v>18000000</v>
      </c>
      <c r="F15" s="409">
        <f>+E15/'Key Data'!C$45</f>
        <v>144000</v>
      </c>
      <c r="G15" t="str">
        <f>IF(E15&gt;O19,"Price Greater than Cap Rate Value","OK")</f>
        <v>OK</v>
      </c>
      <c r="L15" s="441" t="s">
        <v>118</v>
      </c>
      <c r="M15" s="103"/>
      <c r="N15" s="103"/>
      <c r="O15" s="479">
        <v>0.09</v>
      </c>
    </row>
    <row r="16" spans="1:22" x14ac:dyDescent="0.25">
      <c r="E16" s="5"/>
      <c r="F16" s="409"/>
      <c r="L16" s="480"/>
      <c r="M16" s="281"/>
      <c r="N16" s="281"/>
      <c r="O16" s="481"/>
    </row>
    <row r="17" spans="1:22" ht="15.75" thickBot="1" x14ac:dyDescent="0.3">
      <c r="A17" t="s">
        <v>69</v>
      </c>
      <c r="E17" s="29">
        <f>SUM(E14:E16)</f>
        <v>19282800</v>
      </c>
      <c r="F17" s="409">
        <f>+E17/'Key Data'!C$45</f>
        <v>154262.39999999999</v>
      </c>
      <c r="L17" s="480" t="s">
        <v>576</v>
      </c>
      <c r="M17" s="281"/>
      <c r="N17" s="281"/>
      <c r="O17" s="482">
        <f>IF('PIP &amp; Source &amp; Use'!F9&lt;500,'PIP &amp; Source &amp; Use'!F10+'PIP &amp; Source &amp; Use'!F29,'PIP &amp; Source &amp; Use'!F9+'PIP &amp; Source &amp; Use'!F10)</f>
        <v>200000</v>
      </c>
      <c r="R17" s="281"/>
      <c r="S17" s="486"/>
      <c r="T17" s="499"/>
      <c r="U17" s="486"/>
      <c r="V17" s="486"/>
    </row>
    <row r="18" spans="1:22" ht="15.75" thickTop="1" x14ac:dyDescent="0.25">
      <c r="E18" s="10"/>
      <c r="F18" s="409"/>
      <c r="L18" s="480"/>
      <c r="M18" s="281"/>
      <c r="N18" s="281"/>
      <c r="O18" s="481"/>
      <c r="R18" s="281"/>
      <c r="S18" s="486"/>
      <c r="T18" s="499"/>
      <c r="U18" s="486"/>
      <c r="V18" s="486"/>
    </row>
    <row r="19" spans="1:22" ht="15.75" thickBot="1" x14ac:dyDescent="0.3">
      <c r="A19" t="s">
        <v>255</v>
      </c>
      <c r="D19" s="213">
        <v>150000</v>
      </c>
      <c r="E19" s="195">
        <f>D19*'Key Data'!C45</f>
        <v>18750000</v>
      </c>
      <c r="F19" s="409">
        <f>E19/'Key Data'!C45</f>
        <v>150000</v>
      </c>
      <c r="L19" s="483" t="s">
        <v>577</v>
      </c>
      <c r="M19" s="484"/>
      <c r="N19" s="484"/>
      <c r="O19" s="485">
        <f>+O11/O15-O17</f>
        <v>20584273.573333327</v>
      </c>
      <c r="R19" s="281"/>
      <c r="S19" s="486"/>
      <c r="T19" s="499"/>
      <c r="U19" s="486"/>
      <c r="V19" s="486"/>
    </row>
    <row r="20" spans="1:22" ht="15.75" thickTop="1" x14ac:dyDescent="0.25">
      <c r="E20" s="193"/>
      <c r="F20" s="409"/>
      <c r="L20" s="281"/>
      <c r="M20" s="281"/>
      <c r="N20" s="281"/>
      <c r="O20" s="470"/>
      <c r="R20" s="281"/>
      <c r="S20" s="486"/>
      <c r="T20" s="499"/>
      <c r="U20" s="486"/>
      <c r="V20" s="486"/>
    </row>
    <row r="21" spans="1:22" ht="15.75" thickBot="1" x14ac:dyDescent="0.3">
      <c r="A21" t="s">
        <v>256</v>
      </c>
      <c r="E21" s="196">
        <f>E17/E19</f>
        <v>1.028416</v>
      </c>
      <c r="F21" s="28"/>
      <c r="L21" s="474" t="s">
        <v>253</v>
      </c>
      <c r="M21" s="475"/>
      <c r="N21" s="475"/>
      <c r="O21" s="489"/>
      <c r="R21" s="281"/>
      <c r="S21" s="486"/>
      <c r="T21" s="499"/>
      <c r="U21" s="486"/>
      <c r="V21" s="486"/>
    </row>
    <row r="22" spans="1:22" ht="15.75" thickTop="1" x14ac:dyDescent="0.25">
      <c r="E22" s="193"/>
      <c r="F22" s="28"/>
      <c r="L22" s="480"/>
      <c r="M22" s="281"/>
      <c r="N22" s="281"/>
      <c r="O22" s="490"/>
      <c r="R22" s="281"/>
      <c r="S22" s="486"/>
      <c r="T22" s="499"/>
      <c r="U22" s="486"/>
      <c r="V22" s="486"/>
    </row>
    <row r="23" spans="1:22" x14ac:dyDescent="0.25">
      <c r="A23" t="s">
        <v>70</v>
      </c>
      <c r="C23" s="19">
        <v>0.92</v>
      </c>
      <c r="E23" s="10">
        <f>+E15*C23</f>
        <v>16560000</v>
      </c>
      <c r="F23" s="409">
        <f>E23/'Key Data'!C$45</f>
        <v>132480</v>
      </c>
      <c r="G23" t="s">
        <v>92</v>
      </c>
      <c r="J23" s="7">
        <f>+(E$6-E23)/E$6</f>
        <v>0.08</v>
      </c>
      <c r="L23" s="441" t="s">
        <v>254</v>
      </c>
      <c r="M23" s="103"/>
      <c r="N23" s="103"/>
      <c r="O23" s="478">
        <f>ProForma!P15</f>
        <v>3818619.125</v>
      </c>
      <c r="R23" s="281"/>
      <c r="S23" s="487"/>
      <c r="T23" s="499"/>
      <c r="U23" s="486"/>
      <c r="V23" s="486"/>
    </row>
    <row r="24" spans="1:22" x14ac:dyDescent="0.25">
      <c r="L24" s="491" t="s">
        <v>115</v>
      </c>
      <c r="M24" s="103"/>
      <c r="N24" s="103"/>
      <c r="O24" s="488">
        <v>3</v>
      </c>
      <c r="R24" s="281"/>
      <c r="S24" s="487"/>
      <c r="T24" s="499"/>
      <c r="U24" s="486"/>
      <c r="V24" s="486"/>
    </row>
    <row r="25" spans="1:22" x14ac:dyDescent="0.25">
      <c r="A25" s="427"/>
      <c r="B25" s="427"/>
      <c r="C25" s="427"/>
      <c r="D25" s="427"/>
      <c r="E25" s="635" t="s">
        <v>664</v>
      </c>
      <c r="F25" s="465" t="s">
        <v>699</v>
      </c>
      <c r="G25" s="465" t="s">
        <v>719</v>
      </c>
      <c r="L25" s="480"/>
      <c r="M25" s="281"/>
      <c r="N25" s="281"/>
      <c r="O25" s="482"/>
      <c r="R25" s="281"/>
      <c r="S25" s="281"/>
      <c r="T25" s="281"/>
      <c r="U25" s="486"/>
      <c r="V25" s="486"/>
    </row>
    <row r="26" spans="1:22" x14ac:dyDescent="0.25">
      <c r="A26" s="427"/>
      <c r="B26" s="427"/>
      <c r="C26" s="427"/>
      <c r="D26" s="427"/>
      <c r="E26" s="427"/>
      <c r="F26" s="409"/>
      <c r="G26" s="427"/>
      <c r="L26" s="492" t="s">
        <v>579</v>
      </c>
      <c r="M26" s="493"/>
      <c r="N26" s="493"/>
      <c r="O26" s="494">
        <f>O23*O24</f>
        <v>11455857.375</v>
      </c>
      <c r="R26" s="281"/>
      <c r="S26" s="281"/>
      <c r="T26" s="281"/>
      <c r="U26" s="281"/>
      <c r="V26" s="281"/>
    </row>
    <row r="27" spans="1:22" x14ac:dyDescent="0.25">
      <c r="A27" t="s">
        <v>247</v>
      </c>
      <c r="E27" s="141">
        <f>+E8/E6</f>
        <v>0.10392136786666664</v>
      </c>
      <c r="F27" s="191">
        <f>+E8/(E6+'PIP &amp; Source &amp; Use'!F13+'PIP &amp; Source &amp; Use'!F29)</f>
        <v>0.10180052362448977</v>
      </c>
      <c r="G27" s="141">
        <f>+E8/(E6+'PIP &amp; Source &amp; Use'!F31)</f>
        <v>9.7007935652498573E-2</v>
      </c>
      <c r="R27" s="281"/>
      <c r="S27" s="499"/>
      <c r="T27" s="281"/>
      <c r="U27" s="281"/>
      <c r="V27" s="281"/>
    </row>
    <row r="28" spans="1:22" ht="15.75" thickBot="1" x14ac:dyDescent="0.3">
      <c r="A28" t="s">
        <v>248</v>
      </c>
      <c r="E28" s="695">
        <f>+$E$8/$E$15</f>
        <v>0.10392136786666664</v>
      </c>
      <c r="F28" s="578">
        <f>+$E$8/($E$15+'PIP &amp; Source &amp; Use'!F$13+'PIP &amp; Source &amp; Use'!F$29)</f>
        <v>0.10180052362448977</v>
      </c>
      <c r="G28" s="695">
        <f>+$E$8/($E$15+'PIP &amp; Source &amp; Use'!F$31)</f>
        <v>9.7007935652498573E-2</v>
      </c>
      <c r="R28" s="281"/>
      <c r="S28" s="281"/>
      <c r="T28" s="281"/>
      <c r="U28" s="281"/>
      <c r="V28" s="500"/>
    </row>
    <row r="29" spans="1:22" ht="15.75" thickBot="1" x14ac:dyDescent="0.3">
      <c r="A29" s="427" t="s">
        <v>720</v>
      </c>
      <c r="E29" s="695">
        <f>+ProForma!U71/$E$15</f>
        <v>0.10014678776854659</v>
      </c>
      <c r="F29" s="578">
        <f>+ProForma!U71/($E$15+'PIP &amp; Source &amp; Use'!F$13+'PIP &amp; Source &amp; Use'!F$29)</f>
        <v>9.8102975773270137E-2</v>
      </c>
      <c r="G29" s="578">
        <f>+ProForma!U71/($E$15+'PIP &amp; Source &amp; Use'!F$31)</f>
        <v>9.3484461791536438E-2</v>
      </c>
      <c r="L29" s="226" t="s">
        <v>326</v>
      </c>
      <c r="M29" s="225"/>
      <c r="N29" s="225"/>
      <c r="O29" s="227">
        <f>(O26+O19+O7)/3</f>
        <v>17098741.985861007</v>
      </c>
      <c r="R29" s="281"/>
      <c r="S29" s="281"/>
      <c r="T29" s="281"/>
      <c r="U29" s="281"/>
      <c r="V29" s="500"/>
    </row>
    <row r="30" spans="1:22" ht="15.75" thickBot="1" x14ac:dyDescent="0.3">
      <c r="A30" s="427" t="s">
        <v>770</v>
      </c>
      <c r="B30" s="427"/>
      <c r="C30" s="427"/>
      <c r="D30" s="427"/>
      <c r="E30" s="695">
        <f>+ProForma!W71/$E$15</f>
        <v>0.10200602176930861</v>
      </c>
      <c r="F30" s="578">
        <f>+ProForma!W71/($E$15+'PIP &amp; Source &amp; Use'!F$13+'PIP &amp; Source &amp; Use'!F$29)</f>
        <v>9.9924266222996175E-2</v>
      </c>
      <c r="G30" s="578">
        <f>+ProForma!W71/($E$15+'PIP &amp; Source &amp; Use'!F$31)</f>
        <v>9.5220009119399401E-2</v>
      </c>
      <c r="N30" s="5"/>
      <c r="R30" s="281"/>
      <c r="S30" s="281"/>
      <c r="T30" s="281"/>
      <c r="U30" s="281"/>
      <c r="V30" s="281"/>
    </row>
    <row r="31" spans="1:22" x14ac:dyDescent="0.25">
      <c r="L31" s="558" t="s">
        <v>585</v>
      </c>
      <c r="M31" s="286"/>
      <c r="N31" s="286"/>
      <c r="O31" s="286"/>
      <c r="P31" s="560">
        <f>+'DCR Analysis'!E55</f>
        <v>1.8165447984671066</v>
      </c>
    </row>
    <row r="32" spans="1:22" x14ac:dyDescent="0.25">
      <c r="L32" s="559"/>
      <c r="M32" s="103"/>
      <c r="N32" s="181"/>
      <c r="O32" s="103"/>
      <c r="P32" s="290"/>
    </row>
    <row r="33" spans="1:19" x14ac:dyDescent="0.25">
      <c r="A33" t="s">
        <v>64</v>
      </c>
      <c r="E33" s="198" t="s">
        <v>177</v>
      </c>
      <c r="F33" s="199"/>
      <c r="G33" s="198" t="s">
        <v>241</v>
      </c>
      <c r="H33" s="199"/>
      <c r="I33" s="198" t="s">
        <v>257</v>
      </c>
      <c r="L33" s="559" t="s">
        <v>583</v>
      </c>
      <c r="M33" s="103"/>
      <c r="N33" s="103"/>
      <c r="O33" s="103"/>
      <c r="P33" s="561">
        <f>+'DCR Analysis'!E57</f>
        <v>2.2000229063165015</v>
      </c>
    </row>
    <row r="34" spans="1:19" ht="15.75" thickBot="1" x14ac:dyDescent="0.3">
      <c r="L34" s="559"/>
      <c r="M34" s="103"/>
      <c r="N34" s="103"/>
      <c r="O34" s="103"/>
      <c r="P34" s="290"/>
    </row>
    <row r="35" spans="1:19" ht="16.5" thickBot="1" x14ac:dyDescent="0.3">
      <c r="B35" t="s">
        <v>81</v>
      </c>
      <c r="E35" s="5">
        <v>12282475</v>
      </c>
      <c r="G35" s="5">
        <f>E41</f>
        <v>0</v>
      </c>
      <c r="I35" s="6">
        <f>E42</f>
        <v>0</v>
      </c>
      <c r="L35" s="659" t="s">
        <v>748</v>
      </c>
      <c r="M35" s="660"/>
      <c r="N35" s="661"/>
      <c r="O35" s="660"/>
      <c r="P35" s="662">
        <f>+'DCR Analysis'!E59</f>
        <v>0.12715813589269748</v>
      </c>
      <c r="Q35" s="39" t="s">
        <v>755</v>
      </c>
      <c r="R35" t="s">
        <v>754</v>
      </c>
    </row>
    <row r="36" spans="1:19" x14ac:dyDescent="0.25">
      <c r="B36" t="s">
        <v>258</v>
      </c>
      <c r="E36" s="36">
        <f>+'Data Entry'!E43</f>
        <v>0.625</v>
      </c>
      <c r="G36" s="36">
        <f>G35/E17</f>
        <v>0</v>
      </c>
      <c r="I36" s="36">
        <f>I35/(E43+E42)</f>
        <v>0</v>
      </c>
    </row>
    <row r="37" spans="1:19" x14ac:dyDescent="0.25">
      <c r="B37" t="s">
        <v>66</v>
      </c>
      <c r="E37" s="36">
        <f>+'Data Entry'!E44</f>
        <v>4.9250000000000002E-2</v>
      </c>
      <c r="G37" s="36">
        <f>E37</f>
        <v>4.9250000000000002E-2</v>
      </c>
      <c r="I37" s="36">
        <v>0.04</v>
      </c>
      <c r="N37" s="5"/>
    </row>
    <row r="38" spans="1:19" x14ac:dyDescent="0.25">
      <c r="B38" t="s">
        <v>67</v>
      </c>
      <c r="E38" s="13">
        <f>+'Data Entry'!E45</f>
        <v>30</v>
      </c>
      <c r="G38" s="13">
        <f>E38</f>
        <v>30</v>
      </c>
      <c r="I38" s="13"/>
      <c r="N38" s="5"/>
    </row>
    <row r="39" spans="1:19" x14ac:dyDescent="0.25">
      <c r="B39" t="s">
        <v>85</v>
      </c>
      <c r="E39" s="21">
        <f>PMT(E37,E38,-E35)</f>
        <v>792174.75888169068</v>
      </c>
      <c r="G39" s="21">
        <f>PMT(G37,G38,-G35)</f>
        <v>0</v>
      </c>
      <c r="I39" s="21">
        <f>I35*I37</f>
        <v>0</v>
      </c>
    </row>
    <row r="40" spans="1:19" x14ac:dyDescent="0.25">
      <c r="E40" s="5"/>
    </row>
    <row r="41" spans="1:19" x14ac:dyDescent="0.25">
      <c r="A41" t="s">
        <v>226</v>
      </c>
      <c r="E41" s="200">
        <v>0</v>
      </c>
    </row>
    <row r="42" spans="1:19" x14ac:dyDescent="0.25">
      <c r="A42" t="s">
        <v>582</v>
      </c>
      <c r="E42" s="200">
        <v>0</v>
      </c>
    </row>
    <row r="43" spans="1:19" x14ac:dyDescent="0.25">
      <c r="A43" t="s">
        <v>581</v>
      </c>
      <c r="E43" s="5">
        <f>E17-E35-E41-E42</f>
        <v>7000325</v>
      </c>
    </row>
    <row r="44" spans="1:19" x14ac:dyDescent="0.25">
      <c r="A44" t="s">
        <v>270</v>
      </c>
      <c r="E44" s="208">
        <v>0</v>
      </c>
    </row>
    <row r="46" spans="1:19" x14ac:dyDescent="0.25">
      <c r="E46" s="5"/>
    </row>
    <row r="48" spans="1:19" x14ac:dyDescent="0.25">
      <c r="D48" s="1277" t="s">
        <v>42</v>
      </c>
      <c r="E48" s="1277"/>
      <c r="F48" s="1277"/>
      <c r="G48" s="1277"/>
      <c r="H48" s="1277"/>
      <c r="I48" s="1277"/>
      <c r="J48" s="1277"/>
      <c r="K48" s="1277"/>
      <c r="L48" s="1277"/>
      <c r="M48" s="1277"/>
      <c r="N48" s="1277"/>
      <c r="O48" s="1277"/>
      <c r="P48" s="194"/>
      <c r="Q48" s="165"/>
      <c r="R48" s="165"/>
      <c r="S48" s="165"/>
    </row>
    <row r="49" spans="1:19" x14ac:dyDescent="0.25">
      <c r="D49" s="1068" t="s">
        <v>30</v>
      </c>
      <c r="E49" s="1068"/>
      <c r="F49" s="1068" t="s">
        <v>31</v>
      </c>
      <c r="G49" s="1068"/>
      <c r="H49" s="1068" t="s">
        <v>32</v>
      </c>
      <c r="I49" s="1068"/>
      <c r="J49" s="1068" t="s">
        <v>33</v>
      </c>
      <c r="K49" s="1068"/>
      <c r="L49" s="1068" t="s">
        <v>34</v>
      </c>
      <c r="M49" s="1068"/>
      <c r="N49" s="1068" t="s">
        <v>35</v>
      </c>
      <c r="O49" s="1068"/>
      <c r="P49" s="165"/>
      <c r="Q49" s="165"/>
      <c r="R49" s="165"/>
      <c r="S49" s="165"/>
    </row>
    <row r="50" spans="1:19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65"/>
      <c r="Q50" s="165"/>
      <c r="R50" s="165"/>
      <c r="S50" s="165"/>
    </row>
    <row r="51" spans="1:19" x14ac:dyDescent="0.25">
      <c r="B51" t="s">
        <v>262</v>
      </c>
      <c r="D51" s="1269">
        <f>+$E43+$E42</f>
        <v>7000325</v>
      </c>
      <c r="E51" s="1269"/>
      <c r="F51" s="1269">
        <f>+$E43+$E42</f>
        <v>7000325</v>
      </c>
      <c r="G51" s="1269"/>
      <c r="H51" s="1269">
        <f>+$E43+$E42</f>
        <v>7000325</v>
      </c>
      <c r="I51" s="1269"/>
      <c r="J51" s="1269">
        <f>+$E43+$E42</f>
        <v>7000325</v>
      </c>
      <c r="K51" s="1269"/>
      <c r="L51" s="1269">
        <f>+$E43+$E42</f>
        <v>7000325</v>
      </c>
      <c r="M51" s="1269"/>
      <c r="N51" s="1273">
        <f>SUM(D51:M51)/5</f>
        <v>7000325</v>
      </c>
      <c r="O51" s="1273"/>
      <c r="P51" s="165"/>
      <c r="Q51" s="165"/>
      <c r="R51" s="165"/>
      <c r="S51" s="165"/>
    </row>
    <row r="52" spans="1:19" x14ac:dyDescent="0.25"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165"/>
      <c r="Q52" s="165"/>
      <c r="R52" s="165"/>
      <c r="S52" s="165"/>
    </row>
    <row r="53" spans="1:19" x14ac:dyDescent="0.25">
      <c r="B53" t="s">
        <v>77</v>
      </c>
      <c r="D53" s="1269">
        <f>+ProForma!S71</f>
        <v>1769772.6920539676</v>
      </c>
      <c r="E53" s="1269"/>
      <c r="F53" s="1269">
        <f>+ProForma!U71</f>
        <v>1802642.1798338387</v>
      </c>
      <c r="G53" s="1269"/>
      <c r="H53" s="1269">
        <f>+ProForma!W71</f>
        <v>1836108.3918475548</v>
      </c>
      <c r="I53" s="1269"/>
      <c r="J53" s="1269">
        <f>+ProForma!Y71</f>
        <v>1870181.4595302851</v>
      </c>
      <c r="K53" s="1269"/>
      <c r="L53" s="1269">
        <f>+ProForma!AA71</f>
        <v>1884529.0267921994</v>
      </c>
      <c r="M53" s="1269"/>
      <c r="N53" s="1273">
        <f>SUM(D53:M53)/5</f>
        <v>1832646.7500115694</v>
      </c>
      <c r="O53" s="1273"/>
      <c r="P53" s="165"/>
      <c r="Q53" s="165"/>
      <c r="R53" s="165"/>
      <c r="S53" s="165"/>
    </row>
    <row r="54" spans="1:19" x14ac:dyDescent="0.25"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1273"/>
      <c r="O54" s="1273"/>
      <c r="P54" s="165"/>
      <c r="Q54" s="165"/>
      <c r="R54" s="165"/>
      <c r="S54" s="165"/>
    </row>
    <row r="55" spans="1:19" x14ac:dyDescent="0.25">
      <c r="B55" t="s">
        <v>233</v>
      </c>
      <c r="D55" s="1273">
        <f>+ProForma!S78</f>
        <v>1164860.7983039676</v>
      </c>
      <c r="E55" s="1273"/>
      <c r="F55" s="1273">
        <f>+ProForma!U78</f>
        <v>1206952.9821915743</v>
      </c>
      <c r="G55" s="1273"/>
      <c r="H55" s="1273">
        <f>+ProForma!W78</f>
        <v>1250096.1080963323</v>
      </c>
      <c r="I55" s="1273"/>
      <c r="J55" s="1273">
        <f>+ProForma!Y78</f>
        <v>1294322.6776792379</v>
      </c>
      <c r="K55" s="1273"/>
      <c r="L55" s="1273">
        <f>+ProForma!AA78</f>
        <v>1319323.8068099115</v>
      </c>
      <c r="M55" s="1273"/>
      <c r="N55" s="1273">
        <f>SUM(D55:M55)/5</f>
        <v>1247111.2746162047</v>
      </c>
      <c r="O55" s="1273"/>
      <c r="P55" s="165"/>
      <c r="Q55" s="165"/>
      <c r="R55" s="165"/>
      <c r="S55" s="165"/>
    </row>
    <row r="56" spans="1:19" x14ac:dyDescent="0.25"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165"/>
      <c r="Q56" s="165"/>
      <c r="R56" s="165"/>
      <c r="S56" s="165"/>
    </row>
    <row r="57" spans="1:19" x14ac:dyDescent="0.25">
      <c r="B57" t="s">
        <v>78</v>
      </c>
      <c r="D57" s="1269">
        <f>+ProForma!S83</f>
        <v>1071229.3657381223</v>
      </c>
      <c r="E57" s="1269"/>
      <c r="F57" s="1269">
        <f>+ProForma!U83</f>
        <v>1010467.4209521479</v>
      </c>
      <c r="G57" s="1269"/>
      <c r="H57" s="1269">
        <f>+ProForma!W83</f>
        <v>1043933.6329658641</v>
      </c>
      <c r="I57" s="1269"/>
      <c r="J57" s="1269">
        <f>+ProForma!Y83</f>
        <v>1078006.7006485942</v>
      </c>
      <c r="K57" s="1269"/>
      <c r="L57" s="1269">
        <f>+ProForma!AA83</f>
        <v>1092354.2679105087</v>
      </c>
      <c r="M57" s="1269"/>
      <c r="N57" s="1273">
        <f>SUM(D57:M57)/5</f>
        <v>1059198.2776430473</v>
      </c>
      <c r="O57" s="1273"/>
      <c r="P57" s="165"/>
      <c r="Q57" s="165"/>
      <c r="R57" s="165"/>
      <c r="S57" s="165"/>
    </row>
    <row r="58" spans="1:19" ht="15.75" thickBot="1" x14ac:dyDescent="0.3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65"/>
      <c r="Q58" s="165"/>
      <c r="R58" s="165"/>
      <c r="S58" s="165"/>
    </row>
    <row r="59" spans="1:19" s="7" customFormat="1" x14ac:dyDescent="0.25">
      <c r="B59" s="316" t="s">
        <v>82</v>
      </c>
      <c r="C59" s="316"/>
      <c r="D59" s="1270">
        <f>+D57/D51</f>
        <v>0.15302566177114951</v>
      </c>
      <c r="E59" s="1270"/>
      <c r="F59" s="1270">
        <f>+F57/F51</f>
        <v>0.1443457869387704</v>
      </c>
      <c r="G59" s="1270"/>
      <c r="H59" s="1270">
        <f>+H57/H51</f>
        <v>0.14912645240983299</v>
      </c>
      <c r="I59" s="1270"/>
      <c r="J59" s="1270">
        <f>+J57/J51</f>
        <v>0.1539938075230213</v>
      </c>
      <c r="K59" s="1270"/>
      <c r="L59" s="1270">
        <f>+L57/L51</f>
        <v>0.15604336483099124</v>
      </c>
      <c r="M59" s="1270"/>
      <c r="N59" s="1274">
        <f>SUM(D59:M59)/5</f>
        <v>0.15130701469475311</v>
      </c>
      <c r="O59" s="1275"/>
      <c r="P59" s="268"/>
      <c r="Q59" s="268"/>
      <c r="R59" s="268"/>
      <c r="S59" s="268"/>
    </row>
    <row r="60" spans="1:19" s="7" customFormat="1" x14ac:dyDescent="0.25"/>
    <row r="61" spans="1:19" s="7" customFormat="1" x14ac:dyDescent="0.25">
      <c r="B61" s="7" t="s">
        <v>83</v>
      </c>
      <c r="D61" s="1101">
        <f>+D55/D51</f>
        <v>0.16640095971315155</v>
      </c>
      <c r="E61" s="1101"/>
      <c r="F61" s="1101">
        <f>+F55/F51</f>
        <v>0.17241384967006165</v>
      </c>
      <c r="G61" s="1101"/>
      <c r="H61" s="1101">
        <f>+H55/H51</f>
        <v>0.17857686723064034</v>
      </c>
      <c r="I61" s="1101"/>
      <c r="J61" s="1101">
        <f>+J55/J51</f>
        <v>0.18489465527375343</v>
      </c>
      <c r="K61" s="1101"/>
      <c r="L61" s="1101">
        <f>+L55/L51</f>
        <v>0.18846607933344689</v>
      </c>
      <c r="M61" s="1101"/>
      <c r="N61" s="1094">
        <f>SUM(D61:M61)/5</f>
        <v>0.17815048224421076</v>
      </c>
      <c r="O61" s="1094"/>
    </row>
    <row r="63" spans="1:19" x14ac:dyDescent="0.25">
      <c r="A63" s="20">
        <v>8.5000000000000006E-2</v>
      </c>
      <c r="B63" t="s">
        <v>234</v>
      </c>
      <c r="D63" s="1084">
        <f>+D53/$A63</f>
        <v>20820855.200634912</v>
      </c>
      <c r="E63" s="1084"/>
      <c r="F63" s="1084">
        <f>+F53/$A63</f>
        <v>21207555.056868691</v>
      </c>
      <c r="G63" s="1084"/>
      <c r="H63" s="1084">
        <f>+H53/$A63</f>
        <v>21601275.198206525</v>
      </c>
      <c r="I63" s="1084"/>
      <c r="J63" s="1084">
        <f>+J53/$A63</f>
        <v>22002134.818003353</v>
      </c>
      <c r="K63" s="1084"/>
      <c r="L63" s="1084">
        <f>+L53/$A63</f>
        <v>22170929.726967048</v>
      </c>
      <c r="M63" s="1084"/>
      <c r="N63" s="1084">
        <f>SUM(D63:M63)/5</f>
        <v>21560550.000136107</v>
      </c>
      <c r="O63" s="1084"/>
    </row>
    <row r="64" spans="1:19" x14ac:dyDescent="0.25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20">
        <v>0.02</v>
      </c>
      <c r="B65" t="s">
        <v>74</v>
      </c>
      <c r="D65" s="1115">
        <f>+D63*$A65</f>
        <v>416417.10401269823</v>
      </c>
      <c r="E65" s="1115"/>
      <c r="F65" s="1115">
        <f>+F63*$A65</f>
        <v>424151.10113737383</v>
      </c>
      <c r="G65" s="1115"/>
      <c r="H65" s="1115">
        <f>+H63*$A65</f>
        <v>432025.50396413053</v>
      </c>
      <c r="I65" s="1115"/>
      <c r="J65" s="1115">
        <f>+J63*$A65</f>
        <v>440042.69636006706</v>
      </c>
      <c r="K65" s="1115"/>
      <c r="L65" s="1115">
        <f>+L63*$A65</f>
        <v>443418.59453934099</v>
      </c>
      <c r="M65" s="1115"/>
      <c r="N65" s="1084">
        <f>SUM(D65:M65)/5</f>
        <v>431211.00000272208</v>
      </c>
      <c r="O65" s="1084"/>
    </row>
    <row r="66" spans="1:15" x14ac:dyDescent="0.25">
      <c r="A66" s="2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</row>
    <row r="67" spans="1:15" s="5" customFormat="1" x14ac:dyDescent="0.25">
      <c r="A67" s="30"/>
      <c r="B67" s="5" t="s">
        <v>84</v>
      </c>
      <c r="D67" s="1115">
        <f>+ProForma!S80+ProForma!S81</f>
        <v>93631.432565845302</v>
      </c>
      <c r="E67" s="1115"/>
      <c r="F67" s="1115">
        <f>+ProForma!U80+D67+ProForma!U81</f>
        <v>290116.99380527163</v>
      </c>
      <c r="G67" s="1115"/>
      <c r="H67" s="1115">
        <f>+ProForma!W80+F67+ProForma!W81</f>
        <v>496279.46893573977</v>
      </c>
      <c r="I67" s="1115"/>
      <c r="J67" s="1115">
        <f>+ProForma!Y80+H67+ProForma!Y81</f>
        <v>712595.44596638344</v>
      </c>
      <c r="K67" s="1115"/>
      <c r="L67" s="1115">
        <f>+ProForma!AA80+J67+ProForma!AA81</f>
        <v>939564.98486578627</v>
      </c>
      <c r="M67" s="1115"/>
      <c r="N67" s="1084">
        <f>SUM(D67:M67)/5</f>
        <v>506437.66522780526</v>
      </c>
      <c r="O67" s="1084"/>
    </row>
    <row r="68" spans="1:15" x14ac:dyDescent="0.2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0" customFormat="1" x14ac:dyDescent="0.25">
      <c r="B69" s="10" t="s">
        <v>75</v>
      </c>
      <c r="D69" s="1115">
        <f>+D63-D65-$E17</f>
        <v>1121638.0966222137</v>
      </c>
      <c r="E69" s="1115"/>
      <c r="F69" s="1115">
        <f>+F63-F65-$E17</f>
        <v>1500603.9557313174</v>
      </c>
      <c r="G69" s="1115"/>
      <c r="H69" s="1115">
        <f>+H63-H65-$E17</f>
        <v>1886449.6942423955</v>
      </c>
      <c r="I69" s="1115"/>
      <c r="J69" s="1115">
        <f>+J63-J65-$E17</f>
        <v>2279292.1216432862</v>
      </c>
      <c r="K69" s="1115"/>
      <c r="L69" s="1115">
        <f>+L63-L65-$E17</f>
        <v>2444711.1324277073</v>
      </c>
      <c r="M69" s="1115"/>
      <c r="N69" s="1084">
        <f>SUM(D69:M69)/5</f>
        <v>1846539.000133384</v>
      </c>
      <c r="O69" s="1084"/>
    </row>
    <row r="71" spans="1:15" s="7" customFormat="1" x14ac:dyDescent="0.25">
      <c r="B71" s="7" t="s">
        <v>117</v>
      </c>
      <c r="E71" s="32">
        <f>+D69/$E43</f>
        <v>0.16022657471220461</v>
      </c>
      <c r="G71" s="32">
        <f>+F69/$E43</f>
        <v>0.21436204115256327</v>
      </c>
      <c r="I71" s="32">
        <f>+H69/$E43</f>
        <v>0.26948030187775501</v>
      </c>
      <c r="K71" s="32">
        <f>+J69/$E43</f>
        <v>0.32559804318275026</v>
      </c>
      <c r="M71" s="32">
        <f>+L69/$E43</f>
        <v>0.34922823332169683</v>
      </c>
      <c r="O71" s="32">
        <f>+N69/$E43</f>
        <v>0.26377903884939402</v>
      </c>
    </row>
    <row r="73" spans="1:15" x14ac:dyDescent="0.25">
      <c r="M73" s="28"/>
    </row>
    <row r="74" spans="1:15" x14ac:dyDescent="0.25">
      <c r="A74" t="s">
        <v>102</v>
      </c>
    </row>
    <row r="76" spans="1:15" x14ac:dyDescent="0.25">
      <c r="B76" t="s">
        <v>103</v>
      </c>
      <c r="N76" s="1271">
        <f>L63</f>
        <v>22170929.726967048</v>
      </c>
      <c r="O76" s="1272"/>
    </row>
    <row r="77" spans="1:15" x14ac:dyDescent="0.25">
      <c r="B77" t="s">
        <v>104</v>
      </c>
      <c r="N77" s="1271">
        <f>-L65</f>
        <v>-443418.59453934099</v>
      </c>
      <c r="O77" s="1272"/>
    </row>
    <row r="78" spans="1:15" x14ac:dyDescent="0.25">
      <c r="B78" t="s">
        <v>109</v>
      </c>
      <c r="N78" s="1271">
        <f>+N76+N77</f>
        <v>21727511.132427707</v>
      </c>
      <c r="O78" s="1272"/>
    </row>
    <row r="79" spans="1:15" x14ac:dyDescent="0.25">
      <c r="N79" s="38"/>
      <c r="O79" s="33"/>
    </row>
    <row r="80" spans="1:15" x14ac:dyDescent="0.25">
      <c r="B80" t="s">
        <v>105</v>
      </c>
      <c r="N80" s="1053">
        <f>-E35+L67-E41</f>
        <v>-11342910.015134213</v>
      </c>
      <c r="O80" s="1053"/>
    </row>
    <row r="81" spans="1:15" x14ac:dyDescent="0.25">
      <c r="B81" t="s">
        <v>264</v>
      </c>
      <c r="N81" s="197"/>
      <c r="O81" s="197">
        <f>IF(L51&gt;0,0,-E42)</f>
        <v>0</v>
      </c>
    </row>
    <row r="82" spans="1:15" x14ac:dyDescent="0.25">
      <c r="B82" t="s">
        <v>106</v>
      </c>
      <c r="N82" s="1271">
        <f>SUM(N78:O81)</f>
        <v>10384601.117293494</v>
      </c>
      <c r="O82" s="1272"/>
    </row>
    <row r="84" spans="1:15" x14ac:dyDescent="0.25">
      <c r="B84" t="s">
        <v>263</v>
      </c>
      <c r="N84" s="1271">
        <f>L51</f>
        <v>7000325</v>
      </c>
      <c r="O84" s="1271"/>
    </row>
    <row r="86" spans="1:15" x14ac:dyDescent="0.25">
      <c r="B86" t="s">
        <v>108</v>
      </c>
      <c r="O86" s="28">
        <f>N82-N84</f>
        <v>3384276.1172934938</v>
      </c>
    </row>
    <row r="88" spans="1:15" x14ac:dyDescent="0.25">
      <c r="B88" t="s">
        <v>110</v>
      </c>
      <c r="O88" s="37">
        <f>O86/N84</f>
        <v>0.48344557106898522</v>
      </c>
    </row>
    <row r="90" spans="1:15" hidden="1" outlineLevel="1" x14ac:dyDescent="0.25">
      <c r="A90" s="11" t="s">
        <v>265</v>
      </c>
    </row>
    <row r="91" spans="1:15" hidden="1" outlineLevel="1" x14ac:dyDescent="0.25"/>
    <row r="92" spans="1:15" hidden="1" outlineLevel="1" x14ac:dyDescent="0.25">
      <c r="B92" t="s">
        <v>266</v>
      </c>
      <c r="O92" s="37">
        <v>0.85</v>
      </c>
    </row>
    <row r="93" spans="1:15" hidden="1" outlineLevel="1" x14ac:dyDescent="0.25"/>
    <row r="94" spans="1:15" hidden="1" outlineLevel="1" x14ac:dyDescent="0.25">
      <c r="B94" t="s">
        <v>747</v>
      </c>
      <c r="O94" s="6">
        <f>E43*(1+O92)</f>
        <v>12950601.25</v>
      </c>
    </row>
    <row r="95" spans="1:15" hidden="1" outlineLevel="1" x14ac:dyDescent="0.25"/>
    <row r="96" spans="1:15" hidden="1" outlineLevel="1" x14ac:dyDescent="0.25">
      <c r="B96" t="s">
        <v>267</v>
      </c>
      <c r="O96" s="6">
        <f>N82-O94</f>
        <v>-2566000.1327065062</v>
      </c>
    </row>
    <row r="97" spans="2:15" hidden="1" outlineLevel="1" x14ac:dyDescent="0.25"/>
    <row r="98" spans="2:15" hidden="1" outlineLevel="1" x14ac:dyDescent="0.25">
      <c r="B98" t="s">
        <v>268</v>
      </c>
      <c r="O98" s="6">
        <f>O96</f>
        <v>-2566000.1327065062</v>
      </c>
    </row>
    <row r="99" spans="2:15" collapsed="1" x14ac:dyDescent="0.25"/>
  </sheetData>
  <customSheetViews>
    <customSheetView guid="{BBA80CC4-398C-41FE-99C8-A75F96D5CA58}" scale="80" fitToPage="1" hiddenRows="1">
      <selection activeCell="H11" sqref="H11"/>
      <pageMargins left="0.7" right="0.7" top="0.75" bottom="0.75" header="0.3" footer="0.3"/>
      <pageSetup scale="38" orientation="landscape"/>
    </customSheetView>
    <customSheetView guid="{03C358DA-88A4-4E12-84B7-BB4E50E89831}" scale="80" fitToPage="1" hiddenRows="1">
      <selection activeCell="E19" sqref="E19"/>
      <pageMargins left="0.7" right="0.7" top="0.75" bottom="0.75" header="0.3" footer="0.3"/>
      <pageSetup scale="38" orientation="landscape"/>
    </customSheetView>
  </customSheetViews>
  <mergeCells count="75">
    <mergeCell ref="R5:V5"/>
    <mergeCell ref="N51:O51"/>
    <mergeCell ref="D51:E51"/>
    <mergeCell ref="F51:G51"/>
    <mergeCell ref="H51:I51"/>
    <mergeCell ref="J51:K51"/>
    <mergeCell ref="L51:M51"/>
    <mergeCell ref="N49:O49"/>
    <mergeCell ref="D48:O48"/>
    <mergeCell ref="D49:E49"/>
    <mergeCell ref="F49:G49"/>
    <mergeCell ref="H49:I49"/>
    <mergeCell ref="J49:K49"/>
    <mergeCell ref="L49:M49"/>
    <mergeCell ref="H55:I55"/>
    <mergeCell ref="H57:I57"/>
    <mergeCell ref="H59:I59"/>
    <mergeCell ref="H61:I61"/>
    <mergeCell ref="H63:I63"/>
    <mergeCell ref="F55:G55"/>
    <mergeCell ref="F57:G57"/>
    <mergeCell ref="F59:G59"/>
    <mergeCell ref="D59:E59"/>
    <mergeCell ref="F69:G69"/>
    <mergeCell ref="D61:E61"/>
    <mergeCell ref="D63:E63"/>
    <mergeCell ref="D65:E65"/>
    <mergeCell ref="D69:E69"/>
    <mergeCell ref="D67:E67"/>
    <mergeCell ref="D55:E55"/>
    <mergeCell ref="D57:E57"/>
    <mergeCell ref="N55:O55"/>
    <mergeCell ref="N57:O57"/>
    <mergeCell ref="N59:O59"/>
    <mergeCell ref="N61:O61"/>
    <mergeCell ref="N63:O63"/>
    <mergeCell ref="H65:I65"/>
    <mergeCell ref="F61:G61"/>
    <mergeCell ref="H69:I69"/>
    <mergeCell ref="J69:K69"/>
    <mergeCell ref="L69:M69"/>
    <mergeCell ref="D53:E53"/>
    <mergeCell ref="F53:G53"/>
    <mergeCell ref="H53:I53"/>
    <mergeCell ref="J53:K53"/>
    <mergeCell ref="L53:M53"/>
    <mergeCell ref="N54:O54"/>
    <mergeCell ref="N53:O53"/>
    <mergeCell ref="F67:G67"/>
    <mergeCell ref="H67:I67"/>
    <mergeCell ref="J67:K67"/>
    <mergeCell ref="L67:M67"/>
    <mergeCell ref="N67:O67"/>
    <mergeCell ref="F63:G63"/>
    <mergeCell ref="F65:G65"/>
    <mergeCell ref="J65:K65"/>
    <mergeCell ref="J55:K55"/>
    <mergeCell ref="N65:O65"/>
    <mergeCell ref="L55:M55"/>
    <mergeCell ref="L57:M57"/>
    <mergeCell ref="L59:M59"/>
    <mergeCell ref="L61:M61"/>
    <mergeCell ref="J57:K57"/>
    <mergeCell ref="J59:K59"/>
    <mergeCell ref="J61:K61"/>
    <mergeCell ref="J63:K63"/>
    <mergeCell ref="N84:O84"/>
    <mergeCell ref="N82:O82"/>
    <mergeCell ref="N80:O80"/>
    <mergeCell ref="N77:O77"/>
    <mergeCell ref="N76:O76"/>
    <mergeCell ref="N78:O78"/>
    <mergeCell ref="N69:O69"/>
    <mergeCell ref="L63:M63"/>
    <mergeCell ref="L65:M65"/>
  </mergeCells>
  <conditionalFormatting sqref="P31">
    <cfRule type="cellIs" dxfId="5" priority="14" operator="greaterThan">
      <formula>1.52</formula>
    </cfRule>
    <cfRule type="cellIs" dxfId="4" priority="15" operator="between">
      <formula>1.41</formula>
      <formula>1.5</formula>
    </cfRule>
    <cfRule type="cellIs" dxfId="3" priority="16" operator="lessThan">
      <formula>1.4</formula>
    </cfRule>
  </conditionalFormatting>
  <conditionalFormatting sqref="F28:G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G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G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8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  <pageSetUpPr fitToPage="1"/>
  </sheetPr>
  <dimension ref="A1:AY41"/>
  <sheetViews>
    <sheetView workbookViewId="0">
      <selection activeCell="I17" sqref="I17"/>
    </sheetView>
  </sheetViews>
  <sheetFormatPr defaultColWidth="8.7109375" defaultRowHeight="15" outlineLevelCol="1" x14ac:dyDescent="0.25"/>
  <cols>
    <col min="1" max="1" width="6.28515625" style="11" customWidth="1"/>
    <col min="2" max="2" width="40.7109375" style="427" customWidth="1"/>
    <col min="3" max="3" width="8.140625" style="427" customWidth="1"/>
    <col min="4" max="4" width="1.7109375" style="427" customWidth="1"/>
    <col min="5" max="5" width="15" style="427" customWidth="1"/>
    <col min="6" max="6" width="10" style="427" customWidth="1"/>
    <col min="7" max="7" width="18.28515625" style="427" customWidth="1"/>
    <col min="8" max="8" width="10" style="427" customWidth="1"/>
    <col min="9" max="9" width="18.140625" style="427" customWidth="1"/>
    <col min="10" max="10" width="10" style="427" customWidth="1"/>
    <col min="11" max="11" width="18.140625" style="427" customWidth="1"/>
    <col min="12" max="12" width="10" style="427" customWidth="1"/>
    <col min="13" max="13" width="18.28515625" style="427" customWidth="1"/>
    <col min="14" max="14" width="10" style="427" customWidth="1"/>
    <col min="15" max="15" width="18.7109375" style="427" hidden="1" customWidth="1" outlineLevel="1"/>
    <col min="16" max="16" width="10" style="427" hidden="1" customWidth="1" outlineLevel="1"/>
    <col min="17" max="17" width="19.7109375" style="427" hidden="1" customWidth="1" outlineLevel="1"/>
    <col min="18" max="18" width="10" style="427" hidden="1" customWidth="1" outlineLevel="1"/>
    <col min="19" max="19" width="18.7109375" style="427" hidden="1" customWidth="1" outlineLevel="1"/>
    <col min="20" max="20" width="10" style="427" hidden="1" customWidth="1" outlineLevel="1"/>
    <col min="21" max="21" width="18.7109375" style="427" hidden="1" customWidth="1" outlineLevel="1"/>
    <col min="22" max="22" width="10" style="427" hidden="1" customWidth="1" outlineLevel="1"/>
    <col min="23" max="23" width="18.7109375" style="427" hidden="1" customWidth="1" outlineLevel="1"/>
    <col min="24" max="24" width="10" style="427" hidden="1" customWidth="1" outlineLevel="1"/>
    <col min="25" max="25" width="18.7109375" style="427" hidden="1" customWidth="1" outlineLevel="1"/>
    <col min="26" max="27" width="10" style="427" hidden="1" customWidth="1" outlineLevel="1"/>
    <col min="28" max="28" width="18.140625" style="427" hidden="1" customWidth="1" outlineLevel="1"/>
    <col min="29" max="29" width="10" style="427" hidden="1" customWidth="1" outlineLevel="1"/>
    <col min="30" max="30" width="11" style="427" bestFit="1" customWidth="1" collapsed="1"/>
    <col min="31" max="33" width="8.7109375" style="427"/>
    <col min="34" max="34" width="9.42578125" style="427" bestFit="1" customWidth="1"/>
    <col min="35" max="50" width="8.7109375" style="427" hidden="1" customWidth="1"/>
    <col min="51" max="51" width="11.28515625" style="427" bestFit="1" customWidth="1"/>
    <col min="52" max="16384" width="8.7109375" style="427"/>
  </cols>
  <sheetData>
    <row r="1" spans="1:51" ht="23.25" x14ac:dyDescent="0.35">
      <c r="A1" s="1" t="str">
        <f>+'Data Entry'!C6</f>
        <v>LF III</v>
      </c>
    </row>
    <row r="2" spans="1:51" ht="18.75" x14ac:dyDescent="0.3">
      <c r="A2" s="563" t="s">
        <v>676</v>
      </c>
    </row>
    <row r="3" spans="1:51" ht="15.75" x14ac:dyDescent="0.25">
      <c r="A3" s="501"/>
      <c r="E3" s="121"/>
      <c r="AF3" s="121"/>
      <c r="AY3" s="409"/>
    </row>
    <row r="4" spans="1:51" ht="15.75" x14ac:dyDescent="0.25">
      <c r="A4" s="501"/>
      <c r="E4" s="121"/>
      <c r="AF4" s="121"/>
      <c r="AY4" s="409"/>
    </row>
    <row r="5" spans="1:51" ht="15.75" x14ac:dyDescent="0.25">
      <c r="A5" s="501"/>
      <c r="E5" s="121"/>
      <c r="AF5" s="121"/>
      <c r="AY5" s="409"/>
    </row>
    <row r="6" spans="1:51" ht="15.75" x14ac:dyDescent="0.25">
      <c r="A6" s="501"/>
      <c r="I6" s="409"/>
      <c r="K6" s="28"/>
      <c r="AH6" s="409"/>
      <c r="AY6" s="28"/>
    </row>
    <row r="7" spans="1:51" ht="15.75" x14ac:dyDescent="0.25">
      <c r="A7" s="501" t="s">
        <v>695</v>
      </c>
      <c r="E7" s="409">
        <f>+'Data Entry'!E23</f>
        <v>1870584.6215999995</v>
      </c>
      <c r="I7" s="409"/>
      <c r="K7" s="28"/>
      <c r="AH7" s="409"/>
      <c r="AY7" s="28"/>
    </row>
    <row r="8" spans="1:51" ht="15.75" thickBot="1" x14ac:dyDescent="0.3">
      <c r="A8" s="427"/>
      <c r="I8" s="409"/>
      <c r="K8" s="28"/>
      <c r="AH8" s="409"/>
      <c r="AY8" s="28"/>
    </row>
    <row r="9" spans="1:51" ht="15.75" thickBot="1" x14ac:dyDescent="0.3">
      <c r="A9" s="427" t="s">
        <v>736</v>
      </c>
      <c r="E9" s="644"/>
      <c r="I9" s="409"/>
      <c r="K9" s="28"/>
      <c r="AH9" s="409"/>
      <c r="AY9" s="28"/>
    </row>
    <row r="10" spans="1:51" x14ac:dyDescent="0.25">
      <c r="A10" s="427"/>
      <c r="I10" s="409"/>
      <c r="K10" s="28"/>
      <c r="AH10" s="409"/>
      <c r="AY10" s="28"/>
    </row>
    <row r="11" spans="1:51" ht="15.75" x14ac:dyDescent="0.25">
      <c r="A11" s="501" t="s">
        <v>738</v>
      </c>
      <c r="E11" s="37" t="e">
        <f>+E7/E9</f>
        <v>#DIV/0!</v>
      </c>
      <c r="I11" s="409"/>
      <c r="K11" s="28"/>
      <c r="AH11" s="409"/>
      <c r="AY11" s="28"/>
    </row>
    <row r="12" spans="1:51" ht="15.75" x14ac:dyDescent="0.25">
      <c r="A12" s="501"/>
      <c r="E12" s="37"/>
      <c r="I12" s="409"/>
      <c r="K12" s="28"/>
      <c r="AH12" s="409"/>
      <c r="AY12" s="28"/>
    </row>
    <row r="13" spans="1:51" ht="15.75" x14ac:dyDescent="0.25">
      <c r="A13" s="501" t="s">
        <v>740</v>
      </c>
      <c r="E13" s="409">
        <f>+'PIP &amp; Source &amp; Use'!F13</f>
        <v>375000</v>
      </c>
      <c r="I13" s="409"/>
      <c r="K13" s="28"/>
      <c r="AH13" s="409"/>
      <c r="AY13" s="28"/>
    </row>
    <row r="14" spans="1:51" ht="15.75" x14ac:dyDescent="0.25">
      <c r="A14" s="501"/>
      <c r="E14" s="409"/>
      <c r="I14" s="409"/>
      <c r="K14" s="28"/>
      <c r="AH14" s="409"/>
      <c r="AY14" s="28"/>
    </row>
    <row r="15" spans="1:51" x14ac:dyDescent="0.25">
      <c r="A15" s="427" t="s">
        <v>731</v>
      </c>
      <c r="E15" s="409">
        <f>+E9+E13</f>
        <v>375000</v>
      </c>
      <c r="I15" s="409"/>
      <c r="K15" s="28"/>
      <c r="AH15" s="409"/>
      <c r="AY15" s="28"/>
    </row>
    <row r="16" spans="1:51" ht="15.75" x14ac:dyDescent="0.25">
      <c r="A16" s="501"/>
      <c r="E16" s="409"/>
      <c r="I16" s="409"/>
      <c r="K16" s="28"/>
      <c r="AH16" s="409"/>
      <c r="AY16" s="28"/>
    </row>
    <row r="17" spans="1:51" ht="15.75" x14ac:dyDescent="0.25">
      <c r="A17" s="501" t="s">
        <v>739</v>
      </c>
      <c r="E17" s="37">
        <f>+E7/E15</f>
        <v>4.9882256575999984</v>
      </c>
      <c r="I17" s="409"/>
      <c r="K17" s="28"/>
      <c r="AH17" s="409"/>
      <c r="AY17" s="28"/>
    </row>
    <row r="18" spans="1:51" ht="15.75" x14ac:dyDescent="0.25">
      <c r="A18" s="501"/>
      <c r="E18" s="409"/>
      <c r="I18" s="409"/>
      <c r="K18" s="28"/>
      <c r="AH18" s="409"/>
      <c r="AY18" s="28"/>
    </row>
    <row r="19" spans="1:51" ht="15.75" x14ac:dyDescent="0.25">
      <c r="A19" s="501"/>
      <c r="E19" s="409"/>
      <c r="I19" s="409"/>
      <c r="K19" s="28"/>
      <c r="AH19" s="409"/>
      <c r="AY19" s="28"/>
    </row>
    <row r="20" spans="1:51" ht="15.75" x14ac:dyDescent="0.25">
      <c r="A20" s="501"/>
      <c r="E20" s="409"/>
      <c r="I20" s="409"/>
      <c r="K20" s="28"/>
      <c r="AH20" s="409"/>
      <c r="AY20" s="28"/>
    </row>
    <row r="21" spans="1:51" ht="15.75" x14ac:dyDescent="0.25">
      <c r="A21" s="501" t="s">
        <v>728</v>
      </c>
      <c r="E21" s="409" t="e">
        <f>+E15*E11</f>
        <v>#DIV/0!</v>
      </c>
      <c r="I21" s="409"/>
      <c r="K21" s="28"/>
      <c r="AH21" s="409"/>
      <c r="AY21" s="28"/>
    </row>
    <row r="22" spans="1:51" ht="15.75" x14ac:dyDescent="0.25">
      <c r="A22" s="501"/>
      <c r="K22" s="28"/>
    </row>
    <row r="23" spans="1:51" ht="15.75" x14ac:dyDescent="0.25">
      <c r="A23" s="501"/>
      <c r="E23" s="28"/>
      <c r="K23" s="28"/>
    </row>
    <row r="24" spans="1:51" ht="15.75" x14ac:dyDescent="0.25">
      <c r="A24" s="501"/>
      <c r="K24" s="28"/>
    </row>
    <row r="25" spans="1:51" ht="15.75" x14ac:dyDescent="0.25">
      <c r="A25" s="501"/>
    </row>
    <row r="26" spans="1:51" ht="15.75" x14ac:dyDescent="0.25">
      <c r="A26" s="501"/>
      <c r="E26" s="1127" t="s">
        <v>730</v>
      </c>
      <c r="F26" s="1127"/>
      <c r="G26" s="1127"/>
      <c r="H26" s="1127"/>
      <c r="I26" s="1127"/>
      <c r="J26" s="1127"/>
      <c r="K26" s="1127"/>
      <c r="L26" s="1127"/>
      <c r="M26" s="1127"/>
      <c r="N26" s="1127"/>
      <c r="O26" s="1127"/>
      <c r="P26" s="1127"/>
      <c r="Q26" s="1127"/>
      <c r="R26" s="1127"/>
      <c r="S26" s="1127"/>
      <c r="T26" s="1127"/>
      <c r="U26" s="1127"/>
      <c r="V26" s="1127"/>
      <c r="W26" s="1127"/>
      <c r="X26" s="1127"/>
      <c r="Y26" s="1127"/>
      <c r="Z26" s="1127"/>
      <c r="AA26" s="1127"/>
      <c r="AB26" s="1127"/>
      <c r="AC26" s="1127"/>
    </row>
    <row r="27" spans="1:51" ht="15.75" x14ac:dyDescent="0.25">
      <c r="A27" s="501"/>
      <c r="E27" s="1068" t="s">
        <v>522</v>
      </c>
      <c r="F27" s="1068"/>
      <c r="G27" s="1068" t="s">
        <v>524</v>
      </c>
      <c r="H27" s="1068"/>
      <c r="I27" s="1068" t="s">
        <v>525</v>
      </c>
      <c r="J27" s="1068"/>
      <c r="K27" s="1068" t="s">
        <v>526</v>
      </c>
      <c r="L27" s="1068"/>
      <c r="M27" s="1068" t="s">
        <v>526</v>
      </c>
      <c r="N27" s="1068"/>
      <c r="O27" s="1068" t="s">
        <v>347</v>
      </c>
      <c r="P27" s="1068"/>
      <c r="Q27" s="1068" t="s">
        <v>348</v>
      </c>
      <c r="R27" s="1068"/>
      <c r="S27" s="1068" t="s">
        <v>349</v>
      </c>
      <c r="T27" s="1068"/>
      <c r="U27" s="1068" t="s">
        <v>350</v>
      </c>
      <c r="V27" s="1068"/>
      <c r="W27" s="1068" t="s">
        <v>351</v>
      </c>
      <c r="X27" s="1068"/>
      <c r="Y27" s="1068" t="s">
        <v>353</v>
      </c>
      <c r="Z27" s="1068"/>
      <c r="AA27" s="462"/>
      <c r="AB27" s="1068" t="s">
        <v>355</v>
      </c>
      <c r="AC27" s="1068"/>
    </row>
    <row r="28" spans="1:51" ht="16.5" thickBot="1" x14ac:dyDescent="0.3">
      <c r="A28" s="501"/>
    </row>
    <row r="29" spans="1:51" ht="16.5" thickBot="1" x14ac:dyDescent="0.3">
      <c r="A29" s="501"/>
      <c r="B29" s="427" t="s">
        <v>741</v>
      </c>
      <c r="E29" s="644"/>
      <c r="F29" s="409"/>
      <c r="G29" s="644"/>
      <c r="H29" s="409"/>
      <c r="I29" s="644"/>
      <c r="J29" s="409"/>
      <c r="K29" s="644"/>
      <c r="L29" s="409"/>
      <c r="M29" s="644"/>
    </row>
    <row r="30" spans="1:51" ht="15.75" x14ac:dyDescent="0.25">
      <c r="A30" s="501"/>
    </row>
    <row r="31" spans="1:51" ht="15.75" x14ac:dyDescent="0.25">
      <c r="A31" s="501"/>
      <c r="B31" s="427" t="s">
        <v>728</v>
      </c>
      <c r="E31" s="28" t="e">
        <f>-$E21</f>
        <v>#DIV/0!</v>
      </c>
      <c r="G31" s="28" t="e">
        <f>-$E21</f>
        <v>#DIV/0!</v>
      </c>
      <c r="H31" s="28"/>
      <c r="I31" s="28" t="e">
        <f>-$E21</f>
        <v>#DIV/0!</v>
      </c>
      <c r="K31" s="28" t="e">
        <f>-$E21</f>
        <v>#DIV/0!</v>
      </c>
      <c r="M31" s="28" t="e">
        <f>-$E21</f>
        <v>#DIV/0!</v>
      </c>
    </row>
    <row r="32" spans="1:51" ht="15.75" x14ac:dyDescent="0.25">
      <c r="A32" s="501"/>
    </row>
    <row r="33" spans="1:13" ht="15.75" x14ac:dyDescent="0.25">
      <c r="A33" s="501"/>
      <c r="B33" s="427" t="s">
        <v>752</v>
      </c>
      <c r="E33" s="28" t="e">
        <f>+E29+E31</f>
        <v>#DIV/0!</v>
      </c>
      <c r="G33" s="28" t="e">
        <f>+G29+G31</f>
        <v>#DIV/0!</v>
      </c>
      <c r="H33" s="28"/>
      <c r="I33" s="28" t="e">
        <f>+I29+I31</f>
        <v>#DIV/0!</v>
      </c>
      <c r="K33" s="28" t="e">
        <f>+K29+K31</f>
        <v>#DIV/0!</v>
      </c>
      <c r="M33" s="28" t="e">
        <f>+M29+M31</f>
        <v>#DIV/0!</v>
      </c>
    </row>
    <row r="34" spans="1:13" ht="15.75" x14ac:dyDescent="0.25">
      <c r="A34" s="501"/>
    </row>
    <row r="35" spans="1:13" x14ac:dyDescent="0.25">
      <c r="A35" s="696">
        <v>7.4999999999999997E-3</v>
      </c>
      <c r="B35" s="427" t="s">
        <v>735</v>
      </c>
      <c r="E35" s="121" t="e">
        <f>+E11+A35</f>
        <v>#DIV/0!</v>
      </c>
      <c r="G35" s="121" t="e">
        <f>+E35+$A35</f>
        <v>#DIV/0!</v>
      </c>
      <c r="I35" s="121" t="e">
        <f>+G35+$A35</f>
        <v>#DIV/0!</v>
      </c>
      <c r="K35" s="121" t="e">
        <f>+I35+$A35</f>
        <v>#DIV/0!</v>
      </c>
      <c r="M35" s="121" t="e">
        <f>+K35+$A35</f>
        <v>#DIV/0!</v>
      </c>
    </row>
    <row r="36" spans="1:13" ht="15.75" x14ac:dyDescent="0.25">
      <c r="A36" s="501"/>
    </row>
    <row r="37" spans="1:13" ht="15.75" x14ac:dyDescent="0.25">
      <c r="A37" s="501"/>
      <c r="B37" s="642" t="s">
        <v>729</v>
      </c>
      <c r="C37" s="642"/>
      <c r="D37" s="642"/>
      <c r="E37" s="643" t="e">
        <f>+E33/E35</f>
        <v>#DIV/0!</v>
      </c>
      <c r="F37" s="642"/>
      <c r="G37" s="643" t="e">
        <f>+G33/G35</f>
        <v>#DIV/0!</v>
      </c>
      <c r="H37" s="642"/>
      <c r="I37" s="643" t="e">
        <f>+I33/I35</f>
        <v>#DIV/0!</v>
      </c>
      <c r="J37" s="642"/>
      <c r="K37" s="643" t="e">
        <f>+K33/K35</f>
        <v>#DIV/0!</v>
      </c>
      <c r="L37" s="642"/>
      <c r="M37" s="643" t="e">
        <f>+M33/M35</f>
        <v>#DIV/0!</v>
      </c>
    </row>
    <row r="38" spans="1:13" ht="15.75" x14ac:dyDescent="0.25">
      <c r="A38" s="562"/>
      <c r="B38" s="165"/>
    </row>
    <row r="39" spans="1:13" x14ac:dyDescent="0.25">
      <c r="A39" s="11" t="s">
        <v>737</v>
      </c>
      <c r="E39" s="28" t="e">
        <f>+E37+$E9</f>
        <v>#DIV/0!</v>
      </c>
      <c r="G39" s="28" t="e">
        <f>+G37+$E9</f>
        <v>#DIV/0!</v>
      </c>
      <c r="I39" s="28" t="e">
        <f>+I37+$E9</f>
        <v>#DIV/0!</v>
      </c>
      <c r="K39" s="28" t="e">
        <f>+K37+$E9</f>
        <v>#DIV/0!</v>
      </c>
      <c r="M39" s="28" t="e">
        <f>+M37+$E9</f>
        <v>#DIV/0!</v>
      </c>
    </row>
    <row r="41" spans="1:13" x14ac:dyDescent="0.25">
      <c r="A41" s="11" t="s">
        <v>753</v>
      </c>
      <c r="E41" s="37" t="e">
        <f>+$E7/(E39+$E13)</f>
        <v>#DIV/0!</v>
      </c>
      <c r="G41" s="37" t="e">
        <f>+$E7/(G39+$E13)</f>
        <v>#DIV/0!</v>
      </c>
      <c r="I41" s="37" t="e">
        <f>+$E7/(I39+$E13)</f>
        <v>#DIV/0!</v>
      </c>
      <c r="K41" s="37" t="e">
        <f>+$E7/(K39+$E13)</f>
        <v>#DIV/0!</v>
      </c>
      <c r="M41" s="37" t="e">
        <f>+$E7/(M39+$E13)</f>
        <v>#DIV/0!</v>
      </c>
    </row>
  </sheetData>
  <customSheetViews>
    <customSheetView guid="{BBA80CC4-398C-41FE-99C8-A75F96D5CA58}" scale="80" fitToPage="1" hiddenColumns="1">
      <selection activeCell="K12" sqref="K12"/>
      <pageMargins left="0.7" right="0.7" top="0.75" bottom="0.75" header="0.3" footer="0.3"/>
      <pageSetup scale="64" orientation="landscape" verticalDpi="1200"/>
    </customSheetView>
    <customSheetView guid="{03C358DA-88A4-4E12-84B7-BB4E50E89831}" scale="80" fitToPage="1" hiddenColumns="1">
      <selection activeCell="B44" sqref="B44"/>
      <pageMargins left="0.7" right="0.7" top="0.75" bottom="0.75" header="0.3" footer="0.3"/>
      <pageSetup scale="64" orientation="landscape" verticalDpi="1200"/>
    </customSheetView>
  </customSheetViews>
  <mergeCells count="13">
    <mergeCell ref="W27:X27"/>
    <mergeCell ref="Y27:Z27"/>
    <mergeCell ref="AB27:AC27"/>
    <mergeCell ref="E26:AC26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</mergeCells>
  <pageMargins left="0.7" right="0.7" top="0.75" bottom="0.75" header="0.3" footer="0.3"/>
  <pageSetup scale="64" orientation="landscape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/>
  </sheetPr>
  <dimension ref="A1:AD59"/>
  <sheetViews>
    <sheetView topLeftCell="A16" workbookViewId="0">
      <selection activeCell="E34" sqref="E34:F34"/>
    </sheetView>
  </sheetViews>
  <sheetFormatPr defaultColWidth="8.7109375" defaultRowHeight="15" outlineLevelCol="1" x14ac:dyDescent="0.25"/>
  <cols>
    <col min="1" max="1" width="4.28515625" style="11" customWidth="1"/>
    <col min="2" max="2" width="40.7109375" customWidth="1"/>
    <col min="3" max="3" width="8.140625" customWidth="1"/>
    <col min="4" max="4" width="1.7109375" customWidth="1"/>
    <col min="5" max="5" width="15" customWidth="1"/>
    <col min="6" max="6" width="10" customWidth="1"/>
    <col min="7" max="7" width="18.28515625" customWidth="1"/>
    <col min="8" max="8" width="10" customWidth="1"/>
    <col min="9" max="9" width="18.140625" customWidth="1"/>
    <col min="10" max="10" width="10" customWidth="1"/>
    <col min="11" max="11" width="18.140625" customWidth="1"/>
    <col min="12" max="12" width="10" customWidth="1"/>
    <col min="13" max="13" width="18.28515625" customWidth="1"/>
    <col min="14" max="14" width="10" customWidth="1"/>
    <col min="15" max="15" width="18.7109375" hidden="1" customWidth="1" outlineLevel="1"/>
    <col min="16" max="16" width="10" hidden="1" customWidth="1" outlineLevel="1"/>
    <col min="17" max="17" width="19.7109375" hidden="1" customWidth="1" outlineLevel="1"/>
    <col min="18" max="18" width="10" hidden="1" customWidth="1" outlineLevel="1"/>
    <col min="19" max="19" width="18.7109375" hidden="1" customWidth="1" outlineLevel="1"/>
    <col min="20" max="20" width="10" hidden="1" customWidth="1" outlineLevel="1"/>
    <col min="21" max="21" width="18.7109375" hidden="1" customWidth="1" outlineLevel="1"/>
    <col min="22" max="22" width="10" hidden="1" customWidth="1" outlineLevel="1"/>
    <col min="23" max="23" width="18.7109375" hidden="1" customWidth="1" outlineLevel="1"/>
    <col min="24" max="24" width="10" hidden="1" customWidth="1" outlineLevel="1"/>
    <col min="25" max="25" width="18.7109375" hidden="1" customWidth="1" outlineLevel="1"/>
    <col min="26" max="27" width="10" hidden="1" customWidth="1" outlineLevel="1"/>
    <col min="28" max="28" width="18.140625" hidden="1" customWidth="1" outlineLevel="1"/>
    <col min="29" max="29" width="10" hidden="1" customWidth="1" outlineLevel="1"/>
    <col min="30" max="30" width="8.7109375" collapsed="1"/>
  </cols>
  <sheetData>
    <row r="1" spans="1:29" ht="23.25" x14ac:dyDescent="0.35">
      <c r="A1" s="1" t="str">
        <f>+'Data Entry'!C6</f>
        <v>LF III</v>
      </c>
    </row>
    <row r="2" spans="1:29" ht="15.75" x14ac:dyDescent="0.25">
      <c r="A2" s="501" t="s">
        <v>54</v>
      </c>
    </row>
    <row r="3" spans="1:29" ht="18.75" x14ac:dyDescent="0.3">
      <c r="A3" s="511" t="s">
        <v>500</v>
      </c>
      <c r="E3" s="1127" t="str">
        <f>+ProForma!S3</f>
        <v>T12 POST PURCHASE</v>
      </c>
      <c r="F3" s="1127"/>
      <c r="G3" s="1127"/>
      <c r="H3" s="1127"/>
      <c r="I3" s="1127"/>
      <c r="J3" s="1127"/>
      <c r="K3" s="1127"/>
      <c r="L3" s="1127"/>
      <c r="M3" s="1127"/>
      <c r="N3" s="1127"/>
      <c r="O3" s="1127"/>
      <c r="P3" s="1127"/>
      <c r="Q3" s="1127"/>
      <c r="R3" s="1127"/>
      <c r="S3" s="1127"/>
      <c r="T3" s="1127"/>
      <c r="U3" s="1127"/>
      <c r="V3" s="1127"/>
      <c r="W3" s="1127"/>
      <c r="X3" s="1127"/>
      <c r="Y3" s="1127"/>
      <c r="Z3" s="1127"/>
      <c r="AA3" s="1127"/>
      <c r="AB3" s="1127"/>
      <c r="AC3" s="1127"/>
    </row>
    <row r="4" spans="1:29" x14ac:dyDescent="0.25">
      <c r="A4" s="1108"/>
      <c r="B4" s="1108"/>
      <c r="E4" s="1068" t="str">
        <f>+ProForma!S4</f>
        <v>T12 2019</v>
      </c>
      <c r="F4" s="1068"/>
      <c r="G4" s="1068" t="str">
        <f>+ProForma!U4</f>
        <v>T12 2020</v>
      </c>
      <c r="H4" s="1068"/>
      <c r="I4" s="1068" t="str">
        <f>+ProForma!W4</f>
        <v>T12 2021</v>
      </c>
      <c r="J4" s="1068"/>
      <c r="K4" s="1068" t="str">
        <f>+ProForma!Y4</f>
        <v>T12 2022</v>
      </c>
      <c r="L4" s="1068"/>
      <c r="M4" s="1068" t="str">
        <f>+ProForma!AA4</f>
        <v>T12 2023</v>
      </c>
      <c r="N4" s="1068"/>
      <c r="O4" s="1068" t="s">
        <v>347</v>
      </c>
      <c r="P4" s="1068"/>
      <c r="Q4" s="1068" t="s">
        <v>348</v>
      </c>
      <c r="R4" s="1068"/>
      <c r="S4" s="1068" t="s">
        <v>349</v>
      </c>
      <c r="T4" s="1068"/>
      <c r="U4" s="1068" t="s">
        <v>350</v>
      </c>
      <c r="V4" s="1068"/>
      <c r="W4" s="1068" t="s">
        <v>351</v>
      </c>
      <c r="X4" s="1068"/>
      <c r="Y4" s="1068" t="s">
        <v>353</v>
      </c>
      <c r="Z4" s="1068"/>
      <c r="AA4" s="381"/>
      <c r="AB4" s="1068" t="s">
        <v>355</v>
      </c>
      <c r="AC4" s="1068"/>
    </row>
    <row r="5" spans="1:29" x14ac:dyDescent="0.25">
      <c r="E5" s="381" t="s">
        <v>36</v>
      </c>
      <c r="F5" s="381" t="s">
        <v>37</v>
      </c>
      <c r="G5" s="381" t="s">
        <v>36</v>
      </c>
      <c r="H5" s="381" t="s">
        <v>37</v>
      </c>
      <c r="I5" s="381" t="s">
        <v>36</v>
      </c>
      <c r="J5" s="381" t="s">
        <v>37</v>
      </c>
      <c r="K5" s="381" t="s">
        <v>36</v>
      </c>
      <c r="L5" s="381" t="s">
        <v>37</v>
      </c>
      <c r="M5" s="381" t="s">
        <v>36</v>
      </c>
      <c r="N5" s="381" t="s">
        <v>37</v>
      </c>
      <c r="O5" s="381" t="s">
        <v>36</v>
      </c>
      <c r="P5" s="381" t="s">
        <v>37</v>
      </c>
      <c r="Q5" s="381" t="s">
        <v>36</v>
      </c>
      <c r="R5" s="381" t="s">
        <v>37</v>
      </c>
      <c r="S5" s="381" t="s">
        <v>36</v>
      </c>
      <c r="T5" s="381" t="s">
        <v>37</v>
      </c>
      <c r="U5" s="381" t="s">
        <v>36</v>
      </c>
      <c r="V5" s="381" t="s">
        <v>37</v>
      </c>
      <c r="W5" s="381" t="s">
        <v>36</v>
      </c>
      <c r="X5" s="381" t="s">
        <v>37</v>
      </c>
      <c r="Y5" s="381" t="s">
        <v>36</v>
      </c>
      <c r="Z5" s="381" t="s">
        <v>37</v>
      </c>
      <c r="AA5" s="381"/>
      <c r="AB5" s="381" t="s">
        <v>36</v>
      </c>
      <c r="AC5" s="381" t="s">
        <v>37</v>
      </c>
    </row>
    <row r="8" spans="1:29" x14ac:dyDescent="0.25">
      <c r="E8" s="386"/>
      <c r="F8" s="7"/>
      <c r="G8" s="386"/>
      <c r="H8" s="7"/>
      <c r="I8" s="386"/>
      <c r="J8" s="7"/>
      <c r="K8" s="386"/>
      <c r="L8" s="7"/>
      <c r="M8" s="386"/>
      <c r="N8" s="7"/>
      <c r="O8" s="5"/>
      <c r="P8" s="7"/>
      <c r="Q8" s="5"/>
      <c r="R8" s="7"/>
      <c r="S8" s="5"/>
      <c r="T8" s="7"/>
      <c r="U8" s="5"/>
      <c r="V8" s="7"/>
      <c r="W8" s="5"/>
      <c r="X8" s="7"/>
      <c r="Y8" s="5"/>
      <c r="Z8" s="7"/>
      <c r="AA8" s="7"/>
      <c r="AB8" s="386"/>
      <c r="AC8" s="7"/>
    </row>
    <row r="9" spans="1:29" x14ac:dyDescent="0.25">
      <c r="A9" s="11" t="s">
        <v>4</v>
      </c>
      <c r="E9" s="166">
        <f>+ProForma!S20</f>
        <v>4204024.4657908324</v>
      </c>
      <c r="F9" s="15">
        <f>+ProForma!T20</f>
        <v>0.99999999999999989</v>
      </c>
      <c r="G9" s="166">
        <f>+ProForma!U20</f>
        <v>4286871.7406229107</v>
      </c>
      <c r="H9" s="15">
        <f>+ProForma!V20</f>
        <v>1.0000000000000002</v>
      </c>
      <c r="I9" s="166">
        <f>+ProForma!W20</f>
        <v>4371367.7095098114</v>
      </c>
      <c r="J9" s="15">
        <f>+ProForma!X20</f>
        <v>1.0000000000000002</v>
      </c>
      <c r="K9" s="166">
        <f>+ProForma!Y20</f>
        <v>4457545.3458403433</v>
      </c>
      <c r="L9" s="15">
        <f>+ProForma!Z20</f>
        <v>1.0000000000000002</v>
      </c>
      <c r="M9" s="166">
        <f>+ProForma!AA20</f>
        <v>4500433.9446681309</v>
      </c>
      <c r="N9" s="15">
        <f>+ProForma!AB20</f>
        <v>1.0000000000000002</v>
      </c>
      <c r="O9" s="14" t="e">
        <f>SUM(#REF!)</f>
        <v>#REF!</v>
      </c>
      <c r="P9" s="15">
        <f>SUM(P8:P8)</f>
        <v>0</v>
      </c>
      <c r="Q9" s="14" t="e">
        <f>SUM(#REF!)</f>
        <v>#REF!</v>
      </c>
      <c r="R9" s="15">
        <f>SUM(R8:R8)</f>
        <v>0</v>
      </c>
      <c r="S9" s="14" t="e">
        <f>SUM(#REF!)</f>
        <v>#REF!</v>
      </c>
      <c r="T9" s="15">
        <f>SUM(T8:T8)</f>
        <v>0</v>
      </c>
      <c r="U9" s="14" t="e">
        <f>SUM(#REF!)</f>
        <v>#REF!</v>
      </c>
      <c r="V9" s="15">
        <f>SUM(V8:V8)</f>
        <v>0</v>
      </c>
      <c r="W9" s="14" t="e">
        <f>SUM(#REF!)</f>
        <v>#REF!</v>
      </c>
      <c r="X9" s="15">
        <f>SUM(X8:X8)</f>
        <v>0</v>
      </c>
      <c r="Y9" s="14" t="e">
        <f>SUM(#REF!)</f>
        <v>#REF!</v>
      </c>
      <c r="Z9" s="15">
        <f>SUM(Z8:Z8)</f>
        <v>0</v>
      </c>
      <c r="AA9" s="15"/>
      <c r="AB9" s="166" t="e">
        <f>SUM(#REF!)</f>
        <v>#REF!</v>
      </c>
      <c r="AC9" s="15">
        <f>SUM(AC8:AC8)</f>
        <v>0</v>
      </c>
    </row>
    <row r="10" spans="1:29" x14ac:dyDescent="0.25">
      <c r="E10" s="386"/>
      <c r="F10" s="7"/>
      <c r="G10" s="386"/>
      <c r="H10" s="7"/>
      <c r="I10" s="386"/>
      <c r="J10" s="7"/>
      <c r="K10" s="386"/>
      <c r="L10" s="7"/>
      <c r="M10" s="386"/>
      <c r="N10" s="7"/>
      <c r="O10" s="5"/>
      <c r="P10" s="7"/>
      <c r="Q10" s="5"/>
      <c r="R10" s="7"/>
      <c r="S10" s="5"/>
      <c r="T10" s="7"/>
      <c r="U10" s="5"/>
      <c r="V10" s="7"/>
      <c r="W10" s="5"/>
      <c r="X10" s="7"/>
      <c r="Y10" s="5"/>
      <c r="Z10" s="7"/>
      <c r="AA10" s="7"/>
      <c r="AB10" s="386"/>
      <c r="AC10" s="7"/>
    </row>
    <row r="11" spans="1:29" x14ac:dyDescent="0.25">
      <c r="A11" s="11" t="s">
        <v>9</v>
      </c>
      <c r="E11" s="386">
        <f>+ProForma!S28</f>
        <v>913615.74717034248</v>
      </c>
      <c r="F11" s="7">
        <f>+ProForma!T28</f>
        <v>0.21731932214111874</v>
      </c>
      <c r="G11" s="386">
        <f>+ProForma!U28</f>
        <v>931729.45128036349</v>
      </c>
      <c r="H11" s="7">
        <f>+ProForma!V28</f>
        <v>0.21734483970005061</v>
      </c>
      <c r="I11" s="386">
        <f>+ProForma!W28</f>
        <v>950204.74111891503</v>
      </c>
      <c r="J11" s="7">
        <f>+ProForma!X28</f>
        <v>0.21737012401216355</v>
      </c>
      <c r="K11" s="386">
        <f>+ProForma!Y28</f>
        <v>969048.85956189956</v>
      </c>
      <c r="L11" s="7">
        <f>+ProForma!Z28</f>
        <v>0.21739517702634004</v>
      </c>
      <c r="M11" s="386">
        <f>+ProForma!AA28</f>
        <v>978484.35130401282</v>
      </c>
      <c r="N11" s="7">
        <f>+ProForma!AB28</f>
        <v>0.21742000067866074</v>
      </c>
      <c r="O11" s="5" t="e">
        <f>SUM(#REF!)</f>
        <v>#REF!</v>
      </c>
      <c r="P11" s="7" t="e">
        <f>O11/O9</f>
        <v>#REF!</v>
      </c>
      <c r="Q11" s="5" t="e">
        <f>SUM(#REF!)</f>
        <v>#REF!</v>
      </c>
      <c r="R11" s="7" t="e">
        <f>Q11/Q9</f>
        <v>#REF!</v>
      </c>
      <c r="S11" s="5" t="e">
        <f>SUM(#REF!)</f>
        <v>#REF!</v>
      </c>
      <c r="T11" s="7" t="e">
        <f>S11/S9</f>
        <v>#REF!</v>
      </c>
      <c r="U11" s="5" t="e">
        <f>SUM(#REF!)</f>
        <v>#REF!</v>
      </c>
      <c r="V11" s="7" t="e">
        <f>U11/U9</f>
        <v>#REF!</v>
      </c>
      <c r="W11" s="5" t="e">
        <f>SUM(#REF!)</f>
        <v>#REF!</v>
      </c>
      <c r="X11" s="7" t="e">
        <f>W11/W9</f>
        <v>#REF!</v>
      </c>
      <c r="Y11" s="5" t="e">
        <f>SUM(#REF!)</f>
        <v>#REF!</v>
      </c>
      <c r="Z11" s="7" t="e">
        <f>Y11/Y9</f>
        <v>#REF!</v>
      </c>
      <c r="AA11" s="7"/>
      <c r="AB11" s="386" t="e">
        <f>SUM(#REF!)</f>
        <v>#REF!</v>
      </c>
      <c r="AC11" s="7" t="e">
        <f>AB11/AB9</f>
        <v>#REF!</v>
      </c>
    </row>
    <row r="12" spans="1:29" x14ac:dyDescent="0.25">
      <c r="E12" s="386"/>
      <c r="F12" s="7"/>
      <c r="G12" s="386"/>
      <c r="H12" s="7"/>
      <c r="I12" s="386"/>
      <c r="J12" s="7"/>
      <c r="K12" s="386"/>
      <c r="L12" s="7"/>
      <c r="M12" s="386"/>
      <c r="N12" s="7"/>
      <c r="O12" s="5"/>
      <c r="P12" s="7"/>
      <c r="Q12" s="5"/>
      <c r="R12" s="7"/>
      <c r="S12" s="5"/>
      <c r="T12" s="7"/>
      <c r="U12" s="5"/>
      <c r="V12" s="7"/>
      <c r="W12" s="5"/>
      <c r="X12" s="7"/>
      <c r="Y12" s="5"/>
      <c r="Z12" s="7"/>
      <c r="AA12" s="7"/>
      <c r="AB12" s="386"/>
      <c r="AC12" s="7"/>
    </row>
    <row r="13" spans="1:29" x14ac:dyDescent="0.25">
      <c r="A13" s="11" t="s">
        <v>10</v>
      </c>
      <c r="E13" s="386">
        <f>+ProForma!S30</f>
        <v>3290408.7186204898</v>
      </c>
      <c r="F13" s="7">
        <f>+ProForma!T30</f>
        <v>0.78268067785888118</v>
      </c>
      <c r="G13" s="386">
        <f>+ProForma!U30</f>
        <v>3355142.2893425473</v>
      </c>
      <c r="H13" s="7">
        <f>+ProForma!V30</f>
        <v>0.78265516029994964</v>
      </c>
      <c r="I13" s="386">
        <f>+ProForma!W30</f>
        <v>3421162.9683908965</v>
      </c>
      <c r="J13" s="7">
        <f>+ProForma!X30</f>
        <v>0.78262987598783673</v>
      </c>
      <c r="K13" s="386">
        <f>+ProForma!Y30</f>
        <v>3488496.4862784436</v>
      </c>
      <c r="L13" s="7">
        <f>+ProForma!Z30</f>
        <v>0.78260482297366019</v>
      </c>
      <c r="M13" s="386">
        <f>+ProForma!AA30</f>
        <v>3521949.5933641181</v>
      </c>
      <c r="N13" s="7">
        <f>+ProForma!AB30</f>
        <v>0.78257999932133948</v>
      </c>
      <c r="O13" s="5" t="e">
        <f t="shared" ref="O13:Z13" si="0">+O9-O11</f>
        <v>#REF!</v>
      </c>
      <c r="P13" s="7" t="e">
        <f t="shared" si="0"/>
        <v>#REF!</v>
      </c>
      <c r="Q13" s="5" t="e">
        <f t="shared" si="0"/>
        <v>#REF!</v>
      </c>
      <c r="R13" s="7" t="e">
        <f t="shared" si="0"/>
        <v>#REF!</v>
      </c>
      <c r="S13" s="5" t="e">
        <f t="shared" si="0"/>
        <v>#REF!</v>
      </c>
      <c r="T13" s="7" t="e">
        <f t="shared" si="0"/>
        <v>#REF!</v>
      </c>
      <c r="U13" s="5" t="e">
        <f t="shared" si="0"/>
        <v>#REF!</v>
      </c>
      <c r="V13" s="7" t="e">
        <f t="shared" si="0"/>
        <v>#REF!</v>
      </c>
      <c r="W13" s="5" t="e">
        <f t="shared" si="0"/>
        <v>#REF!</v>
      </c>
      <c r="X13" s="7" t="e">
        <f t="shared" si="0"/>
        <v>#REF!</v>
      </c>
      <c r="Y13" s="5" t="e">
        <f t="shared" si="0"/>
        <v>#REF!</v>
      </c>
      <c r="Z13" s="7" t="e">
        <f t="shared" si="0"/>
        <v>#REF!</v>
      </c>
      <c r="AA13" s="7"/>
      <c r="AB13" s="386" t="e">
        <f>+AB9-AB11</f>
        <v>#REF!</v>
      </c>
      <c r="AC13" s="7" t="e">
        <f>+AC9-AC11</f>
        <v>#REF!</v>
      </c>
    </row>
    <row r="14" spans="1:29" x14ac:dyDescent="0.25">
      <c r="E14" s="386"/>
      <c r="F14" s="7"/>
      <c r="G14" s="386"/>
      <c r="H14" s="7"/>
      <c r="I14" s="386"/>
      <c r="J14" s="7"/>
      <c r="K14" s="386"/>
      <c r="L14" s="7"/>
      <c r="M14" s="386"/>
      <c r="N14" s="7"/>
      <c r="O14" s="5"/>
      <c r="P14" s="7"/>
      <c r="Q14" s="5"/>
      <c r="R14" s="7"/>
      <c r="S14" s="5"/>
      <c r="T14" s="7"/>
      <c r="U14" s="5"/>
      <c r="V14" s="7"/>
      <c r="W14" s="5"/>
      <c r="X14" s="7"/>
      <c r="Y14" s="5"/>
      <c r="Z14" s="7"/>
      <c r="AA14" s="7"/>
      <c r="AB14" s="386"/>
      <c r="AC14" s="7"/>
    </row>
    <row r="15" spans="1:29" x14ac:dyDescent="0.25">
      <c r="A15" s="11" t="s">
        <v>17</v>
      </c>
      <c r="E15" s="386">
        <f>+ProForma!S41</f>
        <v>1220651.196834889</v>
      </c>
      <c r="F15" s="7">
        <f>+ProForma!T41</f>
        <v>0.29035301929558788</v>
      </c>
      <c r="G15" s="386">
        <f>+ProForma!U41</f>
        <v>1244936.5897347922</v>
      </c>
      <c r="H15" s="7">
        <f>+ProForma!V41</f>
        <v>0.2904067732975596</v>
      </c>
      <c r="I15" s="386">
        <f>+ProForma!W41</f>
        <v>1269707.6220704189</v>
      </c>
      <c r="J15" s="7">
        <f>+ProForma!X41</f>
        <v>0.29046003595355263</v>
      </c>
      <c r="K15" s="386">
        <f>+ProForma!Y41</f>
        <v>1294974.0302248118</v>
      </c>
      <c r="L15" s="7">
        <f>+ProForma!Z41</f>
        <v>0.29051281136898482</v>
      </c>
      <c r="M15" s="386">
        <f>+ProForma!AA41</f>
        <v>1307669.0554778366</v>
      </c>
      <c r="N15" s="7">
        <f>+ProForma!AB41</f>
        <v>0.29056510362230553</v>
      </c>
      <c r="O15" s="5" t="e">
        <f>SUM(#REF!)</f>
        <v>#REF!</v>
      </c>
      <c r="P15" s="7" t="e">
        <f>+O15/O$9</f>
        <v>#REF!</v>
      </c>
      <c r="Q15" s="5" t="e">
        <f>SUM(#REF!)</f>
        <v>#REF!</v>
      </c>
      <c r="R15" s="7" t="e">
        <f>+Q15/Q$9</f>
        <v>#REF!</v>
      </c>
      <c r="S15" s="5" t="e">
        <f>SUM(#REF!)</f>
        <v>#REF!</v>
      </c>
      <c r="T15" s="7" t="e">
        <f>+S15/S$9</f>
        <v>#REF!</v>
      </c>
      <c r="U15" s="5" t="e">
        <f>SUM(#REF!)</f>
        <v>#REF!</v>
      </c>
      <c r="V15" s="7" t="e">
        <f>+U15/U$9</f>
        <v>#REF!</v>
      </c>
      <c r="W15" s="5" t="e">
        <f>SUM(#REF!)</f>
        <v>#REF!</v>
      </c>
      <c r="X15" s="7" t="e">
        <f>+W15/W$9</f>
        <v>#REF!</v>
      </c>
      <c r="Y15" s="5" t="e">
        <f>SUM(#REF!)</f>
        <v>#REF!</v>
      </c>
      <c r="Z15" s="7" t="e">
        <f>+Y15/Y$9</f>
        <v>#REF!</v>
      </c>
      <c r="AA15" s="7"/>
      <c r="AB15" s="386" t="e">
        <f>SUM(#REF!)</f>
        <v>#REF!</v>
      </c>
      <c r="AC15" s="7" t="e">
        <f>+AB15/AB$9</f>
        <v>#REF!</v>
      </c>
    </row>
    <row r="16" spans="1:29" x14ac:dyDescent="0.25">
      <c r="E16" s="386"/>
      <c r="F16" s="7"/>
      <c r="G16" s="386"/>
      <c r="H16" s="7"/>
      <c r="I16" s="386"/>
      <c r="J16" s="7"/>
      <c r="K16" s="386"/>
      <c r="L16" s="7"/>
      <c r="M16" s="386"/>
      <c r="N16" s="7"/>
      <c r="O16" s="5"/>
      <c r="P16" s="7"/>
      <c r="Q16" s="5"/>
      <c r="R16" s="7"/>
      <c r="S16" s="5"/>
      <c r="T16" s="7"/>
      <c r="U16" s="5"/>
      <c r="V16" s="7"/>
      <c r="W16" s="5"/>
      <c r="X16" s="7"/>
      <c r="Y16" s="5"/>
      <c r="Z16" s="7"/>
      <c r="AA16" s="7"/>
      <c r="AB16" s="386"/>
      <c r="AC16" s="7"/>
    </row>
    <row r="17" spans="1:29" x14ac:dyDescent="0.25">
      <c r="A17" s="11" t="s">
        <v>21</v>
      </c>
      <c r="E17" s="386">
        <f>+ProForma!S43</f>
        <v>2069757.5217856008</v>
      </c>
      <c r="F17" s="7">
        <f>+ProForma!T43</f>
        <v>0.49232765856329336</v>
      </c>
      <c r="G17" s="386">
        <f>+ProForma!U43</f>
        <v>2110205.6996077551</v>
      </c>
      <c r="H17" s="7">
        <f>+ProForma!V43</f>
        <v>0.49224838700238982</v>
      </c>
      <c r="I17" s="386">
        <f>+ProForma!W43</f>
        <v>2151455.3463204773</v>
      </c>
      <c r="J17" s="7">
        <f>+ProForma!X43</f>
        <v>0.49216984003428377</v>
      </c>
      <c r="K17" s="386">
        <f>+ProForma!Y43</f>
        <v>2193522.4560536318</v>
      </c>
      <c r="L17" s="7">
        <f>+ProForma!Z43</f>
        <v>0.49209201160467514</v>
      </c>
      <c r="M17" s="386">
        <f>+ProForma!AA43</f>
        <v>2214280.5378862815</v>
      </c>
      <c r="N17" s="7">
        <f>+ProForma!AB43</f>
        <v>0.49201489569903373</v>
      </c>
      <c r="O17" s="5" t="e">
        <f>+O13-O15</f>
        <v>#REF!</v>
      </c>
      <c r="P17" s="7" t="e">
        <f>+O17/O$9</f>
        <v>#REF!</v>
      </c>
      <c r="Q17" s="5" t="e">
        <f>+Q13-Q15</f>
        <v>#REF!</v>
      </c>
      <c r="R17" s="7" t="e">
        <f>+Q17/Q$9</f>
        <v>#REF!</v>
      </c>
      <c r="S17" s="5" t="e">
        <f>+S13-S15</f>
        <v>#REF!</v>
      </c>
      <c r="T17" s="7" t="e">
        <f>+S17/S$9</f>
        <v>#REF!</v>
      </c>
      <c r="U17" s="5" t="e">
        <f>+U13-U15</f>
        <v>#REF!</v>
      </c>
      <c r="V17" s="7" t="e">
        <f>+U17/U$9</f>
        <v>#REF!</v>
      </c>
      <c r="W17" s="5" t="e">
        <f>+W13-W15</f>
        <v>#REF!</v>
      </c>
      <c r="X17" s="7" t="e">
        <f>+W17/W$9</f>
        <v>#REF!</v>
      </c>
      <c r="Y17" s="5" t="e">
        <f>+Y13-Y15</f>
        <v>#REF!</v>
      </c>
      <c r="Z17" s="7" t="e">
        <f>+Y17/Y$9</f>
        <v>#REF!</v>
      </c>
      <c r="AA17" s="7"/>
      <c r="AB17" s="386" t="e">
        <f>+AB13-AB15</f>
        <v>#REF!</v>
      </c>
      <c r="AC17" s="7" t="e">
        <f>+AB17/AB$9</f>
        <v>#REF!</v>
      </c>
    </row>
    <row r="18" spans="1:29" x14ac:dyDescent="0.25">
      <c r="E18" s="386"/>
      <c r="F18" s="7"/>
      <c r="G18" s="386"/>
      <c r="H18" s="7"/>
      <c r="I18" s="386"/>
      <c r="J18" s="7"/>
      <c r="K18" s="386"/>
      <c r="L18" s="7"/>
      <c r="M18" s="386"/>
      <c r="N18" s="7"/>
      <c r="O18" s="5"/>
      <c r="P18" s="7"/>
      <c r="Q18" s="5"/>
      <c r="R18" s="7"/>
      <c r="S18" s="5"/>
      <c r="T18" s="7"/>
      <c r="U18" s="5"/>
      <c r="V18" s="7"/>
      <c r="W18" s="5"/>
      <c r="X18" s="7"/>
      <c r="Y18" s="5"/>
      <c r="Z18" s="7"/>
      <c r="AA18" s="7"/>
      <c r="AB18" s="386"/>
      <c r="AC18" s="7"/>
    </row>
    <row r="19" spans="1:29" x14ac:dyDescent="0.25">
      <c r="A19" s="11" t="s">
        <v>27</v>
      </c>
      <c r="E19" s="386">
        <f>+ProForma!S69</f>
        <v>299984.8297316333</v>
      </c>
      <c r="F19" s="7">
        <f>+ProForma!T69</f>
        <v>7.1356585141852211E-2</v>
      </c>
      <c r="G19" s="386">
        <f>+ProForma!U69</f>
        <v>307563.51977391646</v>
      </c>
      <c r="H19" s="7">
        <f>+ProForma!V69</f>
        <v>7.1745444786557908E-2</v>
      </c>
      <c r="I19" s="386">
        <f>+ProForma!W69</f>
        <v>315346.95447292243</v>
      </c>
      <c r="J19" s="7">
        <f>+ProForma!X69</f>
        <v>7.2139196569277905E-2</v>
      </c>
      <c r="K19" s="386">
        <f>+ProForma!Y69</f>
        <v>323340.99652334669</v>
      </c>
      <c r="L19" s="7">
        <f>+ProForma!Z69</f>
        <v>7.2537904033905004E-2</v>
      </c>
      <c r="M19" s="386">
        <f>+ProForma!AA69</f>
        <v>329751.51109408226</v>
      </c>
      <c r="N19" s="7">
        <f>+ProForma!AB69</f>
        <v>7.3271047891893606E-2</v>
      </c>
      <c r="O19" s="5" t="e">
        <f>SUM(#REF!)</f>
        <v>#REF!</v>
      </c>
      <c r="P19" s="7" t="e">
        <f>+O19/O$9</f>
        <v>#REF!</v>
      </c>
      <c r="Q19" s="5" t="e">
        <f>SUM(#REF!)</f>
        <v>#REF!</v>
      </c>
      <c r="R19" s="7" t="e">
        <f>+Q19/Q$9</f>
        <v>#REF!</v>
      </c>
      <c r="S19" s="5" t="e">
        <f>SUM(#REF!)</f>
        <v>#REF!</v>
      </c>
      <c r="T19" s="7" t="e">
        <f>+S19/S$9</f>
        <v>#REF!</v>
      </c>
      <c r="U19" s="5" t="e">
        <f>SUM(#REF!)</f>
        <v>#REF!</v>
      </c>
      <c r="V19" s="7" t="e">
        <f>+U19/U$9</f>
        <v>#REF!</v>
      </c>
      <c r="W19" s="5" t="e">
        <f>SUM(#REF!)</f>
        <v>#REF!</v>
      </c>
      <c r="X19" s="7" t="e">
        <f>+W19/W$9</f>
        <v>#REF!</v>
      </c>
      <c r="Y19" s="5" t="e">
        <f>SUM(#REF!)</f>
        <v>#REF!</v>
      </c>
      <c r="Z19" s="7" t="e">
        <f>+Y19/Y$9</f>
        <v>#REF!</v>
      </c>
      <c r="AA19" s="7"/>
      <c r="AB19" s="386" t="e">
        <f>SUM(#REF!)</f>
        <v>#REF!</v>
      </c>
      <c r="AC19" s="7" t="e">
        <f>+AB19/AB$9</f>
        <v>#REF!</v>
      </c>
    </row>
    <row r="20" spans="1:29" x14ac:dyDescent="0.25">
      <c r="E20" s="386"/>
      <c r="F20" s="7"/>
      <c r="G20" s="386"/>
      <c r="H20" s="7"/>
      <c r="I20" s="386"/>
      <c r="J20" s="7"/>
      <c r="K20" s="386"/>
      <c r="L20" s="7"/>
      <c r="M20" s="386"/>
      <c r="N20" s="7"/>
      <c r="O20" s="5"/>
      <c r="P20" s="7"/>
      <c r="Q20" s="5"/>
      <c r="R20" s="7"/>
      <c r="S20" s="5"/>
      <c r="T20" s="7"/>
      <c r="U20" s="5"/>
      <c r="V20" s="7"/>
      <c r="W20" s="5"/>
      <c r="X20" s="7"/>
      <c r="Y20" s="5"/>
      <c r="Z20" s="7"/>
      <c r="AA20" s="7"/>
      <c r="AB20" s="5"/>
      <c r="AC20" s="7"/>
    </row>
    <row r="21" spans="1:29" ht="15.75" thickBot="1" x14ac:dyDescent="0.3">
      <c r="A21" s="11" t="s">
        <v>497</v>
      </c>
      <c r="E21" s="236">
        <f>+ProForma!S71</f>
        <v>1769772.6920539676</v>
      </c>
      <c r="F21" s="16">
        <f>+ProForma!T71</f>
        <v>0.42097107342144119</v>
      </c>
      <c r="G21" s="236">
        <f>+ProForma!U71</f>
        <v>1802642.1798338387</v>
      </c>
      <c r="H21" s="16">
        <f>+ProForma!V71</f>
        <v>0.42050294221583195</v>
      </c>
      <c r="I21" s="236">
        <f>+ProForma!W71</f>
        <v>1836108.3918475548</v>
      </c>
      <c r="J21" s="16">
        <f>+ProForma!X71</f>
        <v>0.42003064346500585</v>
      </c>
      <c r="K21" s="236">
        <f>+ProForma!Y71</f>
        <v>1870181.4595302851</v>
      </c>
      <c r="L21" s="16">
        <f>+ProForma!Z71</f>
        <v>0.41955410757077011</v>
      </c>
      <c r="M21" s="236">
        <f>+ProForma!AA71</f>
        <v>1884529.0267921994</v>
      </c>
      <c r="N21" s="16">
        <f>+ProForma!AB71</f>
        <v>0.41874384780714019</v>
      </c>
      <c r="O21" s="9" t="e">
        <f>+#REF!-O19</f>
        <v>#REF!</v>
      </c>
      <c r="P21" s="16" t="e">
        <f>+O21/O$9</f>
        <v>#REF!</v>
      </c>
      <c r="Q21" s="9" t="e">
        <f>+#REF!-Q19</f>
        <v>#REF!</v>
      </c>
      <c r="R21" s="16" t="e">
        <f>+Q21/Q$9</f>
        <v>#REF!</v>
      </c>
      <c r="S21" s="9" t="e">
        <f>+#REF!-S19</f>
        <v>#REF!</v>
      </c>
      <c r="T21" s="16" t="e">
        <f>+S21/S$9</f>
        <v>#REF!</v>
      </c>
      <c r="U21" s="9" t="e">
        <f>+#REF!-U19</f>
        <v>#REF!</v>
      </c>
      <c r="V21" s="16" t="e">
        <f>+U21/U$9</f>
        <v>#REF!</v>
      </c>
      <c r="W21" s="9" t="e">
        <f>+#REF!-W19</f>
        <v>#REF!</v>
      </c>
      <c r="X21" s="16" t="e">
        <f>+W21/W$9</f>
        <v>#REF!</v>
      </c>
      <c r="Y21" s="9" t="e">
        <f>+#REF!-Y19</f>
        <v>#REF!</v>
      </c>
      <c r="Z21" s="16" t="e">
        <f>+Y21/Y$9</f>
        <v>#REF!</v>
      </c>
      <c r="AA21" s="16"/>
      <c r="AB21" s="9" t="e">
        <f>+#REF!-AB19</f>
        <v>#REF!</v>
      </c>
      <c r="AC21" s="16" t="e">
        <f>+AB21/AB$9</f>
        <v>#REF!</v>
      </c>
    </row>
    <row r="22" spans="1:29" s="18" customFormat="1" ht="12" thickTop="1" x14ac:dyDescent="0.2">
      <c r="A22" s="17"/>
      <c r="P22" s="18">
        <v>6</v>
      </c>
      <c r="R22" s="18">
        <v>7</v>
      </c>
      <c r="T22" s="18">
        <v>8</v>
      </c>
      <c r="V22" s="18">
        <v>9</v>
      </c>
      <c r="X22" s="18">
        <v>10</v>
      </c>
      <c r="Z22" s="18">
        <v>11</v>
      </c>
      <c r="AC22" s="18">
        <v>3</v>
      </c>
    </row>
    <row r="23" spans="1:29" x14ac:dyDescent="0.25">
      <c r="A23" s="11" t="s">
        <v>239</v>
      </c>
      <c r="D23" s="386"/>
      <c r="E23" s="1115">
        <f>+ProForma!S73</f>
        <v>604911.89375000005</v>
      </c>
      <c r="F23" s="1115"/>
      <c r="G23" s="1115">
        <f>+ProForma!U73</f>
        <v>595689.19764226431</v>
      </c>
      <c r="H23" s="1115"/>
      <c r="I23" s="1115">
        <f>+ProForma!W73</f>
        <v>586012.28375122254</v>
      </c>
      <c r="J23" s="1115"/>
      <c r="K23" s="1115">
        <f>+ProForma!Y73</f>
        <v>575858.78185104707</v>
      </c>
      <c r="L23" s="1115"/>
      <c r="M23" s="1115">
        <f>+ProForma!AA73</f>
        <v>565205.21998228785</v>
      </c>
      <c r="N23" s="1115"/>
      <c r="O23" s="1120">
        <f>IPMT(Pricing!$E37,P22,Pricing!$E38,-Pricing!$E35)</f>
        <v>554026.97019149212</v>
      </c>
      <c r="P23" s="1120"/>
      <c r="Q23" s="1120">
        <f>IPMT(Pricing!$E37,R22,Pricing!$E38,-Pricing!$E35)</f>
        <v>542298.19159850001</v>
      </c>
      <c r="R23" s="1120"/>
      <c r="S23" s="1120">
        <f>IPMT(Pricing!$E37,T22,Pricing!$E38,-Pricing!$E35)</f>
        <v>529991.77065980271</v>
      </c>
      <c r="T23" s="1120"/>
      <c r="U23" s="1120">
        <f>IPMT(Pricing!$E37,V22,Pricing!$E38,-Pricing!$E35)</f>
        <v>517079.25848987477</v>
      </c>
      <c r="V23" s="1120"/>
      <c r="W23" s="1120">
        <f>IPMT(Pricing!$E37,X22,Pricing!$E38,-Pricing!$E35)</f>
        <v>503530.8050955779</v>
      </c>
      <c r="X23" s="1120"/>
      <c r="Y23" s="1120">
        <f>IPMT(Pricing!$E37,Z22,Pricing!$E38,-Pricing!$E35)</f>
        <v>489315.09037161188</v>
      </c>
      <c r="Z23" s="1120"/>
      <c r="AA23" s="382"/>
      <c r="AB23" s="1120">
        <f>IPMT(Pricing!$E37,AC22,Pricing!$E38,-Pricing!$E35)</f>
        <v>586012.28375122254</v>
      </c>
      <c r="AC23" s="1120"/>
    </row>
    <row r="24" spans="1:29" x14ac:dyDescent="0.25">
      <c r="A24" s="11" t="s">
        <v>488</v>
      </c>
      <c r="C24" s="399">
        <v>7.4999999999999997E-3</v>
      </c>
      <c r="D24" s="386"/>
      <c r="E24" s="1115">
        <f>+$C24*(Pricing!$E$15+'PIP &amp; Source &amp; Use'!$F$13+'PIP &amp; Source &amp; Use'!$F$29)</f>
        <v>137812.5</v>
      </c>
      <c r="F24" s="1115"/>
      <c r="G24" s="1115">
        <f>+$C24*(Pricing!$E$15+'PIP &amp; Source &amp; Use'!$F$13+'PIP &amp; Source &amp; Use'!$F$29)</f>
        <v>137812.5</v>
      </c>
      <c r="H24" s="1115"/>
      <c r="I24" s="1115">
        <f>+$C24*(Pricing!$E$15+'PIP &amp; Source &amp; Use'!$F$13+'PIP &amp; Source &amp; Use'!$F$29)</f>
        <v>137812.5</v>
      </c>
      <c r="J24" s="1115"/>
      <c r="K24" s="1115">
        <f>+$C24*(Pricing!$E$15+'PIP &amp; Source &amp; Use'!$F$13+'PIP &amp; Source &amp; Use'!$F$29)</f>
        <v>137812.5</v>
      </c>
      <c r="L24" s="1115"/>
      <c r="M24" s="1115">
        <f>+$C24*(Pricing!$E$15+'PIP &amp; Source &amp; Use'!$F$13+'PIP &amp; Source &amp; Use'!$F$29)</f>
        <v>137812.5</v>
      </c>
      <c r="N24" s="1115"/>
      <c r="O24" s="1120">
        <f>IPMT(Pricing!$G37,P22,Pricing!$G38,-Pricing!$G35)</f>
        <v>0</v>
      </c>
      <c r="P24" s="1120"/>
      <c r="Q24" s="1120">
        <f>IPMT(Pricing!$G37,R22,Pricing!$G38,-Pricing!$G35)</f>
        <v>0</v>
      </c>
      <c r="R24" s="1120"/>
      <c r="S24" s="1120">
        <f>IPMT(Pricing!$G37,T22,Pricing!$G38,-Pricing!$G35)</f>
        <v>0</v>
      </c>
      <c r="T24" s="1120"/>
      <c r="U24" s="1120">
        <f>IPMT(Pricing!$G37,V22,Pricing!$G38,-Pricing!$G35)</f>
        <v>0</v>
      </c>
      <c r="V24" s="1120"/>
      <c r="W24" s="1120">
        <f>IPMT(Pricing!$G37,X22,Pricing!$G38,-Pricing!$G35)</f>
        <v>0</v>
      </c>
      <c r="X24" s="1120"/>
      <c r="Y24" s="1120">
        <f>IPMT(Pricing!$G37,Z22,Pricing!$G38,-Pricing!$G35)</f>
        <v>0</v>
      </c>
      <c r="Z24" s="1120"/>
      <c r="AA24" s="382"/>
      <c r="AB24" s="1120">
        <f>IPMT(Pricing!$G37,AC22,Pricing!$G38,-Pricing!$G35)</f>
        <v>0</v>
      </c>
      <c r="AC24" s="1120"/>
    </row>
    <row r="25" spans="1:29" x14ac:dyDescent="0.25">
      <c r="A25" s="11" t="s">
        <v>489</v>
      </c>
      <c r="C25" s="399">
        <v>1.6999999999999999E-3</v>
      </c>
      <c r="D25" s="386"/>
      <c r="E25" s="1115">
        <f>+$C25*(Pricing!$E$15+'PIP &amp; Source &amp; Use'!$F$13+'PIP &amp; Source &amp; Use'!$F$29)</f>
        <v>31237.5</v>
      </c>
      <c r="F25" s="1115"/>
      <c r="G25" s="1115">
        <f>+$C25*(Pricing!$E$15+'PIP &amp; Source &amp; Use'!$F$13+'PIP &amp; Source &amp; Use'!$F$29)</f>
        <v>31237.5</v>
      </c>
      <c r="H25" s="1115"/>
      <c r="I25" s="1115">
        <f>+$C25*(Pricing!$E$15+'PIP &amp; Source &amp; Use'!$F$13+'PIP &amp; Source &amp; Use'!$F$29)</f>
        <v>31237.5</v>
      </c>
      <c r="J25" s="1115"/>
      <c r="K25" s="1115">
        <f>+$C25*(Pricing!$E$15+'PIP &amp; Source &amp; Use'!$F$13+'PIP &amp; Source &amp; Use'!$F$29)</f>
        <v>31237.5</v>
      </c>
      <c r="L25" s="1115"/>
      <c r="M25" s="1115">
        <f>+$C25*(Pricing!$E$15+'PIP &amp; Source &amp; Use'!$F$13+'PIP &amp; Source &amp; Use'!$F$29)</f>
        <v>31237.5</v>
      </c>
      <c r="N25" s="1115"/>
      <c r="O25" s="1120" t="e">
        <f>IF(#REF!="NO",Pricing!$E42*Pricing!$I37,0)</f>
        <v>#REF!</v>
      </c>
      <c r="P25" s="1120"/>
      <c r="Q25" s="1120" t="e">
        <f>IF(#REF!="NO",Pricing!$E42*Pricing!$I37,0)</f>
        <v>#REF!</v>
      </c>
      <c r="R25" s="1120"/>
      <c r="S25" s="1120" t="e">
        <f>IF(#REF!="NO",Pricing!$E42*Pricing!$I37,0)</f>
        <v>#REF!</v>
      </c>
      <c r="T25" s="1120"/>
      <c r="U25" s="1120" t="e">
        <f>IF(#REF!="NO",Pricing!$E42*Pricing!$I37,0)</f>
        <v>#REF!</v>
      </c>
      <c r="V25" s="1120"/>
      <c r="W25" s="1120" t="e">
        <f>IF(#REF!="NO",Pricing!$E42*Pricing!$I37,0)</f>
        <v>#REF!</v>
      </c>
      <c r="X25" s="1120"/>
      <c r="Y25" s="1120" t="e">
        <f>IF(#REF!="NO",Pricing!$E42*Pricing!$I37,0)</f>
        <v>#REF!</v>
      </c>
      <c r="Z25" s="1120"/>
      <c r="AA25" s="382"/>
      <c r="AB25" s="1120" t="e">
        <f>IF(#REF!="NO",Pricing!$E42*Pricing!$I37,0)</f>
        <v>#REF!</v>
      </c>
      <c r="AC25" s="1120"/>
    </row>
    <row r="26" spans="1:29" x14ac:dyDescent="0.25">
      <c r="A26" s="11" t="s">
        <v>269</v>
      </c>
      <c r="C26" s="399">
        <f>+Pricing!E44</f>
        <v>0</v>
      </c>
      <c r="D26" s="386"/>
      <c r="E26" s="1115">
        <f>+Pricing!$E35*'DCR Analysis'!$C26</f>
        <v>0</v>
      </c>
      <c r="F26" s="1115"/>
      <c r="G26" s="1115">
        <f>+Pricing!$E35*'DCR Analysis'!$C26</f>
        <v>0</v>
      </c>
      <c r="H26" s="1115"/>
      <c r="I26" s="1115">
        <f>+Pricing!$E35*'DCR Analysis'!$C26</f>
        <v>0</v>
      </c>
      <c r="J26" s="1115"/>
      <c r="K26" s="1115">
        <f>+Pricing!$E35*'DCR Analysis'!$C26</f>
        <v>0</v>
      </c>
      <c r="L26" s="1115"/>
      <c r="M26" s="1115">
        <f>+Pricing!$E35*'DCR Analysis'!$C26</f>
        <v>0</v>
      </c>
      <c r="N26" s="1115"/>
      <c r="O26" s="1120">
        <f>Pricing!$E35*Pricing!$E44</f>
        <v>0</v>
      </c>
      <c r="P26" s="1120"/>
      <c r="Q26" s="1120">
        <f>Pricing!$E35*Pricing!$E44</f>
        <v>0</v>
      </c>
      <c r="R26" s="1120"/>
      <c r="S26" s="1120">
        <f>Pricing!$E35*Pricing!$E44</f>
        <v>0</v>
      </c>
      <c r="T26" s="1120"/>
      <c r="U26" s="1120">
        <f>Pricing!$E35*Pricing!$E44</f>
        <v>0</v>
      </c>
      <c r="V26" s="1120"/>
      <c r="W26" s="1120">
        <f>Pricing!$E35*Pricing!$E44</f>
        <v>0</v>
      </c>
      <c r="X26" s="1120"/>
      <c r="Y26" s="1120">
        <f>Pricing!$E35*Pricing!$E44</f>
        <v>0</v>
      </c>
      <c r="Z26" s="1120"/>
      <c r="AA26" s="382"/>
      <c r="AB26" s="1120">
        <f>Pricing!$E35*Pricing!$E44</f>
        <v>0</v>
      </c>
      <c r="AC26" s="1120"/>
    </row>
    <row r="27" spans="1:29" x14ac:dyDescent="0.25">
      <c r="D27" s="386"/>
      <c r="E27" s="386"/>
      <c r="F27" s="386"/>
      <c r="G27" s="386"/>
      <c r="H27" s="386"/>
      <c r="I27" s="386"/>
      <c r="J27" s="386"/>
      <c r="K27" s="386"/>
      <c r="L27" s="386"/>
      <c r="M27" s="386"/>
      <c r="N27" s="386"/>
    </row>
    <row r="28" spans="1:29" ht="15.75" thickBot="1" x14ac:dyDescent="0.3">
      <c r="A28" s="392" t="s">
        <v>491</v>
      </c>
      <c r="B28" s="393"/>
      <c r="C28" s="393"/>
      <c r="D28" s="394"/>
      <c r="E28" s="1278">
        <f>+E21-SUM(E23:F26)</f>
        <v>995810.79830396757</v>
      </c>
      <c r="F28" s="1278"/>
      <c r="G28" s="1278">
        <f>+G21-SUM(G23:H26)</f>
        <v>1037902.9821915744</v>
      </c>
      <c r="H28" s="1278"/>
      <c r="I28" s="1278">
        <f>+I21-SUM(I23:J26)</f>
        <v>1081046.1080963323</v>
      </c>
      <c r="J28" s="1278"/>
      <c r="K28" s="1278">
        <f>+K21-SUM(K23:L26)</f>
        <v>1125272.6776792379</v>
      </c>
      <c r="L28" s="1278"/>
      <c r="M28" s="1278">
        <f>+M21-SUM(M23:N26)</f>
        <v>1150273.8068099115</v>
      </c>
      <c r="N28" s="1278"/>
      <c r="O28" s="1116" t="e">
        <f>+O21-O23-O24-O25-O26</f>
        <v>#REF!</v>
      </c>
      <c r="P28" s="1116"/>
      <c r="Q28" s="1116" t="e">
        <f>+Q21-Q23-Q24-Q25-Q26</f>
        <v>#REF!</v>
      </c>
      <c r="R28" s="1116"/>
      <c r="S28" s="1116" t="e">
        <f>+S21-S23-S24-S25-S26</f>
        <v>#REF!</v>
      </c>
      <c r="T28" s="1116"/>
      <c r="U28" s="1116" t="e">
        <f>+U21-U23-U24-U25-U26</f>
        <v>#REF!</v>
      </c>
      <c r="V28" s="1116"/>
      <c r="W28" s="1116" t="e">
        <f>+W21-W23-W24-W25-W26</f>
        <v>#REF!</v>
      </c>
      <c r="X28" s="1116"/>
      <c r="Y28" s="1116" t="e">
        <f>+Y21-Y23-Y24-Y25-Y26</f>
        <v>#REF!</v>
      </c>
      <c r="Z28" s="1116"/>
      <c r="AA28" s="384"/>
      <c r="AB28" s="1116" t="e">
        <f>+AB21-AB23-AB24-AB25-AB26</f>
        <v>#REF!</v>
      </c>
      <c r="AC28" s="1116"/>
    </row>
    <row r="29" spans="1:29" x14ac:dyDescent="0.25">
      <c r="D29" s="385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7"/>
      <c r="W29" s="387"/>
      <c r="X29" s="387"/>
      <c r="Y29" s="387"/>
      <c r="Z29" s="387"/>
      <c r="AA29" s="387"/>
      <c r="AB29" s="387"/>
      <c r="AC29" s="387"/>
    </row>
    <row r="30" spans="1:29" ht="15.75" thickBot="1" x14ac:dyDescent="0.3">
      <c r="A30" s="392" t="s">
        <v>490</v>
      </c>
      <c r="B30" s="393"/>
      <c r="C30" s="393"/>
      <c r="D30" s="394"/>
      <c r="E30" s="1281">
        <f>+E28/(Pricing!$D51*0.07)</f>
        <v>2.0321725844442273</v>
      </c>
      <c r="F30" s="1281"/>
      <c r="G30" s="1281">
        <f>+G28/(Pricing!$D51*0.07)</f>
        <v>2.1180710124000859</v>
      </c>
      <c r="H30" s="1281"/>
      <c r="I30" s="1281">
        <f>+I28/(Pricing!$D51*0.07)</f>
        <v>2.206114120408353</v>
      </c>
      <c r="J30" s="1281"/>
      <c r="K30" s="1281">
        <f>+K28/(Pricing!$D51*0.07)</f>
        <v>2.2963682353099681</v>
      </c>
      <c r="L30" s="1281"/>
      <c r="M30" s="1281">
        <f>+M28/(Pricing!$D51*0.07)</f>
        <v>2.3473885790198747</v>
      </c>
      <c r="N30" s="1281"/>
      <c r="O30" s="387"/>
      <c r="P30" s="387"/>
      <c r="Q30" s="387"/>
      <c r="R30" s="387"/>
      <c r="S30" s="387"/>
      <c r="T30" s="387"/>
      <c r="U30" s="387"/>
      <c r="V30" s="387"/>
      <c r="W30" s="387"/>
      <c r="X30" s="387"/>
      <c r="Y30" s="387"/>
      <c r="Z30" s="387"/>
      <c r="AA30" s="387"/>
      <c r="AB30" s="387"/>
      <c r="AC30" s="387"/>
    </row>
    <row r="31" spans="1:29" x14ac:dyDescent="0.25">
      <c r="D31" s="386"/>
      <c r="E31" s="1280"/>
      <c r="F31" s="1280"/>
      <c r="G31" s="1280"/>
      <c r="H31" s="1280"/>
      <c r="I31" s="1280"/>
      <c r="J31" s="1280"/>
      <c r="K31" s="1280"/>
      <c r="L31" s="1280"/>
      <c r="M31" s="1280"/>
      <c r="N31" s="1280"/>
    </row>
    <row r="32" spans="1:29" x14ac:dyDescent="0.25">
      <c r="A32" s="11" t="s">
        <v>242</v>
      </c>
      <c r="D32" s="386"/>
      <c r="E32" s="1282">
        <f>+ProForma!S80</f>
        <v>93631.432565845302</v>
      </c>
      <c r="F32" s="1282"/>
      <c r="G32" s="1282">
        <f>+ProForma!U80</f>
        <v>196485.56123942634</v>
      </c>
      <c r="H32" s="1282"/>
      <c r="I32" s="1282">
        <f>+ProForma!W80</f>
        <v>206162.47513046814</v>
      </c>
      <c r="J32" s="1282"/>
      <c r="K32" s="1282">
        <f>+ProForma!Y80</f>
        <v>216315.97703064364</v>
      </c>
      <c r="L32" s="1282"/>
      <c r="M32" s="1282">
        <f>+ProForma!AA80</f>
        <v>226969.53889940283</v>
      </c>
      <c r="N32" s="1282"/>
      <c r="O32" s="1120">
        <f>PPMT(Pricing!$E37,P22,Pricing!$E38,-Pricing!$E35)</f>
        <v>238147.78869019842</v>
      </c>
      <c r="P32" s="1120"/>
      <c r="Q32" s="1120">
        <f>PPMT(Pricing!$E37,R22,Pricing!$E38,-Pricing!$E35)</f>
        <v>249876.56728319073</v>
      </c>
      <c r="R32" s="1120"/>
      <c r="S32" s="1120">
        <f>PPMT(Pricing!$E37,T22,Pricing!$E38,-Pricing!$E35)</f>
        <v>262182.98822188785</v>
      </c>
      <c r="T32" s="1120"/>
      <c r="U32" s="1120">
        <f>PPMT(Pricing!$E37,V22,Pricing!$E38,-Pricing!$E35)</f>
        <v>275095.50039181591</v>
      </c>
      <c r="V32" s="1120"/>
      <c r="W32" s="1120">
        <f>PPMT(Pricing!$E37,X22,Pricing!$E38,-Pricing!$E35)</f>
        <v>288643.95378611278</v>
      </c>
      <c r="X32" s="1120"/>
      <c r="Y32" s="1120">
        <f>PPMT(Pricing!$E37,Z22,Pricing!$E38,-Pricing!$E35)</f>
        <v>302859.66851007892</v>
      </c>
      <c r="Z32" s="1120"/>
      <c r="AA32" s="382"/>
      <c r="AB32" s="1120">
        <f>PPMT(Pricing!$E37,AC22,Pricing!$E38,-Pricing!$E35)</f>
        <v>206162.47513046814</v>
      </c>
      <c r="AC32" s="1120"/>
    </row>
    <row r="33" spans="1:29" s="427" customFormat="1" x14ac:dyDescent="0.25">
      <c r="A33" s="11"/>
      <c r="D33" s="409"/>
      <c r="E33" s="457"/>
      <c r="F33" s="457"/>
      <c r="G33" s="457"/>
      <c r="H33" s="457"/>
      <c r="I33" s="457"/>
      <c r="J33" s="457"/>
      <c r="K33" s="457"/>
      <c r="L33" s="457"/>
      <c r="M33" s="457"/>
      <c r="N33" s="457"/>
      <c r="O33" s="455"/>
      <c r="P33" s="455"/>
      <c r="Q33" s="455"/>
      <c r="R33" s="455"/>
      <c r="S33" s="455"/>
      <c r="T33" s="455"/>
      <c r="U33" s="455"/>
      <c r="V33" s="455"/>
      <c r="W33" s="455"/>
      <c r="X33" s="455"/>
      <c r="Y33" s="455"/>
      <c r="Z33" s="455"/>
      <c r="AA33" s="455"/>
      <c r="AB33" s="455"/>
      <c r="AC33" s="455"/>
    </row>
    <row r="34" spans="1:29" ht="15.75" thickBot="1" x14ac:dyDescent="0.3">
      <c r="A34" s="390" t="s">
        <v>496</v>
      </c>
      <c r="B34" s="391"/>
      <c r="C34" s="391"/>
      <c r="D34" s="395"/>
      <c r="E34" s="1279">
        <f>+E28-E32</f>
        <v>902179.36573812226</v>
      </c>
      <c r="F34" s="1279"/>
      <c r="G34" s="1279">
        <f>+G28-G32</f>
        <v>841417.42095214804</v>
      </c>
      <c r="H34" s="1279"/>
      <c r="I34" s="1279">
        <f>+I28-I32</f>
        <v>874883.63296586415</v>
      </c>
      <c r="J34" s="1279"/>
      <c r="K34" s="1279">
        <f>+K28-K32</f>
        <v>908956.7006485943</v>
      </c>
      <c r="L34" s="1279"/>
      <c r="M34" s="1279">
        <f>+M28-M32</f>
        <v>923304.26791050867</v>
      </c>
      <c r="N34" s="1279"/>
      <c r="O34" s="1123" t="e">
        <f>+O28-O32-#REF!</f>
        <v>#REF!</v>
      </c>
      <c r="P34" s="1123"/>
      <c r="Q34" s="1123" t="e">
        <f>+Q28-Q32-#REF!</f>
        <v>#REF!</v>
      </c>
      <c r="R34" s="1123"/>
      <c r="S34" s="1123" t="e">
        <f>+S28-S32-#REF!</f>
        <v>#REF!</v>
      </c>
      <c r="T34" s="1123"/>
      <c r="U34" s="1123" t="e">
        <f>+U28-U32-#REF!</f>
        <v>#REF!</v>
      </c>
      <c r="V34" s="1123"/>
      <c r="W34" s="1123" t="e">
        <f>+W28-W32-#REF!</f>
        <v>#REF!</v>
      </c>
      <c r="X34" s="1123"/>
      <c r="Y34" s="1123" t="e">
        <f>+Y28-Y32-#REF!</f>
        <v>#REF!</v>
      </c>
      <c r="Z34" s="1123"/>
      <c r="AA34" s="383"/>
      <c r="AB34" s="1123" t="e">
        <f>+AB28-AB32-#REF!</f>
        <v>#REF!</v>
      </c>
      <c r="AC34" s="1123"/>
    </row>
    <row r="35" spans="1:29" s="427" customFormat="1" ht="15.75" thickTop="1" x14ac:dyDescent="0.25">
      <c r="A35" s="506"/>
      <c r="B35" s="165"/>
      <c r="C35" s="165"/>
      <c r="D35" s="194"/>
      <c r="E35" s="507"/>
      <c r="F35" s="507"/>
      <c r="G35" s="507"/>
      <c r="H35" s="507"/>
      <c r="I35" s="507"/>
      <c r="J35" s="507"/>
      <c r="K35" s="507"/>
      <c r="L35" s="507"/>
      <c r="M35" s="507"/>
      <c r="N35" s="507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</row>
    <row r="36" spans="1:29" s="427" customFormat="1" x14ac:dyDescent="0.25">
      <c r="A36" s="390" t="s">
        <v>584</v>
      </c>
      <c r="B36" s="391"/>
      <c r="C36" s="391"/>
      <c r="D36" s="395"/>
      <c r="E36" s="504"/>
      <c r="F36" s="508">
        <f>+(E34/(Pricing!$D51*0.07))</f>
        <v>1.841096899558484</v>
      </c>
      <c r="G36" s="504"/>
      <c r="H36" s="508">
        <f>+(G34/(Pricing!$D51*0.07))</f>
        <v>1.7170986876673542</v>
      </c>
      <c r="I36" s="504"/>
      <c r="J36" s="508">
        <f>+(I34/(Pricing!$D51*0.07))</f>
        <v>1.7853939086825337</v>
      </c>
      <c r="K36" s="504"/>
      <c r="L36" s="508">
        <f>+(K34/(Pricing!$D51*0.07))</f>
        <v>1.8549275531566529</v>
      </c>
      <c r="M36" s="504"/>
      <c r="N36" s="508">
        <f>+(M34/(Pricing!$D51*0.07))</f>
        <v>1.8842069432705084</v>
      </c>
      <c r="O36" s="505"/>
      <c r="P36" s="505"/>
      <c r="Q36" s="505"/>
      <c r="R36" s="505"/>
      <c r="S36" s="505"/>
      <c r="T36" s="505"/>
      <c r="U36" s="505"/>
      <c r="V36" s="505"/>
      <c r="W36" s="505"/>
      <c r="X36" s="505"/>
      <c r="Y36" s="505"/>
      <c r="Z36" s="505"/>
      <c r="AA36" s="505"/>
      <c r="AB36" s="505"/>
      <c r="AC36" s="505"/>
    </row>
    <row r="38" spans="1:29" x14ac:dyDescent="0.25">
      <c r="A38" s="390" t="s">
        <v>498</v>
      </c>
      <c r="B38" s="391"/>
      <c r="C38" s="391"/>
      <c r="D38" s="398"/>
      <c r="E38" s="398">
        <f>+E34/Pricing!$D51</f>
        <v>0.12887678296909391</v>
      </c>
      <c r="F38" s="398"/>
      <c r="G38" s="398">
        <f>+G34/Pricing!$D51</f>
        <v>0.1201969081367148</v>
      </c>
      <c r="H38" s="398"/>
      <c r="I38" s="398">
        <f>+I34/Pricing!$D51</f>
        <v>0.12497757360777738</v>
      </c>
      <c r="J38" s="398"/>
      <c r="K38" s="398">
        <f>+K34/Pricing!$D51</f>
        <v>0.1298449287209657</v>
      </c>
      <c r="L38" s="398"/>
      <c r="M38" s="398">
        <f>+M34/Pricing!$D51</f>
        <v>0.13189448602893561</v>
      </c>
      <c r="N38" s="398"/>
      <c r="O38" s="191" t="e">
        <f>O34/Pricing!$N51</f>
        <v>#REF!</v>
      </c>
      <c r="P38" s="191"/>
      <c r="Q38" s="191" t="e">
        <f>Q34/Pricing!$N51</f>
        <v>#REF!</v>
      </c>
      <c r="R38" s="191"/>
      <c r="S38" s="191" t="e">
        <f>S34/Pricing!$N51</f>
        <v>#REF!</v>
      </c>
      <c r="T38" s="191"/>
      <c r="U38" s="191" t="e">
        <f>U34/Pricing!$N51</f>
        <v>#REF!</v>
      </c>
      <c r="V38" s="191"/>
      <c r="W38" s="191" t="e">
        <f>W34/Pricing!$N51</f>
        <v>#REF!</v>
      </c>
      <c r="X38" s="191"/>
      <c r="Y38" s="191" t="e">
        <f>Y34/Pricing!$N51</f>
        <v>#REF!</v>
      </c>
      <c r="Z38" s="191"/>
      <c r="AA38" s="191"/>
      <c r="AB38" s="191" t="e">
        <f>AB34/Pricing!N51</f>
        <v>#REF!</v>
      </c>
    </row>
    <row r="40" spans="1:29" x14ac:dyDescent="0.25">
      <c r="A40" s="11" t="s">
        <v>494</v>
      </c>
    </row>
    <row r="42" spans="1:29" x14ac:dyDescent="0.25">
      <c r="B42" t="s">
        <v>492</v>
      </c>
      <c r="E42" s="386">
        <f>+Rent!I16</f>
        <v>1573217.5670398574</v>
      </c>
      <c r="F42" s="386"/>
      <c r="G42" s="386">
        <f>+Rent!I17</f>
        <v>1589787.022006273</v>
      </c>
      <c r="H42" s="386"/>
      <c r="I42" s="386">
        <f>+Rent!I18</f>
        <v>1606686.2157836531</v>
      </c>
      <c r="J42" s="386"/>
      <c r="K42" s="386">
        <f>+Rent!I19</f>
        <v>1623921.7430497594</v>
      </c>
      <c r="L42" s="386"/>
      <c r="M42" s="386">
        <f>+Rent!I20</f>
        <v>1632499.4628153171</v>
      </c>
    </row>
    <row r="44" spans="1:29" ht="15.75" thickBot="1" x14ac:dyDescent="0.3">
      <c r="A44" s="396" t="s">
        <v>493</v>
      </c>
      <c r="B44" s="397"/>
      <c r="C44" s="397"/>
      <c r="D44" s="397"/>
      <c r="E44" s="400">
        <f>+E21-E42</f>
        <v>196555.12501411024</v>
      </c>
      <c r="F44" s="401"/>
      <c r="G44" s="400">
        <f>+G21-G42</f>
        <v>212855.15782756568</v>
      </c>
      <c r="H44" s="401"/>
      <c r="I44" s="400">
        <f>+I21-I42</f>
        <v>229422.17606390174</v>
      </c>
      <c r="J44" s="401"/>
      <c r="K44" s="400">
        <f>+K21-K42</f>
        <v>246259.71648052568</v>
      </c>
      <c r="L44" s="401"/>
      <c r="M44" s="400">
        <f>+M21-M42</f>
        <v>252029.56397688226</v>
      </c>
      <c r="N44" s="401"/>
    </row>
    <row r="45" spans="1:29" ht="15.75" thickTop="1" x14ac:dyDescent="0.25"/>
    <row r="46" spans="1:29" x14ac:dyDescent="0.25">
      <c r="A46" s="11" t="s">
        <v>495</v>
      </c>
    </row>
    <row r="47" spans="1:29" x14ac:dyDescent="0.25">
      <c r="B47" s="4" t="s">
        <v>499</v>
      </c>
      <c r="E47" s="28">
        <f>+E42</f>
        <v>1573217.5670398574</v>
      </c>
      <c r="G47" s="28">
        <f>+G42</f>
        <v>1589787.022006273</v>
      </c>
      <c r="I47" s="28">
        <f>+I42</f>
        <v>1606686.2157836531</v>
      </c>
      <c r="K47" s="28">
        <f>+K42</f>
        <v>1623921.7430497594</v>
      </c>
      <c r="M47" s="28">
        <f>+M42</f>
        <v>1632499.4628153171</v>
      </c>
    </row>
    <row r="48" spans="1:29" x14ac:dyDescent="0.25">
      <c r="B48" s="4" t="s">
        <v>504</v>
      </c>
      <c r="E48" s="28">
        <f>-E23-E32</f>
        <v>-698543.32631584536</v>
      </c>
      <c r="G48" s="28">
        <f>-G23-G32</f>
        <v>-792174.75888169068</v>
      </c>
      <c r="I48" s="28">
        <f>-I23-I32</f>
        <v>-792174.75888169068</v>
      </c>
      <c r="K48" s="28">
        <f>-K23-K32</f>
        <v>-792174.75888169068</v>
      </c>
      <c r="M48" s="28">
        <f>-M23-M32</f>
        <v>-792174.75888169068</v>
      </c>
    </row>
    <row r="49" spans="1:14" x14ac:dyDescent="0.25">
      <c r="B49" s="4" t="s">
        <v>488</v>
      </c>
      <c r="E49" s="28">
        <f>-E24</f>
        <v>-137812.5</v>
      </c>
      <c r="G49" s="28">
        <f>-G24</f>
        <v>-137812.5</v>
      </c>
      <c r="I49" s="28">
        <f>-I24</f>
        <v>-137812.5</v>
      </c>
      <c r="K49" s="28">
        <f>-K24</f>
        <v>-137812.5</v>
      </c>
      <c r="M49" s="28">
        <f>-M24</f>
        <v>-137812.5</v>
      </c>
    </row>
    <row r="50" spans="1:14" x14ac:dyDescent="0.25">
      <c r="B50" s="4" t="s">
        <v>489</v>
      </c>
      <c r="E50" s="28">
        <f>-E25</f>
        <v>-31237.5</v>
      </c>
      <c r="G50" s="28">
        <f>-G25</f>
        <v>-31237.5</v>
      </c>
      <c r="I50" s="28">
        <f>-I25</f>
        <v>-31237.5</v>
      </c>
      <c r="K50" s="28">
        <f>-K25</f>
        <v>-31237.5</v>
      </c>
      <c r="M50" s="28">
        <f>-M25</f>
        <v>-31237.5</v>
      </c>
    </row>
    <row r="51" spans="1:14" x14ac:dyDescent="0.25">
      <c r="B51" s="4" t="s">
        <v>269</v>
      </c>
      <c r="E51" s="28">
        <f>-E26</f>
        <v>0</v>
      </c>
      <c r="G51" s="28">
        <f>-G26</f>
        <v>0</v>
      </c>
      <c r="I51" s="28">
        <f>-I26</f>
        <v>0</v>
      </c>
      <c r="K51" s="28">
        <f>-K26</f>
        <v>0</v>
      </c>
      <c r="M51" s="28">
        <f>-M26</f>
        <v>0</v>
      </c>
    </row>
    <row r="53" spans="1:14" ht="15.75" thickBot="1" x14ac:dyDescent="0.3">
      <c r="A53" s="388" t="s">
        <v>503</v>
      </c>
      <c r="B53" s="389"/>
      <c r="C53" s="389"/>
      <c r="D53" s="389"/>
      <c r="E53" s="402">
        <f>SUM(E47:E52)</f>
        <v>705624.24072401202</v>
      </c>
      <c r="F53" s="403"/>
      <c r="G53" s="402">
        <f>SUM(G47:G52)</f>
        <v>628562.26312458236</v>
      </c>
      <c r="H53" s="403"/>
      <c r="I53" s="402">
        <f>SUM(I47:I52)</f>
        <v>645461.4569019624</v>
      </c>
      <c r="J53" s="403"/>
      <c r="K53" s="402">
        <f>SUM(K47:K52)</f>
        <v>662696.98416806874</v>
      </c>
      <c r="L53" s="403"/>
      <c r="M53" s="402">
        <f>SUM(M47:M52)</f>
        <v>671274.70393362641</v>
      </c>
      <c r="N53" s="403"/>
    </row>
    <row r="54" spans="1:14" ht="15.75" thickTop="1" x14ac:dyDescent="0.25"/>
    <row r="55" spans="1:14" s="427" customFormat="1" x14ac:dyDescent="0.25">
      <c r="A55" s="11" t="s">
        <v>585</v>
      </c>
      <c r="E55" s="509">
        <f>SUM(D36:N36)/5</f>
        <v>1.8165447984671066</v>
      </c>
      <c r="G55" s="5"/>
      <c r="I55" s="5"/>
      <c r="K55" s="5"/>
      <c r="M55" s="5"/>
    </row>
    <row r="56" spans="1:14" s="427" customFormat="1" x14ac:dyDescent="0.25">
      <c r="A56" s="11"/>
    </row>
    <row r="57" spans="1:14" x14ac:dyDescent="0.25">
      <c r="A57" s="11" t="s">
        <v>583</v>
      </c>
      <c r="E57" s="405">
        <f>SUM(E30:N30)/5</f>
        <v>2.2000229063165015</v>
      </c>
    </row>
    <row r="58" spans="1:14" x14ac:dyDescent="0.25">
      <c r="E58" s="11"/>
    </row>
    <row r="59" spans="1:14" x14ac:dyDescent="0.25">
      <c r="A59" s="11" t="s">
        <v>505</v>
      </c>
      <c r="E59" s="510">
        <f>SUM(E38:N38)/5</f>
        <v>0.12715813589269748</v>
      </c>
    </row>
  </sheetData>
  <customSheetViews>
    <customSheetView guid="{BBA80CC4-398C-41FE-99C8-A75F96D5CA58}" scale="80" hiddenColumns="1">
      <selection sqref="A1:XFD65536"/>
      <pageMargins left="0.7" right="0.7" top="0.75" bottom="0.75" header="0.3" footer="0.3"/>
      <pageSetup scale="47" orientation="portrait" horizontalDpi="300" verticalDpi="300"/>
    </customSheetView>
    <customSheetView guid="{03C358DA-88A4-4E12-84B7-BB4E50E89831}" scale="80" hiddenColumns="1">
      <selection sqref="A1:XFD65536"/>
      <pageMargins left="0.7" right="0.7" top="0.75" bottom="0.75" header="0.3" footer="0.3"/>
      <pageSetup scale="47" orientation="portrait" horizontalDpi="300" verticalDpi="300"/>
    </customSheetView>
  </customSheetViews>
  <mergeCells count="108">
    <mergeCell ref="E34:F34"/>
    <mergeCell ref="G34:H34"/>
    <mergeCell ref="U32:V32"/>
    <mergeCell ref="W32:X32"/>
    <mergeCell ref="Y32:Z32"/>
    <mergeCell ref="AB32:AC32"/>
    <mergeCell ref="I32:J32"/>
    <mergeCell ref="K32:L32"/>
    <mergeCell ref="M32:N32"/>
    <mergeCell ref="O32:P32"/>
    <mergeCell ref="I28:J28"/>
    <mergeCell ref="K28:L28"/>
    <mergeCell ref="U34:V34"/>
    <mergeCell ref="W34:X34"/>
    <mergeCell ref="Y34:Z34"/>
    <mergeCell ref="AB34:AC34"/>
    <mergeCell ref="W28:X28"/>
    <mergeCell ref="Y28:Z28"/>
    <mergeCell ref="Q28:R28"/>
    <mergeCell ref="S28:T28"/>
    <mergeCell ref="U28:V28"/>
    <mergeCell ref="AB28:AC28"/>
    <mergeCell ref="E28:F28"/>
    <mergeCell ref="I34:J34"/>
    <mergeCell ref="K34:L34"/>
    <mergeCell ref="M34:N34"/>
    <mergeCell ref="O34:P34"/>
    <mergeCell ref="Q34:R34"/>
    <mergeCell ref="S34:T34"/>
    <mergeCell ref="Q32:R32"/>
    <mergeCell ref="S32:T32"/>
    <mergeCell ref="I31:J31"/>
    <mergeCell ref="K31:L31"/>
    <mergeCell ref="M31:N31"/>
    <mergeCell ref="I30:J30"/>
    <mergeCell ref="K30:L30"/>
    <mergeCell ref="M30:N30"/>
    <mergeCell ref="E31:F31"/>
    <mergeCell ref="E32:F32"/>
    <mergeCell ref="G32:H32"/>
    <mergeCell ref="E30:F30"/>
    <mergeCell ref="M28:N28"/>
    <mergeCell ref="O28:P28"/>
    <mergeCell ref="G30:H30"/>
    <mergeCell ref="G31:H31"/>
    <mergeCell ref="G28:H28"/>
    <mergeCell ref="W23:X23"/>
    <mergeCell ref="Y23:Z23"/>
    <mergeCell ref="AB23:AC23"/>
    <mergeCell ref="W24:X24"/>
    <mergeCell ref="Y24:Z24"/>
    <mergeCell ref="AB24:AC24"/>
    <mergeCell ref="Q23:R23"/>
    <mergeCell ref="S23:T23"/>
    <mergeCell ref="U23:V23"/>
    <mergeCell ref="Q24:R24"/>
    <mergeCell ref="S24:T24"/>
    <mergeCell ref="U24:V24"/>
    <mergeCell ref="Q26:R26"/>
    <mergeCell ref="S26:T26"/>
    <mergeCell ref="U26:V26"/>
    <mergeCell ref="W25:X25"/>
    <mergeCell ref="Y25:Z25"/>
    <mergeCell ref="AB25:AC25"/>
    <mergeCell ref="W26:X26"/>
    <mergeCell ref="Y26:Z26"/>
    <mergeCell ref="AB26:AC26"/>
    <mergeCell ref="Q25:R25"/>
    <mergeCell ref="S25:T25"/>
    <mergeCell ref="U25:V25"/>
    <mergeCell ref="E25:F25"/>
    <mergeCell ref="G25:H25"/>
    <mergeCell ref="I25:J25"/>
    <mergeCell ref="E26:F26"/>
    <mergeCell ref="G26:H26"/>
    <mergeCell ref="I26:J26"/>
    <mergeCell ref="K25:L25"/>
    <mergeCell ref="M25:N25"/>
    <mergeCell ref="O25:P25"/>
    <mergeCell ref="K26:L26"/>
    <mergeCell ref="M26:N26"/>
    <mergeCell ref="O26:P26"/>
    <mergeCell ref="E23:F23"/>
    <mergeCell ref="G23:H23"/>
    <mergeCell ref="I23:J23"/>
    <mergeCell ref="K24:L24"/>
    <mergeCell ref="M24:N24"/>
    <mergeCell ref="O24:P24"/>
    <mergeCell ref="K23:L23"/>
    <mergeCell ref="M23:N23"/>
    <mergeCell ref="O23:P23"/>
    <mergeCell ref="E24:F24"/>
    <mergeCell ref="G24:H24"/>
    <mergeCell ref="I24:J24"/>
    <mergeCell ref="O4:P4"/>
    <mergeCell ref="Q4:R4"/>
    <mergeCell ref="S4:T4"/>
    <mergeCell ref="U4:V4"/>
    <mergeCell ref="E3:AC3"/>
    <mergeCell ref="A4:B4"/>
    <mergeCell ref="E4:F4"/>
    <mergeCell ref="G4:H4"/>
    <mergeCell ref="I4:J4"/>
    <mergeCell ref="W4:X4"/>
    <mergeCell ref="Y4:Z4"/>
    <mergeCell ref="AB4:AC4"/>
    <mergeCell ref="K4:L4"/>
    <mergeCell ref="M4:N4"/>
  </mergeCells>
  <conditionalFormatting sqref="E38 G38 I38 K38 M38">
    <cfRule type="cellIs" dxfId="2" priority="1" operator="lessThan">
      <formula>0.07</formula>
    </cfRule>
  </conditionalFormatting>
  <pageMargins left="0.7" right="0.7" top="0.75" bottom="0.75" header="0.3" footer="0.3"/>
  <pageSetup scale="47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-0.249977111117893"/>
    <pageSetUpPr fitToPage="1"/>
  </sheetPr>
  <dimension ref="A1:O26"/>
  <sheetViews>
    <sheetView workbookViewId="0">
      <selection activeCell="A2" sqref="A2"/>
    </sheetView>
  </sheetViews>
  <sheetFormatPr defaultColWidth="12.28515625" defaultRowHeight="15" x14ac:dyDescent="0.25"/>
  <cols>
    <col min="1" max="1" width="18.28515625" customWidth="1"/>
    <col min="6" max="6" width="15.28515625" customWidth="1"/>
    <col min="10" max="10" width="17" customWidth="1"/>
  </cols>
  <sheetData>
    <row r="1" spans="1:15" ht="23.25" x14ac:dyDescent="0.35">
      <c r="A1" s="1" t="str">
        <f>+'Data Entry'!C6</f>
        <v>LF III</v>
      </c>
    </row>
    <row r="2" spans="1:15" ht="15.75" x14ac:dyDescent="0.25">
      <c r="A2" s="501" t="s">
        <v>54</v>
      </c>
    </row>
    <row r="3" spans="1:15" ht="18.75" x14ac:dyDescent="0.3">
      <c r="A3" s="512" t="s">
        <v>335</v>
      </c>
    </row>
    <row r="4" spans="1:15" x14ac:dyDescent="0.25">
      <c r="A4" s="194"/>
    </row>
    <row r="5" spans="1:15" x14ac:dyDescent="0.25">
      <c r="A5" t="s">
        <v>178</v>
      </c>
      <c r="B5" s="229">
        <f>Pricing!E43</f>
        <v>7000325</v>
      </c>
      <c r="D5" s="28"/>
    </row>
    <row r="6" spans="1:15" x14ac:dyDescent="0.25">
      <c r="A6" t="s">
        <v>327</v>
      </c>
      <c r="B6" s="233">
        <f>0.07*1.5</f>
        <v>0.10500000000000001</v>
      </c>
    </row>
    <row r="7" spans="1:15" x14ac:dyDescent="0.25">
      <c r="A7" t="s">
        <v>336</v>
      </c>
      <c r="B7" s="229">
        <f>+B5*B6</f>
        <v>735034.12500000012</v>
      </c>
      <c r="C7" s="229"/>
      <c r="D7" s="229"/>
      <c r="E7" s="229"/>
    </row>
    <row r="8" spans="1:15" x14ac:dyDescent="0.25">
      <c r="A8" t="s">
        <v>328</v>
      </c>
      <c r="B8" s="229">
        <f>+ProForma!P20</f>
        <v>3973981.0500000003</v>
      </c>
      <c r="C8" s="229"/>
      <c r="D8" s="229"/>
      <c r="E8" s="229"/>
    </row>
    <row r="9" spans="1:15" x14ac:dyDescent="0.25">
      <c r="A9" t="s">
        <v>329</v>
      </c>
      <c r="B9" s="230">
        <v>0.2</v>
      </c>
      <c r="C9" s="229"/>
      <c r="D9" s="229"/>
      <c r="E9" s="229"/>
    </row>
    <row r="10" spans="1:15" x14ac:dyDescent="0.25">
      <c r="A10" t="s">
        <v>337</v>
      </c>
      <c r="B10" s="224">
        <f>Pricing!E17</f>
        <v>19282800</v>
      </c>
      <c r="C10" s="229"/>
      <c r="D10" s="229"/>
      <c r="E10" s="229"/>
    </row>
    <row r="11" spans="1:15" x14ac:dyDescent="0.25">
      <c r="A11" t="s">
        <v>342</v>
      </c>
      <c r="B11" s="224">
        <f>Pricing!E39</f>
        <v>792174.75888169068</v>
      </c>
      <c r="C11" s="229"/>
      <c r="D11" s="229"/>
      <c r="E11" s="229"/>
    </row>
    <row r="12" spans="1:15" x14ac:dyDescent="0.25">
      <c r="A12" t="s">
        <v>270</v>
      </c>
      <c r="B12" s="186">
        <f>Pricing!E44</f>
        <v>0</v>
      </c>
      <c r="C12" s="229"/>
      <c r="D12" s="229"/>
      <c r="E12" s="229"/>
    </row>
    <row r="13" spans="1:15" x14ac:dyDescent="0.25">
      <c r="E13" s="229"/>
    </row>
    <row r="14" spans="1:15" x14ac:dyDescent="0.25">
      <c r="A14" t="s">
        <v>330</v>
      </c>
    </row>
    <row r="15" spans="1:15" ht="45" x14ac:dyDescent="0.25">
      <c r="A15" s="231" t="s">
        <v>157</v>
      </c>
      <c r="B15" s="232" t="s">
        <v>331</v>
      </c>
      <c r="C15" s="231" t="s">
        <v>336</v>
      </c>
      <c r="D15" s="232" t="s">
        <v>338</v>
      </c>
      <c r="E15" s="232" t="s">
        <v>332</v>
      </c>
      <c r="F15" s="232" t="s">
        <v>339</v>
      </c>
      <c r="G15" s="232" t="s">
        <v>340</v>
      </c>
      <c r="H15" s="232" t="s">
        <v>333</v>
      </c>
      <c r="I15" s="232" t="s">
        <v>444</v>
      </c>
      <c r="J15" s="232" t="s">
        <v>341</v>
      </c>
      <c r="K15" s="232" t="s">
        <v>269</v>
      </c>
      <c r="L15" s="314" t="s">
        <v>501</v>
      </c>
      <c r="M15" s="232" t="s">
        <v>444</v>
      </c>
      <c r="N15" s="232" t="s">
        <v>445</v>
      </c>
      <c r="O15" s="255" t="s">
        <v>502</v>
      </c>
    </row>
    <row r="16" spans="1:15" x14ac:dyDescent="0.25">
      <c r="A16" s="224">
        <f>ProForma!S20</f>
        <v>4204024.4657908324</v>
      </c>
      <c r="B16" s="224">
        <f>ProForma!S71</f>
        <v>1769772.6920539676</v>
      </c>
      <c r="C16" s="224">
        <f>+$B$7</f>
        <v>735034.12500000012</v>
      </c>
      <c r="D16" s="224">
        <f>+$B$11</f>
        <v>792174.75888169068</v>
      </c>
      <c r="E16" s="224">
        <f>+D16+C16</f>
        <v>1527208.8838816909</v>
      </c>
      <c r="F16" s="224">
        <f>+B16-E16</f>
        <v>242563.80817227671</v>
      </c>
      <c r="G16" s="224">
        <f>IF((A16-$B$8)&lt;0,0,(A16-$B$8)*$B$9)</f>
        <v>46008.68315816643</v>
      </c>
      <c r="H16" s="224">
        <f>+F16-G16</f>
        <v>196555.12501411029</v>
      </c>
      <c r="I16" s="224">
        <f>C16+D16+G16</f>
        <v>1573217.5670398574</v>
      </c>
      <c r="J16" s="224">
        <f>B$10*0.0125</f>
        <v>241035</v>
      </c>
      <c r="K16" s="224">
        <f>Pricing!E$35*Pricing!E$44</f>
        <v>0</v>
      </c>
      <c r="L16" s="280">
        <f>+ProForma!$U80</f>
        <v>196485.56123942634</v>
      </c>
      <c r="M16" s="224">
        <f>I16-D16-J16-K16+L16</f>
        <v>736493.36939759308</v>
      </c>
      <c r="N16" s="233">
        <f>+M16/$B$5</f>
        <v>0.10520845380715796</v>
      </c>
      <c r="O16" s="5">
        <f>+H16+I16-J16-K16</f>
        <v>1528737.6920539676</v>
      </c>
    </row>
    <row r="17" spans="1:15" x14ac:dyDescent="0.25">
      <c r="A17" s="224">
        <f>ProForma!U20</f>
        <v>4286871.7406229107</v>
      </c>
      <c r="B17" s="224">
        <f>ProForma!U71</f>
        <v>1802642.1798338387</v>
      </c>
      <c r="C17" s="224">
        <f>+$B$7</f>
        <v>735034.12500000012</v>
      </c>
      <c r="D17" s="224">
        <f>+$B$11</f>
        <v>792174.75888169068</v>
      </c>
      <c r="E17" s="224">
        <f>+D17+C17</f>
        <v>1527208.8838816909</v>
      </c>
      <c r="F17" s="224">
        <f>+B17-E17</f>
        <v>275433.2959521478</v>
      </c>
      <c r="G17" s="224">
        <f>IF((A17-$B$8)&lt;0,0,(A17-$B$8)*$B$9)</f>
        <v>62578.138124582081</v>
      </c>
      <c r="H17" s="224">
        <f>+F17-G17</f>
        <v>212855.15782756574</v>
      </c>
      <c r="I17" s="224">
        <f>C17+D17+G17</f>
        <v>1589787.022006273</v>
      </c>
      <c r="J17" s="280">
        <f>B$10*0.0125</f>
        <v>241035</v>
      </c>
      <c r="K17" s="224">
        <f>Pricing!E$35*Pricing!E$44</f>
        <v>0</v>
      </c>
      <c r="L17" s="280">
        <f>+ProForma!U80</f>
        <v>196485.56123942634</v>
      </c>
      <c r="M17" s="386">
        <f>I17-D17-J17-K17+L17</f>
        <v>753062.82436400873</v>
      </c>
      <c r="N17" s="233">
        <f>+M17/$B$5</f>
        <v>0.10757540890801623</v>
      </c>
      <c r="O17" s="5">
        <f>+H17+I17-J17-K17</f>
        <v>1561607.1798338387</v>
      </c>
    </row>
    <row r="18" spans="1:15" x14ac:dyDescent="0.25">
      <c r="A18" s="224">
        <f>ProForma!W20</f>
        <v>4371367.7095098114</v>
      </c>
      <c r="B18" s="224">
        <f>ProForma!W71</f>
        <v>1836108.3918475548</v>
      </c>
      <c r="C18" s="224">
        <f>+$B$7</f>
        <v>735034.12500000012</v>
      </c>
      <c r="D18" s="224">
        <f>+$B$11</f>
        <v>792174.75888169068</v>
      </c>
      <c r="E18" s="224">
        <f>+D18+C18</f>
        <v>1527208.8838816909</v>
      </c>
      <c r="F18" s="224">
        <f>+B18-E18</f>
        <v>308899.50796586392</v>
      </c>
      <c r="G18" s="224">
        <f>IF((A18-$B$8)&lt;0,0,(A18-$B$8)*$B$9)</f>
        <v>79477.331901962229</v>
      </c>
      <c r="H18" s="224">
        <f>+F18-G18</f>
        <v>229422.17606390169</v>
      </c>
      <c r="I18" s="224">
        <f>C18+D18+G18</f>
        <v>1606686.2157836531</v>
      </c>
      <c r="J18" s="280">
        <f>B$10*0.0125</f>
        <v>241035</v>
      </c>
      <c r="K18" s="224">
        <f>Pricing!E$35*Pricing!E$44</f>
        <v>0</v>
      </c>
      <c r="L18" s="280">
        <f>+ProForma!W80</f>
        <v>206162.47513046814</v>
      </c>
      <c r="M18" s="386">
        <f>I18-D18-J18-K18+L18</f>
        <v>779638.93203243054</v>
      </c>
      <c r="N18" s="233">
        <f>+M18/$B$5</f>
        <v>0.11137181945587249</v>
      </c>
      <c r="O18" s="5">
        <f>+H18+I18-J18-K18</f>
        <v>1595073.3918475548</v>
      </c>
    </row>
    <row r="19" spans="1:15" x14ac:dyDescent="0.25">
      <c r="A19" s="224">
        <f>ProForma!Y20</f>
        <v>4457545.3458403433</v>
      </c>
      <c r="B19" s="224">
        <f>ProForma!Y71</f>
        <v>1870181.4595302851</v>
      </c>
      <c r="C19" s="224">
        <f>+$B$7</f>
        <v>735034.12500000012</v>
      </c>
      <c r="D19" s="224">
        <f>+$B$11</f>
        <v>792174.75888169068</v>
      </c>
      <c r="E19" s="224">
        <f>+D19+C19</f>
        <v>1527208.8838816909</v>
      </c>
      <c r="F19" s="224">
        <f>+B19-E19</f>
        <v>342972.57564859418</v>
      </c>
      <c r="G19" s="224">
        <f>IF((A19-$B$8)&lt;0,0,(A19-$B$8)*$B$9)</f>
        <v>96712.859168068608</v>
      </c>
      <c r="H19" s="224">
        <f>+F19-G19</f>
        <v>246259.71648052556</v>
      </c>
      <c r="I19" s="224">
        <f>C19+D19+G19</f>
        <v>1623921.7430497594</v>
      </c>
      <c r="J19" s="280">
        <f>B$10*0.0125</f>
        <v>241035</v>
      </c>
      <c r="K19" s="224">
        <f>Pricing!E$35*Pricing!E$44</f>
        <v>0</v>
      </c>
      <c r="L19" s="280">
        <f>+ProForma!Y80</f>
        <v>216315.97703064364</v>
      </c>
      <c r="M19" s="386">
        <f>I19-D19-J19-K19+L19</f>
        <v>807027.96119871235</v>
      </c>
      <c r="N19" s="233">
        <f>+M19/$B$5</f>
        <v>0.11528435625470422</v>
      </c>
      <c r="O19" s="5">
        <f>+H19+I19-J19-K19</f>
        <v>1629146.4595302851</v>
      </c>
    </row>
    <row r="20" spans="1:15" x14ac:dyDescent="0.25">
      <c r="A20" s="224">
        <f>ProForma!AA20</f>
        <v>4500433.9446681309</v>
      </c>
      <c r="B20" s="224">
        <f>ProForma!AA71</f>
        <v>1884529.0267921994</v>
      </c>
      <c r="C20" s="224">
        <f>+$B$7</f>
        <v>735034.12500000012</v>
      </c>
      <c r="D20" s="224">
        <f>+$B$11</f>
        <v>792174.75888169068</v>
      </c>
      <c r="E20" s="224">
        <f>+D20+C20</f>
        <v>1527208.8838816909</v>
      </c>
      <c r="F20" s="224">
        <f>+B20-E20</f>
        <v>357320.14291050844</v>
      </c>
      <c r="G20" s="224">
        <f>IF((A20-$B$8)&lt;0,0,(A20-$B$8)*$B$9)</f>
        <v>105290.57893362614</v>
      </c>
      <c r="H20" s="224">
        <f>+F20-G20</f>
        <v>252029.56397688232</v>
      </c>
      <c r="I20" s="224">
        <f>C20+D20+G20</f>
        <v>1632499.4628153171</v>
      </c>
      <c r="J20" s="280">
        <f>B$10*0.0125</f>
        <v>241035</v>
      </c>
      <c r="K20" s="224">
        <f>Pricing!E$35*Pricing!E$44</f>
        <v>0</v>
      </c>
      <c r="L20" s="280">
        <f>+ProForma!AA80</f>
        <v>226969.53889940283</v>
      </c>
      <c r="M20" s="386">
        <f>I20-D20-J20-K20+L20</f>
        <v>826259.24283302925</v>
      </c>
      <c r="N20" s="233">
        <f>+M20/$B$5</f>
        <v>0.11803155465396667</v>
      </c>
      <c r="O20" s="5">
        <f>+H20+I20-J20-K20</f>
        <v>1643494.0267921994</v>
      </c>
    </row>
    <row r="21" spans="1:15" x14ac:dyDescent="0.25">
      <c r="A21" s="229"/>
      <c r="B21" s="229"/>
    </row>
    <row r="22" spans="1:15" x14ac:dyDescent="0.25">
      <c r="A22" s="229"/>
      <c r="B22" s="229"/>
    </row>
    <row r="23" spans="1:15" x14ac:dyDescent="0.25">
      <c r="B23" s="229"/>
    </row>
    <row r="24" spans="1:15" x14ac:dyDescent="0.25">
      <c r="C24" s="229"/>
    </row>
    <row r="26" spans="1:15" x14ac:dyDescent="0.25">
      <c r="A26" s="39" t="s">
        <v>334</v>
      </c>
    </row>
  </sheetData>
  <customSheetViews>
    <customSheetView guid="{BBA80CC4-398C-41FE-99C8-A75F96D5CA58}" scale="90" fitToPage="1">
      <selection activeCell="C34" sqref="C34:C35"/>
      <pageMargins left="0.7" right="0.7" top="0.75" bottom="0.75" header="0.3" footer="0.3"/>
      <pageSetup scale="61" orientation="landscape" horizontalDpi="300" verticalDpi="300"/>
    </customSheetView>
    <customSheetView guid="{03C358DA-88A4-4E12-84B7-BB4E50E89831}" scale="90" fitToPage="1">
      <selection activeCell="C34" sqref="C34:C35"/>
      <pageMargins left="0.7" right="0.7" top="0.75" bottom="0.75" header="0.3" footer="0.3"/>
      <pageSetup scale="61" orientation="landscape" horizontalDpi="300" verticalDpi="300"/>
    </customSheetView>
  </customSheetViews>
  <conditionalFormatting sqref="O16:O20">
    <cfRule type="cellIs" dxfId="1" priority="1" operator="greaterThan">
      <formula>1.5</formula>
    </cfRule>
    <cfRule type="cellIs" dxfId="0" priority="2" operator="lessThan">
      <formula>1.5</formula>
    </cfRule>
  </conditionalFormatting>
  <pageMargins left="0.7" right="0.7" top="0.75" bottom="0.75" header="0.3" footer="0.3"/>
  <pageSetup scale="61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0.39997558519241921"/>
    <pageSetUpPr fitToPage="1"/>
  </sheetPr>
  <dimension ref="A1:T92"/>
  <sheetViews>
    <sheetView workbookViewId="0">
      <selection activeCell="A2" sqref="A2"/>
    </sheetView>
  </sheetViews>
  <sheetFormatPr defaultColWidth="8.7109375" defaultRowHeight="15" outlineLevelRow="1" x14ac:dyDescent="0.25"/>
  <cols>
    <col min="1" max="1" width="6.7109375" customWidth="1"/>
    <col min="2" max="2" width="15.28515625" customWidth="1"/>
    <col min="3" max="3" width="14.140625" customWidth="1"/>
    <col min="4" max="4" width="21.28515625" customWidth="1"/>
    <col min="5" max="5" width="16" customWidth="1"/>
    <col min="6" max="6" width="12" customWidth="1"/>
    <col min="13" max="13" width="11.28515625" bestFit="1" customWidth="1"/>
    <col min="14" max="14" width="15.7109375" customWidth="1"/>
    <col min="15" max="15" width="15" customWidth="1"/>
    <col min="16" max="16" width="9.7109375" bestFit="1" customWidth="1"/>
    <col min="19" max="19" width="12.140625" customWidth="1"/>
  </cols>
  <sheetData>
    <row r="1" spans="1:20" ht="23.25" x14ac:dyDescent="0.35">
      <c r="A1" s="1" t="str">
        <f>+'Data Entry'!C6</f>
        <v>LF III</v>
      </c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x14ac:dyDescent="0.25">
      <c r="A2" s="501" t="s">
        <v>54</v>
      </c>
      <c r="L2" s="103"/>
      <c r="M2" s="103"/>
      <c r="N2" s="103"/>
      <c r="O2" s="103"/>
      <c r="P2" s="103"/>
      <c r="Q2" s="103"/>
      <c r="R2" s="103"/>
      <c r="S2" s="103"/>
      <c r="T2" s="103"/>
    </row>
    <row r="3" spans="1:20" ht="18.75" x14ac:dyDescent="0.3">
      <c r="A3" s="215" t="s">
        <v>219</v>
      </c>
      <c r="L3" s="103"/>
      <c r="M3" s="103"/>
      <c r="N3" s="103"/>
      <c r="O3" s="103"/>
      <c r="P3" s="103"/>
      <c r="Q3" s="103"/>
      <c r="R3" s="103"/>
      <c r="S3" s="103"/>
      <c r="T3" s="103"/>
    </row>
    <row r="4" spans="1:20" x14ac:dyDescent="0.25">
      <c r="A4" s="1268" t="str">
        <f>'Board Summary'!B3</f>
        <v>Hampton Inn &amp; Suites Wichita Airport</v>
      </c>
      <c r="B4" s="1268"/>
      <c r="E4" s="201" t="s">
        <v>112</v>
      </c>
      <c r="F4" s="201" t="s">
        <v>119</v>
      </c>
      <c r="L4" s="103"/>
      <c r="M4" s="103"/>
      <c r="N4" s="103"/>
      <c r="O4" s="103"/>
      <c r="P4" s="103"/>
      <c r="Q4" s="103"/>
      <c r="R4" s="103"/>
      <c r="S4" s="103"/>
      <c r="T4" s="103"/>
    </row>
    <row r="5" spans="1:20" x14ac:dyDescent="0.25">
      <c r="L5" s="103"/>
      <c r="M5" s="103"/>
      <c r="N5" s="103"/>
      <c r="O5" s="103"/>
      <c r="P5" s="103"/>
      <c r="Q5" s="103"/>
      <c r="R5" s="103"/>
      <c r="S5" s="103"/>
      <c r="T5" s="103"/>
    </row>
    <row r="6" spans="1:20" ht="21" x14ac:dyDescent="0.35">
      <c r="A6" t="s">
        <v>60</v>
      </c>
      <c r="E6" s="11">
        <f>Pricing!E6</f>
        <v>18000000</v>
      </c>
      <c r="F6" s="205">
        <v>0</v>
      </c>
      <c r="L6" s="175"/>
      <c r="M6" s="103"/>
      <c r="N6" s="103"/>
      <c r="O6" s="103"/>
      <c r="P6" s="103"/>
      <c r="Q6" s="103"/>
      <c r="R6" s="103"/>
      <c r="S6" s="103"/>
      <c r="T6" s="103"/>
    </row>
    <row r="7" spans="1:20" x14ac:dyDescent="0.25">
      <c r="F7" s="205"/>
      <c r="L7" s="103"/>
      <c r="M7" s="103"/>
      <c r="N7" s="103"/>
      <c r="O7" s="103"/>
      <c r="P7" s="103"/>
      <c r="Q7" s="103"/>
      <c r="R7" s="103"/>
      <c r="S7" s="103"/>
      <c r="T7" s="103"/>
    </row>
    <row r="8" spans="1:20" ht="15.75" x14ac:dyDescent="0.25">
      <c r="A8" t="s">
        <v>62</v>
      </c>
      <c r="E8" s="11">
        <f>Pricing!E8</f>
        <v>1870584.6215999995</v>
      </c>
      <c r="F8" s="205">
        <v>0</v>
      </c>
      <c r="L8" s="176"/>
      <c r="M8" s="103"/>
      <c r="N8" s="103"/>
      <c r="O8" s="103"/>
      <c r="P8" s="177"/>
      <c r="Q8" s="103"/>
      <c r="R8" s="103"/>
      <c r="S8" s="103"/>
      <c r="T8" s="103"/>
    </row>
    <row r="9" spans="1:20" x14ac:dyDescent="0.25">
      <c r="F9" s="205"/>
      <c r="L9" s="103"/>
      <c r="M9" s="103"/>
      <c r="N9" s="103"/>
      <c r="O9" s="103"/>
      <c r="P9" s="103"/>
      <c r="Q9" s="103"/>
      <c r="R9" s="103"/>
      <c r="S9" s="103"/>
      <c r="T9" s="103"/>
    </row>
    <row r="10" spans="1:20" x14ac:dyDescent="0.25">
      <c r="A10" t="s">
        <v>63</v>
      </c>
      <c r="E10" s="11">
        <f>Pricing!E10</f>
        <v>1832646.7500115687</v>
      </c>
      <c r="F10" s="205">
        <v>0</v>
      </c>
      <c r="L10" s="103"/>
      <c r="M10" s="103"/>
      <c r="N10" s="171"/>
      <c r="O10" s="103"/>
      <c r="P10" s="177"/>
      <c r="Q10" s="177"/>
      <c r="R10" s="177"/>
      <c r="S10" s="178"/>
      <c r="T10" s="103"/>
    </row>
    <row r="11" spans="1:20" hidden="1" x14ac:dyDescent="0.25">
      <c r="F11" s="205"/>
      <c r="L11" s="103"/>
      <c r="M11" s="103"/>
      <c r="N11" s="103"/>
      <c r="O11" s="103"/>
      <c r="P11" s="103"/>
      <c r="Q11" s="103"/>
      <c r="R11" s="103"/>
      <c r="S11" s="103"/>
      <c r="T11" s="103"/>
    </row>
    <row r="12" spans="1:20" hidden="1" x14ac:dyDescent="0.25">
      <c r="A12" t="s">
        <v>61</v>
      </c>
      <c r="E12" s="11">
        <v>0.10055272352941175</v>
      </c>
      <c r="F12" s="205"/>
      <c r="L12" s="103"/>
      <c r="M12" s="103"/>
      <c r="N12" s="103"/>
      <c r="O12" s="103"/>
      <c r="P12" s="103"/>
      <c r="Q12" s="103"/>
      <c r="R12" s="103"/>
      <c r="S12" s="103"/>
      <c r="T12" s="103"/>
    </row>
    <row r="13" spans="1:20" hidden="1" x14ac:dyDescent="0.25">
      <c r="F13" s="205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1:20" hidden="1" x14ac:dyDescent="0.25">
      <c r="E14" s="11"/>
      <c r="F14" s="205"/>
      <c r="L14" s="179"/>
      <c r="M14" s="179"/>
      <c r="N14" s="180"/>
      <c r="O14" s="103"/>
      <c r="P14" s="103"/>
      <c r="Q14" s="103"/>
      <c r="R14" s="103"/>
      <c r="S14" s="103"/>
      <c r="T14" s="103"/>
    </row>
    <row r="15" spans="1:20" hidden="1" x14ac:dyDescent="0.25">
      <c r="F15" s="205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1:20" ht="15.75" x14ac:dyDescent="0.25">
      <c r="F16" s="205"/>
      <c r="L16" s="176"/>
      <c r="M16" s="103"/>
      <c r="N16" s="103"/>
      <c r="O16" s="103"/>
      <c r="P16" s="179"/>
      <c r="Q16" s="103"/>
      <c r="R16" s="103"/>
      <c r="S16" s="103"/>
      <c r="T16" s="103"/>
    </row>
    <row r="17" spans="1:20" x14ac:dyDescent="0.25">
      <c r="A17" t="s">
        <v>100</v>
      </c>
      <c r="E17" s="11">
        <f>Pricing!E14</f>
        <v>1282800</v>
      </c>
      <c r="F17" s="205">
        <v>0</v>
      </c>
      <c r="J17" s="7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1:20" x14ac:dyDescent="0.25">
      <c r="A18" t="s">
        <v>68</v>
      </c>
      <c r="E18" s="11">
        <f>Pricing!E15</f>
        <v>18000000</v>
      </c>
      <c r="F18" s="205">
        <v>0</v>
      </c>
      <c r="L18" s="103"/>
      <c r="M18" s="103"/>
      <c r="N18" s="181"/>
      <c r="O18" s="103"/>
      <c r="P18" s="103"/>
      <c r="Q18" s="103"/>
      <c r="R18" s="103"/>
      <c r="S18" s="181"/>
      <c r="T18" s="103"/>
    </row>
    <row r="19" spans="1:20" x14ac:dyDescent="0.25">
      <c r="E19" s="5"/>
      <c r="F19" s="205"/>
      <c r="L19" s="103"/>
      <c r="M19" s="103"/>
      <c r="N19" s="181"/>
      <c r="O19" s="103"/>
      <c r="P19" s="103"/>
      <c r="Q19" s="103"/>
      <c r="R19" s="103"/>
      <c r="S19" s="181"/>
      <c r="T19" s="103"/>
    </row>
    <row r="20" spans="1:20" x14ac:dyDescent="0.25">
      <c r="A20" t="s">
        <v>69</v>
      </c>
      <c r="E20" s="11">
        <f>Pricing!E17</f>
        <v>19282800</v>
      </c>
      <c r="F20" s="205">
        <v>0</v>
      </c>
      <c r="L20" s="182"/>
      <c r="M20" s="103"/>
      <c r="N20" s="181"/>
      <c r="O20" s="103"/>
      <c r="P20" s="103"/>
      <c r="Q20" s="103"/>
      <c r="R20" s="103"/>
      <c r="S20" s="103"/>
      <c r="T20" s="103"/>
    </row>
    <row r="21" spans="1:20" x14ac:dyDescent="0.25">
      <c r="E21" s="205"/>
      <c r="F21" s="205"/>
      <c r="L21" s="103"/>
      <c r="M21" s="103"/>
      <c r="N21" s="181"/>
      <c r="O21" s="103"/>
      <c r="P21" s="103"/>
      <c r="Q21" s="103"/>
      <c r="R21" s="103"/>
      <c r="S21" s="103"/>
      <c r="T21" s="103"/>
    </row>
    <row r="22" spans="1:20" x14ac:dyDescent="0.25">
      <c r="A22" t="s">
        <v>70</v>
      </c>
      <c r="C22" s="19">
        <v>0.92</v>
      </c>
      <c r="E22" s="11">
        <f>Pricing!E15</f>
        <v>18000000</v>
      </c>
      <c r="F22" s="205">
        <v>0</v>
      </c>
      <c r="J22" s="7"/>
      <c r="L22" s="182"/>
      <c r="M22" s="103"/>
      <c r="N22" s="181"/>
      <c r="O22" s="103"/>
      <c r="P22" s="103"/>
      <c r="Q22" s="103"/>
      <c r="R22" s="103"/>
      <c r="S22" s="103"/>
      <c r="T22" s="103"/>
    </row>
    <row r="23" spans="1:20" x14ac:dyDescent="0.25">
      <c r="L23" s="103"/>
      <c r="M23" s="103"/>
      <c r="N23" s="181"/>
      <c r="O23" s="103"/>
      <c r="P23" s="103"/>
      <c r="Q23" s="103"/>
      <c r="R23" s="103"/>
      <c r="S23" s="181"/>
      <c r="T23" s="103"/>
    </row>
    <row r="24" spans="1:20" x14ac:dyDescent="0.25">
      <c r="A24" t="s">
        <v>64</v>
      </c>
      <c r="L24" s="182"/>
      <c r="M24" s="103"/>
      <c r="N24" s="181"/>
      <c r="O24" s="103"/>
      <c r="P24" s="103"/>
      <c r="Q24" s="103"/>
      <c r="R24" s="103"/>
      <c r="S24" s="103"/>
      <c r="T24" s="103"/>
    </row>
    <row r="25" spans="1:20" x14ac:dyDescent="0.25">
      <c r="L25" s="103"/>
      <c r="M25" s="103"/>
      <c r="N25" s="181"/>
      <c r="O25" s="103"/>
      <c r="P25" s="103"/>
      <c r="Q25" s="103"/>
      <c r="R25" s="103"/>
      <c r="S25" s="183"/>
      <c r="T25" s="103"/>
    </row>
    <row r="26" spans="1:20" x14ac:dyDescent="0.25">
      <c r="B26" t="s">
        <v>81</v>
      </c>
      <c r="E26" s="11">
        <f>Pricing!E35</f>
        <v>12282475</v>
      </c>
      <c r="L26" s="182"/>
      <c r="M26" s="103"/>
      <c r="N26" s="181"/>
      <c r="O26" s="103"/>
      <c r="P26" s="103"/>
      <c r="Q26" s="103"/>
      <c r="R26" s="103"/>
      <c r="S26" s="103"/>
      <c r="T26" s="103"/>
    </row>
    <row r="27" spans="1:20" x14ac:dyDescent="0.25">
      <c r="B27" t="s">
        <v>65</v>
      </c>
      <c r="E27" s="9">
        <f>Pricing!E36</f>
        <v>0.625</v>
      </c>
      <c r="L27" s="103"/>
      <c r="M27" s="103"/>
      <c r="N27" s="181"/>
      <c r="O27" s="103"/>
      <c r="P27" s="179"/>
      <c r="Q27" s="103"/>
      <c r="R27" s="103"/>
      <c r="S27" s="171"/>
      <c r="T27" s="103"/>
    </row>
    <row r="28" spans="1:20" x14ac:dyDescent="0.25">
      <c r="B28" t="s">
        <v>66</v>
      </c>
      <c r="E28" s="9">
        <f>Pricing!E37</f>
        <v>4.9250000000000002E-2</v>
      </c>
      <c r="L28" s="103"/>
      <c r="M28" s="103"/>
      <c r="N28" s="181"/>
      <c r="O28" s="103"/>
      <c r="P28" s="103"/>
      <c r="Q28" s="103"/>
      <c r="R28" s="103"/>
      <c r="S28" s="103"/>
      <c r="T28" s="103"/>
    </row>
    <row r="29" spans="1:20" x14ac:dyDescent="0.25">
      <c r="B29" t="s">
        <v>67</v>
      </c>
      <c r="E29" s="11">
        <f>Pricing!E38</f>
        <v>30</v>
      </c>
      <c r="L29" s="103"/>
      <c r="M29" s="103"/>
      <c r="N29" s="181"/>
      <c r="O29" s="103"/>
      <c r="P29" s="103"/>
      <c r="Q29" s="103"/>
      <c r="R29" s="103"/>
      <c r="S29" s="103"/>
      <c r="T29" s="103"/>
    </row>
    <row r="30" spans="1:20" x14ac:dyDescent="0.25">
      <c r="B30" t="s">
        <v>85</v>
      </c>
      <c r="E30" s="11">
        <f>Pricing!E39</f>
        <v>792174.75888169068</v>
      </c>
      <c r="L30" s="179"/>
      <c r="M30" s="179"/>
      <c r="N30" s="184"/>
      <c r="O30" s="103"/>
      <c r="P30" s="103"/>
      <c r="Q30" s="103"/>
      <c r="R30" s="103"/>
      <c r="S30" s="103"/>
      <c r="T30" s="103"/>
    </row>
    <row r="31" spans="1:20" x14ac:dyDescent="0.25">
      <c r="E31" s="5"/>
      <c r="L31" s="103"/>
      <c r="M31" s="103"/>
      <c r="N31" s="103"/>
      <c r="O31" s="103"/>
      <c r="P31" s="103"/>
      <c r="Q31" s="103"/>
      <c r="R31" s="103"/>
      <c r="S31" s="103"/>
      <c r="T31" s="103"/>
    </row>
    <row r="33" spans="1:15" x14ac:dyDescent="0.25">
      <c r="A33" t="s">
        <v>76</v>
      </c>
      <c r="E33" s="6">
        <f>Pricing!E17-Pricing!E35</f>
        <v>7000325</v>
      </c>
    </row>
    <row r="35" spans="1:15" x14ac:dyDescent="0.25">
      <c r="D35" s="1068" t="s">
        <v>42</v>
      </c>
      <c r="E35" s="1068"/>
      <c r="F35" s="1068"/>
      <c r="G35" s="1068"/>
      <c r="H35" s="1068"/>
      <c r="I35" s="1068"/>
      <c r="J35" s="1068"/>
      <c r="K35" s="1068"/>
      <c r="L35" s="1068"/>
      <c r="M35" s="1068"/>
      <c r="N35" s="1068"/>
      <c r="O35" s="1068"/>
    </row>
    <row r="36" spans="1:15" x14ac:dyDescent="0.25">
      <c r="D36" s="1068" t="s">
        <v>30</v>
      </c>
      <c r="E36" s="1068"/>
      <c r="F36" s="1068" t="s">
        <v>31</v>
      </c>
      <c r="G36" s="1068"/>
      <c r="H36" s="1068" t="s">
        <v>32</v>
      </c>
      <c r="I36" s="1068"/>
      <c r="J36" s="1068" t="s">
        <v>33</v>
      </c>
      <c r="K36" s="1068"/>
      <c r="L36" s="1068" t="s">
        <v>34</v>
      </c>
      <c r="M36" s="1068"/>
      <c r="N36" s="1068" t="s">
        <v>35</v>
      </c>
      <c r="O36" s="1068"/>
    </row>
    <row r="37" spans="1:15" x14ac:dyDescent="0.25"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</row>
    <row r="38" spans="1:15" x14ac:dyDescent="0.25">
      <c r="A38" s="174">
        <v>-0.20404950355952534</v>
      </c>
      <c r="B38" t="s">
        <v>77</v>
      </c>
      <c r="D38" s="1271">
        <f>Pricing!D53</f>
        <v>1769772.6920539676</v>
      </c>
      <c r="E38" s="1271"/>
      <c r="F38" s="1271">
        <f>Pricing!F53</f>
        <v>1802642.1798338387</v>
      </c>
      <c r="G38" s="1271"/>
      <c r="H38" s="1271">
        <f>Pricing!H53</f>
        <v>1836108.3918475548</v>
      </c>
      <c r="I38" s="1271"/>
      <c r="J38" s="1271">
        <f>Pricing!J53</f>
        <v>1870181.4595302851</v>
      </c>
      <c r="K38" s="1271"/>
      <c r="L38" s="1271">
        <f>Pricing!L53</f>
        <v>1884529.0267921994</v>
      </c>
      <c r="M38" s="1271"/>
      <c r="N38" s="1271">
        <f>SUM(D38:M38)/5</f>
        <v>1832646.7500115694</v>
      </c>
      <c r="O38" s="1271"/>
    </row>
    <row r="39" spans="1:15" x14ac:dyDescent="0.25"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1271"/>
      <c r="O39" s="1271"/>
    </row>
    <row r="40" spans="1:15" x14ac:dyDescent="0.25">
      <c r="B40" t="s">
        <v>93</v>
      </c>
      <c r="D40" s="1271">
        <f>Pricing!D55</f>
        <v>1164860.7983039676</v>
      </c>
      <c r="E40" s="1271"/>
      <c r="F40" s="1271">
        <f>Pricing!F55</f>
        <v>1206952.9821915743</v>
      </c>
      <c r="G40" s="1271"/>
      <c r="H40" s="1271">
        <f>Pricing!H55</f>
        <v>1250096.1080963323</v>
      </c>
      <c r="I40" s="1271"/>
      <c r="J40" s="1271">
        <f>Pricing!J55</f>
        <v>1294322.6776792379</v>
      </c>
      <c r="K40" s="1271"/>
      <c r="L40" s="1271">
        <f>Pricing!L55</f>
        <v>1319323.8068099115</v>
      </c>
      <c r="M40" s="1271"/>
      <c r="N40" s="1271">
        <f>SUM(D40:M40)/5</f>
        <v>1247111.2746162047</v>
      </c>
      <c r="O40" s="1271"/>
    </row>
    <row r="41" spans="1:15" x14ac:dyDescent="0.25"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</row>
    <row r="42" spans="1:15" x14ac:dyDescent="0.25">
      <c r="B42" t="s">
        <v>78</v>
      </c>
      <c r="D42" s="1271">
        <f>Pricing!D57</f>
        <v>1071229.3657381223</v>
      </c>
      <c r="E42" s="1271"/>
      <c r="F42" s="1271">
        <f>Pricing!F57</f>
        <v>1010467.4209521479</v>
      </c>
      <c r="G42" s="1271"/>
      <c r="H42" s="1271">
        <f>Pricing!H57</f>
        <v>1043933.6329658641</v>
      </c>
      <c r="I42" s="1271"/>
      <c r="J42" s="1271">
        <f>Pricing!J57</f>
        <v>1078006.7006485942</v>
      </c>
      <c r="K42" s="1271"/>
      <c r="L42" s="1271">
        <f>Pricing!L57</f>
        <v>1092354.2679105087</v>
      </c>
      <c r="M42" s="1271"/>
      <c r="N42" s="1271">
        <f>SUM(D42:M42)/5</f>
        <v>1059198.2776430473</v>
      </c>
      <c r="O42" s="1271"/>
    </row>
    <row r="43" spans="1:15" x14ac:dyDescent="0.25"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</row>
    <row r="44" spans="1:15" s="7" customFormat="1" x14ac:dyDescent="0.25">
      <c r="B44" s="7" t="s">
        <v>82</v>
      </c>
      <c r="D44" s="1271">
        <f>Pricing!D59</f>
        <v>0.15302566177114951</v>
      </c>
      <c r="E44" s="1271"/>
      <c r="F44" s="1271">
        <f>Pricing!F59</f>
        <v>0.1443457869387704</v>
      </c>
      <c r="G44" s="1271"/>
      <c r="H44" s="1271">
        <f>Pricing!H59</f>
        <v>0.14912645240983299</v>
      </c>
      <c r="I44" s="1271"/>
      <c r="J44" s="1271">
        <f>Pricing!J59</f>
        <v>0.1539938075230213</v>
      </c>
      <c r="K44" s="1271"/>
      <c r="L44" s="1271">
        <f>Pricing!L59</f>
        <v>0.15604336483099124</v>
      </c>
      <c r="M44" s="1271"/>
      <c r="N44" s="1271">
        <f>Pricing!N59</f>
        <v>0.15130701469475311</v>
      </c>
      <c r="O44" s="1271"/>
    </row>
    <row r="45" spans="1:15" s="7" customFormat="1" x14ac:dyDescent="0.25"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</row>
    <row r="46" spans="1:15" s="7" customFormat="1" x14ac:dyDescent="0.25">
      <c r="B46" s="7" t="s">
        <v>83</v>
      </c>
      <c r="D46" s="1271">
        <f>Pricing!D61</f>
        <v>0.16640095971315155</v>
      </c>
      <c r="E46" s="1271"/>
      <c r="F46" s="1271">
        <f>Pricing!F61</f>
        <v>0.17241384967006165</v>
      </c>
      <c r="G46" s="1271"/>
      <c r="H46" s="1271">
        <f>Pricing!H61</f>
        <v>0.17857686723064034</v>
      </c>
      <c r="I46" s="1271"/>
      <c r="J46" s="1271">
        <f>Pricing!J61</f>
        <v>0.18489465527375343</v>
      </c>
      <c r="K46" s="1271"/>
      <c r="L46" s="1271">
        <f>Pricing!L61</f>
        <v>0.18846607933344689</v>
      </c>
      <c r="M46" s="1271"/>
      <c r="N46" s="1271">
        <f>Pricing!N61</f>
        <v>0.17815048224421076</v>
      </c>
      <c r="O46" s="1271"/>
    </row>
    <row r="47" spans="1:15" x14ac:dyDescent="0.25"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</row>
    <row r="48" spans="1:15" x14ac:dyDescent="0.25">
      <c r="A48" s="173">
        <v>0.08</v>
      </c>
      <c r="B48" t="s">
        <v>73</v>
      </c>
      <c r="D48" s="1271">
        <f>+D38/$A48</f>
        <v>22122158.650674596</v>
      </c>
      <c r="E48" s="1271"/>
      <c r="F48" s="1271">
        <f>+F38/$A48</f>
        <v>22533027.247922983</v>
      </c>
      <c r="G48" s="1271"/>
      <c r="H48" s="1271">
        <f>+H38/$A48</f>
        <v>22951354.898094434</v>
      </c>
      <c r="I48" s="1271"/>
      <c r="J48" s="1271">
        <f>+J38/$A48</f>
        <v>23377268.244128563</v>
      </c>
      <c r="K48" s="1271"/>
      <c r="L48" s="1271">
        <f>+L38/$A48</f>
        <v>23556612.834902491</v>
      </c>
      <c r="M48" s="1271"/>
      <c r="N48" s="1115">
        <f>SUM(D48:M48)/5</f>
        <v>22908084.375144612</v>
      </c>
      <c r="O48" s="1115"/>
    </row>
    <row r="49" spans="1:15" x14ac:dyDescent="0.25"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</row>
    <row r="50" spans="1:15" x14ac:dyDescent="0.25">
      <c r="A50" s="20">
        <v>0.03</v>
      </c>
      <c r="B50" t="s">
        <v>74</v>
      </c>
      <c r="D50" s="1271">
        <f>+D48*$A50</f>
        <v>663664.75952023792</v>
      </c>
      <c r="E50" s="1271"/>
      <c r="F50" s="1271">
        <f>+F48*$A50</f>
        <v>675990.81743768952</v>
      </c>
      <c r="G50" s="1271"/>
      <c r="H50" s="1271">
        <f>+H48*$A50</f>
        <v>688540.64694283297</v>
      </c>
      <c r="I50" s="1271"/>
      <c r="J50" s="1271">
        <f>+J48*$A50</f>
        <v>701318.04732385685</v>
      </c>
      <c r="K50" s="1271"/>
      <c r="L50" s="1271">
        <f>+L48*$A50</f>
        <v>706698.38504707476</v>
      </c>
      <c r="M50" s="1271"/>
      <c r="N50" s="1115">
        <f>SUM(D50:M50)/5</f>
        <v>687242.53125433845</v>
      </c>
      <c r="O50" s="1115"/>
    </row>
    <row r="51" spans="1:15" x14ac:dyDescent="0.25">
      <c r="A51" s="20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</row>
    <row r="52" spans="1:15" s="5" customFormat="1" x14ac:dyDescent="0.25">
      <c r="A52" s="30"/>
      <c r="B52" s="5" t="s">
        <v>84</v>
      </c>
      <c r="D52" s="1271">
        <f>Pricing!D67</f>
        <v>93631.432565845302</v>
      </c>
      <c r="E52" s="1271"/>
      <c r="F52" s="1271">
        <f>Pricing!F67</f>
        <v>290116.99380527163</v>
      </c>
      <c r="G52" s="1271"/>
      <c r="H52" s="1271">
        <f>Pricing!H67</f>
        <v>496279.46893573977</v>
      </c>
      <c r="I52" s="1271"/>
      <c r="J52" s="1271">
        <f>Pricing!J67</f>
        <v>712595.44596638344</v>
      </c>
      <c r="K52" s="1271"/>
      <c r="L52" s="1271">
        <f>Pricing!L67</f>
        <v>939564.98486578627</v>
      </c>
      <c r="M52" s="1271"/>
      <c r="N52" s="1115">
        <f>SUM(D52:M52)/5</f>
        <v>506437.66522780526</v>
      </c>
      <c r="O52" s="1115"/>
    </row>
    <row r="53" spans="1:15" x14ac:dyDescent="0.25"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</row>
    <row r="54" spans="1:15" s="205" customFormat="1" x14ac:dyDescent="0.25">
      <c r="B54" s="205" t="s">
        <v>75</v>
      </c>
      <c r="D54" s="1271">
        <f>D48-$E20-D50+D52</f>
        <v>2269325.3237202037</v>
      </c>
      <c r="E54" s="1271"/>
      <c r="F54" s="1271">
        <f>F48-$E20-F50+F52</f>
        <v>2864353.4242905648</v>
      </c>
      <c r="G54" s="1271"/>
      <c r="H54" s="1271">
        <f>H48-$E20-H50+H52</f>
        <v>3476293.720087341</v>
      </c>
      <c r="I54" s="1271"/>
      <c r="J54" s="1271">
        <f>J48-$E20-J50+J52</f>
        <v>4105745.642771089</v>
      </c>
      <c r="K54" s="1271"/>
      <c r="L54" s="1271">
        <f>L48-$E20-L50+L52</f>
        <v>4506679.4347212026</v>
      </c>
      <c r="M54" s="1271"/>
      <c r="N54" s="1115">
        <f>SUM(D54:M54)/5</f>
        <v>3444479.5091180801</v>
      </c>
      <c r="O54" s="1115"/>
    </row>
    <row r="55" spans="1:15" x14ac:dyDescent="0.25"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</row>
    <row r="56" spans="1:15" s="7" customFormat="1" x14ac:dyDescent="0.25">
      <c r="B56" s="7" t="s">
        <v>117</v>
      </c>
      <c r="D56" s="1284">
        <f>+D54/Pricing!$E43</f>
        <v>0.32417428101126788</v>
      </c>
      <c r="E56" s="1283"/>
      <c r="F56" s="1284">
        <f>+F54/Pricing!$E43</f>
        <v>0.40917434894673671</v>
      </c>
      <c r="G56" s="1283"/>
      <c r="H56" s="1284">
        <f>+H54/Pricing!$E43</f>
        <v>0.49659033260417779</v>
      </c>
      <c r="I56" s="1283"/>
      <c r="J56" s="1284">
        <f>+J54/Pricing!$E43</f>
        <v>0.58650786110231867</v>
      </c>
      <c r="K56" s="1283"/>
      <c r="L56" s="1284">
        <f>+L54/Pricing!$E43</f>
        <v>0.64378145796390918</v>
      </c>
      <c r="M56" s="1283"/>
      <c r="N56" s="1283">
        <f>+N54/$E33</f>
        <v>0.49204565632568203</v>
      </c>
      <c r="O56" s="1283"/>
    </row>
    <row r="58" spans="1:15" x14ac:dyDescent="0.25">
      <c r="A58" t="s">
        <v>303</v>
      </c>
      <c r="E58" s="5">
        <f>(D38/(ProForma!S73+ProForma!S80))</f>
        <v>2.5335188604375376</v>
      </c>
      <c r="G58" s="5">
        <f>(F38/(ProForma!U73+ProForma!U80))</f>
        <v>2.2755612440601114</v>
      </c>
      <c r="I58" s="5">
        <f>(H38/(ProForma!W73+ProForma!W80))</f>
        <v>2.3178072404624204</v>
      </c>
      <c r="K58" s="5">
        <f>(J38/(ProForma!Y73+ProForma!Y80))</f>
        <v>2.3608192997343305</v>
      </c>
      <c r="M58" s="5">
        <f>(L38/(ProForma!AA73+ProForma!AA80))</f>
        <v>2.3789309185419896</v>
      </c>
    </row>
    <row r="59" spans="1:15" x14ac:dyDescent="0.25">
      <c r="A59" t="s">
        <v>304</v>
      </c>
      <c r="E59" s="207">
        <f>(D38+ProForma!S67)/(ProForma!S73+ProForma!S80)</f>
        <v>2.7742497819088277</v>
      </c>
      <c r="G59" s="207">
        <f>(F38+ProForma!U67)/(ProForma!U73+ProForma!U80)</f>
        <v>2.4920221546134678</v>
      </c>
      <c r="I59" s="207">
        <f>(H38+ProForma!W67)/(ProForma!W73+ProForma!W80)</f>
        <v>2.5385346827596655</v>
      </c>
      <c r="K59" s="207">
        <f>(J38+ProForma!Y67)/(ProForma!Y73+ProForma!Y80)</f>
        <v>2.5858981877379339</v>
      </c>
      <c r="M59" s="207">
        <f>(L38+ProForma!AA67)/(ProForma!AA73+ProForma!AA80)</f>
        <v>2.6061754195418128</v>
      </c>
    </row>
    <row r="60" spans="1:15" x14ac:dyDescent="0.25">
      <c r="A60" t="s">
        <v>305</v>
      </c>
      <c r="E60" s="207">
        <f>(D38+ProForma!S67)/ProForma!S73</f>
        <v>3.2036626998220612</v>
      </c>
      <c r="G60" s="207">
        <f>(F38+ProForma!U67)/ProForma!U73</f>
        <v>3.3140051175550997</v>
      </c>
      <c r="I60" s="207">
        <f>(H38+ProForma!W67)/ProForma!W73</f>
        <v>3.4316057120086811</v>
      </c>
      <c r="K60" s="207">
        <f>(J38+ProForma!Y67)/ProForma!Y73</f>
        <v>3.5572667083051694</v>
      </c>
      <c r="M60" s="207">
        <f>(L38+ProForma!AA67)/ProForma!AA73</f>
        <v>3.6527376457061429</v>
      </c>
    </row>
    <row r="61" spans="1:15" x14ac:dyDescent="0.25">
      <c r="A61" s="11"/>
    </row>
    <row r="62" spans="1:15" x14ac:dyDescent="0.25">
      <c r="A62" s="11"/>
      <c r="M62" s="28"/>
    </row>
    <row r="63" spans="1:15" outlineLevel="1" x14ac:dyDescent="0.25">
      <c r="A63" s="11" t="s">
        <v>102</v>
      </c>
    </row>
    <row r="64" spans="1:15" outlineLevel="1" x14ac:dyDescent="0.25">
      <c r="A64" s="11"/>
    </row>
    <row r="65" spans="1:15" outlineLevel="1" x14ac:dyDescent="0.25">
      <c r="A65" s="11"/>
      <c r="B65" t="s">
        <v>103</v>
      </c>
      <c r="D65" s="1271">
        <f>L48</f>
        <v>23556612.834902491</v>
      </c>
      <c r="E65" s="1271"/>
    </row>
    <row r="66" spans="1:15" outlineLevel="1" x14ac:dyDescent="0.25">
      <c r="A66" s="11"/>
      <c r="B66" t="s">
        <v>104</v>
      </c>
      <c r="D66" s="1271">
        <f>-L50</f>
        <v>-706698.38504707476</v>
      </c>
      <c r="E66" s="1271"/>
    </row>
    <row r="67" spans="1:15" outlineLevel="1" x14ac:dyDescent="0.25">
      <c r="A67" s="11"/>
      <c r="B67" t="s">
        <v>109</v>
      </c>
      <c r="D67" s="1271">
        <f>+D65+D66</f>
        <v>22849914.449855417</v>
      </c>
      <c r="E67" s="1271"/>
    </row>
    <row r="68" spans="1:15" outlineLevel="1" x14ac:dyDescent="0.25">
      <c r="A68" s="11"/>
      <c r="D68" s="204"/>
      <c r="E68" s="202"/>
    </row>
    <row r="69" spans="1:15" outlineLevel="1" x14ac:dyDescent="0.25">
      <c r="A69" s="11"/>
      <c r="B69" t="s">
        <v>105</v>
      </c>
      <c r="D69" s="1053">
        <f>-E26+L52</f>
        <v>-11342910.015134213</v>
      </c>
      <c r="E69" s="1053"/>
    </row>
    <row r="70" spans="1:15" outlineLevel="1" x14ac:dyDescent="0.25">
      <c r="A70" s="11"/>
      <c r="B70" t="s">
        <v>106</v>
      </c>
      <c r="D70" s="1271">
        <f>SUM(D67:E69)</f>
        <v>11507004.434721204</v>
      </c>
      <c r="E70" s="1271"/>
    </row>
    <row r="71" spans="1:15" outlineLevel="1" x14ac:dyDescent="0.25">
      <c r="A71" s="11"/>
    </row>
    <row r="72" spans="1:15" outlineLevel="1" x14ac:dyDescent="0.25">
      <c r="A72" s="11"/>
      <c r="B72" t="s">
        <v>107</v>
      </c>
      <c r="D72" s="1271">
        <f>E33</f>
        <v>7000325</v>
      </c>
      <c r="E72" s="1271"/>
    </row>
    <row r="73" spans="1:15" outlineLevel="1" x14ac:dyDescent="0.25">
      <c r="A73" s="11"/>
    </row>
    <row r="74" spans="1:15" outlineLevel="1" x14ac:dyDescent="0.25">
      <c r="A74" s="11"/>
      <c r="B74" t="s">
        <v>108</v>
      </c>
      <c r="E74" s="28">
        <f>D70-D72</f>
        <v>4506679.4347212035</v>
      </c>
    </row>
    <row r="75" spans="1:15" outlineLevel="1" x14ac:dyDescent="0.25">
      <c r="A75" s="11"/>
      <c r="D75" s="1272"/>
      <c r="E75" s="1272"/>
    </row>
    <row r="76" spans="1:15" outlineLevel="1" x14ac:dyDescent="0.25">
      <c r="A76" s="11"/>
      <c r="B76" t="s">
        <v>110</v>
      </c>
      <c r="E76" s="37">
        <f>E74/D72</f>
        <v>0.64378145796390929</v>
      </c>
    </row>
    <row r="77" spans="1:15" outlineLevel="1" x14ac:dyDescent="0.25">
      <c r="A77" s="11"/>
    </row>
    <row r="78" spans="1:15" ht="18.75" x14ac:dyDescent="0.3">
      <c r="A78" s="217" t="s">
        <v>306</v>
      </c>
      <c r="B78" s="217"/>
      <c r="C78" s="217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</row>
    <row r="80" spans="1:15" x14ac:dyDescent="0.25">
      <c r="B80" s="11" t="s">
        <v>307</v>
      </c>
      <c r="E80" s="37"/>
    </row>
    <row r="81" spans="2:5" x14ac:dyDescent="0.25">
      <c r="B81" s="11"/>
      <c r="C81" t="s">
        <v>308</v>
      </c>
      <c r="E81" s="37">
        <f>ProForma!T28+ProForma!T36+ProForma!T39</f>
        <v>0.39231932214111875</v>
      </c>
    </row>
    <row r="82" spans="2:5" x14ac:dyDescent="0.25">
      <c r="B82" s="11"/>
      <c r="C82" t="s">
        <v>309</v>
      </c>
      <c r="E82" s="37">
        <f>1-E81</f>
        <v>0.60768067785888125</v>
      </c>
    </row>
    <row r="83" spans="2:5" x14ac:dyDescent="0.25">
      <c r="B83" s="11"/>
      <c r="C83" t="s">
        <v>310</v>
      </c>
      <c r="E83" s="205" t="e">
        <f>ProForma!S33+ProForma!S35+ProForma!S37+ProForma!S38+ProForma!S64+ProForma!S65+ProForma!S66+ProForma!S73+ProForma!S74+ProForma!S76+ProForma!#REF!+ProForma!S80+ProForma!S81</f>
        <v>#REF!</v>
      </c>
    </row>
    <row r="84" spans="2:5" x14ac:dyDescent="0.25">
      <c r="B84" s="11"/>
      <c r="C84" t="s">
        <v>311</v>
      </c>
      <c r="E84" s="6" t="e">
        <f>E83/E82</f>
        <v>#REF!</v>
      </c>
    </row>
    <row r="85" spans="2:5" x14ac:dyDescent="0.25">
      <c r="B85" s="11"/>
      <c r="C85" t="s">
        <v>312</v>
      </c>
      <c r="E85" s="191" t="e">
        <f>E84/ProForma!P20</f>
        <v>#REF!</v>
      </c>
    </row>
    <row r="86" spans="2:5" x14ac:dyDescent="0.25">
      <c r="B86" s="11"/>
      <c r="C86" t="s">
        <v>313</v>
      </c>
      <c r="E86" s="191" t="e">
        <f>E84/ProForma!S20</f>
        <v>#REF!</v>
      </c>
    </row>
    <row r="87" spans="2:5" x14ac:dyDescent="0.25">
      <c r="B87" s="11"/>
    </row>
    <row r="88" spans="2:5" x14ac:dyDescent="0.25">
      <c r="B88" s="11" t="s">
        <v>314</v>
      </c>
      <c r="E88" s="218"/>
    </row>
    <row r="89" spans="2:5" x14ac:dyDescent="0.25">
      <c r="B89" s="11"/>
      <c r="E89" s="11"/>
    </row>
    <row r="90" spans="2:5" x14ac:dyDescent="0.25">
      <c r="B90" s="11" t="s">
        <v>315</v>
      </c>
      <c r="E90" s="166">
        <f>E30*1.25</f>
        <v>990218.44860211341</v>
      </c>
    </row>
    <row r="91" spans="2:5" x14ac:dyDescent="0.25">
      <c r="E91" s="11"/>
    </row>
    <row r="92" spans="2:5" x14ac:dyDescent="0.25">
      <c r="B92" s="11" t="s">
        <v>316</v>
      </c>
      <c r="E92" s="218"/>
    </row>
  </sheetData>
  <customSheetViews>
    <customSheetView guid="{BBA80CC4-398C-41FE-99C8-A75F96D5CA58}" scale="70" fitToPage="1" hiddenRows="1" topLeftCell="A10">
      <selection activeCell="D57" sqref="D57"/>
      <pageMargins left="0.7" right="0.7" top="0.75" bottom="0.75" header="0.3" footer="0.3"/>
      <pageSetup scale="39" orientation="landscape"/>
    </customSheetView>
    <customSheetView guid="{03C358DA-88A4-4E12-84B7-BB4E50E89831}" scale="70" fitToPage="1" hiddenRows="1" topLeftCell="A10">
      <selection activeCell="D57" sqref="D57"/>
      <pageMargins left="0.7" right="0.7" top="0.75" bottom="0.75" header="0.3" footer="0.3"/>
      <pageSetup scale="39" orientation="landscape"/>
    </customSheetView>
  </customSheetViews>
  <mergeCells count="76">
    <mergeCell ref="D69:E69"/>
    <mergeCell ref="D70:E70"/>
    <mergeCell ref="D72:E72"/>
    <mergeCell ref="D75:E75"/>
    <mergeCell ref="N56:O56"/>
    <mergeCell ref="D56:E56"/>
    <mergeCell ref="F56:G56"/>
    <mergeCell ref="H56:I56"/>
    <mergeCell ref="J56:K56"/>
    <mergeCell ref="L56:M56"/>
    <mergeCell ref="D65:E65"/>
    <mergeCell ref="D66:E66"/>
    <mergeCell ref="D67:E67"/>
    <mergeCell ref="N54:O54"/>
    <mergeCell ref="D52:E52"/>
    <mergeCell ref="F52:G52"/>
    <mergeCell ref="H52:I52"/>
    <mergeCell ref="J52:K52"/>
    <mergeCell ref="L52:M52"/>
    <mergeCell ref="N52:O52"/>
    <mergeCell ref="D54:E54"/>
    <mergeCell ref="F54:G54"/>
    <mergeCell ref="H54:I54"/>
    <mergeCell ref="J54:K54"/>
    <mergeCell ref="L54:M54"/>
    <mergeCell ref="D46:E46"/>
    <mergeCell ref="F46:G46"/>
    <mergeCell ref="N50:O50"/>
    <mergeCell ref="D50:E50"/>
    <mergeCell ref="F50:G50"/>
    <mergeCell ref="H50:I50"/>
    <mergeCell ref="J50:K50"/>
    <mergeCell ref="L50:M50"/>
    <mergeCell ref="D48:E48"/>
    <mergeCell ref="F48:G48"/>
    <mergeCell ref="H48:I48"/>
    <mergeCell ref="J48:K48"/>
    <mergeCell ref="L48:M48"/>
    <mergeCell ref="N48:O48"/>
    <mergeCell ref="H46:I46"/>
    <mergeCell ref="J46:K46"/>
    <mergeCell ref="D44:E44"/>
    <mergeCell ref="F44:G44"/>
    <mergeCell ref="H44:I44"/>
    <mergeCell ref="J44:K44"/>
    <mergeCell ref="L44:M44"/>
    <mergeCell ref="L46:M46"/>
    <mergeCell ref="N42:O42"/>
    <mergeCell ref="N46:O46"/>
    <mergeCell ref="N44:O44"/>
    <mergeCell ref="N39:O39"/>
    <mergeCell ref="H40:I40"/>
    <mergeCell ref="J40:K40"/>
    <mergeCell ref="L40:M40"/>
    <mergeCell ref="D38:E38"/>
    <mergeCell ref="N40:O40"/>
    <mergeCell ref="D40:E40"/>
    <mergeCell ref="F40:G40"/>
    <mergeCell ref="F38:G38"/>
    <mergeCell ref="H38:I38"/>
    <mergeCell ref="J38:K38"/>
    <mergeCell ref="L38:M38"/>
    <mergeCell ref="N38:O38"/>
    <mergeCell ref="D42:E42"/>
    <mergeCell ref="F42:G42"/>
    <mergeCell ref="H42:I42"/>
    <mergeCell ref="J42:K42"/>
    <mergeCell ref="L42:M42"/>
    <mergeCell ref="A4:B4"/>
    <mergeCell ref="D35:O35"/>
    <mergeCell ref="D36:E36"/>
    <mergeCell ref="F36:G36"/>
    <mergeCell ref="H36:I36"/>
    <mergeCell ref="J36:K36"/>
    <mergeCell ref="L36:M36"/>
    <mergeCell ref="N36:O36"/>
  </mergeCells>
  <pageMargins left="0.7" right="0.7" top="0.75" bottom="0.75" header="0.3" footer="0.3"/>
  <pageSetup scale="39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6600"/>
    <pageSetUpPr fitToPage="1"/>
  </sheetPr>
  <dimension ref="A1:CC281"/>
  <sheetViews>
    <sheetView topLeftCell="A64" zoomScale="125" zoomScaleNormal="125" zoomScalePageLayoutView="125" workbookViewId="0">
      <selection activeCell="H71" sqref="H71:I71"/>
    </sheetView>
  </sheetViews>
  <sheetFormatPr defaultColWidth="9.140625" defaultRowHeight="15" x14ac:dyDescent="0.25"/>
  <cols>
    <col min="1" max="1" width="2" style="427" customWidth="1"/>
    <col min="2" max="2" width="2.42578125" style="427" customWidth="1"/>
    <col min="3" max="3" width="18.7109375" style="427" customWidth="1"/>
    <col min="4" max="4" width="1" style="427" customWidth="1"/>
    <col min="5" max="5" width="11.42578125" style="427" customWidth="1"/>
    <col min="6" max="6" width="19.7109375" style="427" customWidth="1"/>
    <col min="7" max="7" width="1" style="427" customWidth="1"/>
    <col min="8" max="8" width="11.7109375" style="427" customWidth="1"/>
    <col min="9" max="9" width="20" style="427" customWidth="1"/>
    <col min="10" max="10" width="1" style="427" customWidth="1"/>
    <col min="11" max="11" width="11.42578125" style="427" customWidth="1"/>
    <col min="12" max="12" width="20" style="427" customWidth="1"/>
    <col min="13" max="13" width="1" style="427" customWidth="1"/>
    <col min="14" max="14" width="11.42578125" style="427" customWidth="1"/>
    <col min="15" max="15" width="20" style="427" customWidth="1"/>
    <col min="16" max="16" width="1" style="427" customWidth="1"/>
    <col min="17" max="17" width="11.42578125" style="427" customWidth="1"/>
    <col min="18" max="18" width="20" style="427" customWidth="1"/>
    <col min="19" max="19" width="1" style="427" customWidth="1"/>
    <col min="20" max="20" width="11.42578125" style="427" customWidth="1"/>
    <col min="21" max="21" width="20" style="427" customWidth="1"/>
    <col min="22" max="22" width="1" style="427" customWidth="1"/>
    <col min="23" max="25" width="7" style="427" customWidth="1"/>
    <col min="26" max="26" width="11" style="427" customWidth="1"/>
    <col min="27" max="27" width="5" style="427" bestFit="1" customWidth="1"/>
    <col min="28" max="28" width="9.42578125" style="427" customWidth="1"/>
    <col min="29" max="29" width="7.7109375" style="427" bestFit="1" customWidth="1"/>
    <col min="30" max="30" width="9.42578125" style="427" customWidth="1"/>
    <col min="31" max="31" width="11" style="427" customWidth="1"/>
    <col min="32" max="32" width="1.42578125" style="427" customWidth="1"/>
    <col min="33" max="35" width="7" style="427" customWidth="1"/>
    <col min="36" max="36" width="11" style="427" customWidth="1"/>
    <col min="37" max="37" width="5" style="427" customWidth="1"/>
    <col min="38" max="38" width="9.7109375" style="427" customWidth="1"/>
    <col min="39" max="39" width="9.140625" style="427"/>
    <col min="40" max="40" width="9.42578125" style="427" customWidth="1"/>
    <col min="41" max="41" width="11" style="427" customWidth="1"/>
    <col min="42" max="42" width="1.42578125" style="427" customWidth="1"/>
    <col min="43" max="45" width="7" style="427" customWidth="1"/>
    <col min="46" max="46" width="11" style="427" customWidth="1"/>
    <col min="47" max="47" width="5" style="427" customWidth="1"/>
    <col min="48" max="48" width="9.42578125" style="427" customWidth="1"/>
    <col min="49" max="49" width="7.7109375" style="427" customWidth="1"/>
    <col min="50" max="50" width="9.42578125" style="427" customWidth="1"/>
    <col min="51" max="51" width="11" style="427" customWidth="1"/>
    <col min="52" max="52" width="1.42578125" style="427" customWidth="1"/>
    <col min="53" max="55" width="7" style="427" customWidth="1"/>
    <col min="56" max="56" width="11" style="427" customWidth="1"/>
    <col min="57" max="57" width="5" style="427" customWidth="1"/>
    <col min="58" max="58" width="9.42578125" style="427" customWidth="1"/>
    <col min="59" max="59" width="7.7109375" style="427" customWidth="1"/>
    <col min="60" max="60" width="9.42578125" style="427" customWidth="1"/>
    <col min="61" max="61" width="11" style="427" customWidth="1"/>
    <col min="62" max="62" width="1.42578125" style="427" customWidth="1"/>
    <col min="63" max="65" width="7" style="427" customWidth="1"/>
    <col min="66" max="66" width="11" style="427" customWidth="1"/>
    <col min="67" max="67" width="5" style="427" customWidth="1"/>
    <col min="68" max="68" width="9.42578125" style="427" customWidth="1"/>
    <col min="69" max="69" width="7.7109375" style="427" customWidth="1"/>
    <col min="70" max="70" width="9.42578125" style="427" customWidth="1"/>
    <col min="71" max="71" width="11" style="427" customWidth="1"/>
    <col min="72" max="72" width="1.42578125" style="427" customWidth="1"/>
    <col min="73" max="73" width="7" style="427" customWidth="1"/>
    <col min="74" max="75" width="9.140625" style="427"/>
    <col min="76" max="76" width="11" style="427" customWidth="1"/>
    <col min="77" max="77" width="5" style="427" customWidth="1"/>
    <col min="78" max="78" width="9.7109375" style="427" customWidth="1"/>
    <col min="79" max="79" width="9.140625" style="427"/>
    <col min="80" max="80" width="7.7109375" style="427" customWidth="1"/>
    <col min="81" max="81" width="11" style="427" customWidth="1"/>
    <col min="82" max="16384" width="9.140625" style="427"/>
  </cols>
  <sheetData>
    <row r="1" spans="1:22" ht="33.75" x14ac:dyDescent="0.5">
      <c r="A1" s="761" t="str">
        <f>+'Data Entry'!C6</f>
        <v>LF III</v>
      </c>
    </row>
    <row r="2" spans="1:22" ht="18.75" x14ac:dyDescent="0.3">
      <c r="A2" s="215" t="s">
        <v>924</v>
      </c>
    </row>
    <row r="3" spans="1:22" ht="15" customHeight="1" x14ac:dyDescent="0.3">
      <c r="A3" s="215"/>
    </row>
    <row r="4" spans="1:22" ht="15" customHeight="1" x14ac:dyDescent="0.3">
      <c r="A4" s="215" t="s">
        <v>941</v>
      </c>
    </row>
    <row r="5" spans="1:22" ht="15" customHeight="1" x14ac:dyDescent="0.3">
      <c r="A5" s="215"/>
      <c r="B5" s="427" t="s">
        <v>942</v>
      </c>
      <c r="D5" s="845"/>
      <c r="E5" s="845"/>
    </row>
    <row r="6" spans="1:22" ht="15" customHeight="1" x14ac:dyDescent="0.3">
      <c r="A6" s="215"/>
      <c r="B6" s="427" t="s">
        <v>943</v>
      </c>
      <c r="D6" s="862"/>
      <c r="E6" s="862"/>
    </row>
    <row r="7" spans="1:22" ht="15" customHeight="1" x14ac:dyDescent="0.3">
      <c r="A7" s="215"/>
      <c r="B7" s="427" t="s">
        <v>945</v>
      </c>
    </row>
    <row r="8" spans="1:22" ht="15" customHeight="1" x14ac:dyDescent="0.3">
      <c r="A8" s="215"/>
      <c r="B8" s="427" t="s">
        <v>944</v>
      </c>
    </row>
    <row r="10" spans="1:22" ht="23.25" x14ac:dyDescent="0.35">
      <c r="A10" s="1296" t="s">
        <v>851</v>
      </c>
      <c r="B10" s="1296"/>
      <c r="C10" s="1296"/>
      <c r="D10" s="1296"/>
      <c r="E10" s="1296"/>
      <c r="F10" s="1296"/>
      <c r="G10" s="1296"/>
      <c r="H10" s="1296"/>
      <c r="I10" s="1296"/>
      <c r="J10" s="1296"/>
      <c r="K10" s="1296"/>
      <c r="L10" s="1296"/>
      <c r="M10" s="1296"/>
      <c r="N10" s="1296"/>
      <c r="O10" s="1296"/>
      <c r="P10" s="1296"/>
      <c r="Q10" s="1296"/>
      <c r="R10" s="1296"/>
      <c r="S10" s="1296"/>
      <c r="T10" s="1296"/>
      <c r="U10" s="1296"/>
      <c r="V10" s="906"/>
    </row>
    <row r="11" spans="1:22" ht="6" customHeight="1" x14ac:dyDescent="0.25">
      <c r="C11" s="468"/>
      <c r="E11" s="844"/>
    </row>
    <row r="12" spans="1:22" ht="16.5" thickBot="1" x14ac:dyDescent="0.3">
      <c r="A12" s="427" t="s">
        <v>852</v>
      </c>
      <c r="E12" s="1301" t="str">
        <f>+'Data Entry'!C6</f>
        <v>LF III</v>
      </c>
      <c r="F12" s="1301"/>
      <c r="H12" s="1285" t="s">
        <v>848</v>
      </c>
      <c r="I12" s="1285"/>
      <c r="K12" s="1285" t="s">
        <v>911</v>
      </c>
      <c r="L12" s="1285"/>
      <c r="N12" s="1285" t="s">
        <v>946</v>
      </c>
      <c r="O12" s="1285"/>
    </row>
    <row r="13" spans="1:22" x14ac:dyDescent="0.25">
      <c r="A13" s="427" t="s">
        <v>864</v>
      </c>
      <c r="E13" s="873">
        <f>+'Data Entry'!C9</f>
        <v>0</v>
      </c>
      <c r="H13" s="427" t="s">
        <v>786</v>
      </c>
      <c r="I13" s="862">
        <f>+Pricing!E15</f>
        <v>18000000</v>
      </c>
      <c r="K13" s="427" t="s">
        <v>912</v>
      </c>
      <c r="L13" s="862">
        <f>+E33*1.11</f>
        <v>7770360.7500000009</v>
      </c>
      <c r="N13" s="427" t="s">
        <v>959</v>
      </c>
      <c r="O13" s="926"/>
    </row>
    <row r="14" spans="1:22" x14ac:dyDescent="0.25">
      <c r="A14" s="427" t="s">
        <v>785</v>
      </c>
      <c r="E14" s="873">
        <f>+'Data Entry'!C10</f>
        <v>0</v>
      </c>
      <c r="H14" s="427" t="s">
        <v>867</v>
      </c>
      <c r="I14" s="862">
        <f>+Pricing!E15+'PIP &amp; Source &amp; Use'!F13</f>
        <v>18375000</v>
      </c>
      <c r="K14" s="427" t="s">
        <v>914</v>
      </c>
      <c r="L14" s="898">
        <v>7.0000000000000007E-2</v>
      </c>
      <c r="N14" s="427" t="s">
        <v>957</v>
      </c>
      <c r="O14" s="926"/>
    </row>
    <row r="15" spans="1:22" x14ac:dyDescent="0.25">
      <c r="A15" s="427" t="s">
        <v>866</v>
      </c>
      <c r="E15" s="916"/>
      <c r="H15" s="427" t="s">
        <v>787</v>
      </c>
      <c r="I15" s="862">
        <f>+Pricing!E17</f>
        <v>19282800</v>
      </c>
      <c r="K15" s="427" t="s">
        <v>922</v>
      </c>
      <c r="L15" s="862">
        <f>+L13*L14</f>
        <v>543925.25250000006</v>
      </c>
      <c r="N15" s="427" t="s">
        <v>958</v>
      </c>
      <c r="O15" s="926"/>
    </row>
    <row r="16" spans="1:22" ht="6" customHeight="1" x14ac:dyDescent="0.25"/>
    <row r="17" spans="1:24" ht="23.25" x14ac:dyDescent="0.35">
      <c r="D17" s="906"/>
      <c r="E17" s="1296" t="str">
        <f>CONCATENATE("LEGENDARY CAPITAL LENDER COMPARISON MATRIX"," – ",'Board Summary'!B3)</f>
        <v>LEGENDARY CAPITAL LENDER COMPARISON MATRIX – Hampton Inn &amp; Suites Wichita Airport</v>
      </c>
      <c r="F17" s="1296"/>
      <c r="G17" s="1296"/>
      <c r="H17" s="1296"/>
      <c r="I17" s="1296"/>
      <c r="J17" s="1296"/>
      <c r="K17" s="1296"/>
      <c r="L17" s="1296"/>
      <c r="M17" s="1296"/>
      <c r="N17" s="1296"/>
      <c r="O17" s="1296"/>
      <c r="P17" s="1296"/>
      <c r="Q17" s="1296"/>
      <c r="R17" s="1296"/>
      <c r="S17" s="1296"/>
      <c r="T17" s="1296"/>
      <c r="U17" s="1296"/>
      <c r="V17" s="906"/>
    </row>
    <row r="18" spans="1:24" ht="21" x14ac:dyDescent="0.35">
      <c r="D18" s="906"/>
      <c r="E18" s="1287" t="s">
        <v>848</v>
      </c>
      <c r="F18" s="1287"/>
      <c r="G18" s="849"/>
      <c r="H18" s="1287" t="s">
        <v>838</v>
      </c>
      <c r="I18" s="1287"/>
      <c r="J18" s="849"/>
      <c r="K18" s="1287" t="s">
        <v>838</v>
      </c>
      <c r="L18" s="1287"/>
      <c r="M18" s="849"/>
      <c r="N18" s="1287" t="s">
        <v>947</v>
      </c>
      <c r="O18" s="1287"/>
      <c r="P18" s="849"/>
      <c r="Q18" s="1287" t="s">
        <v>947</v>
      </c>
      <c r="R18" s="1287"/>
      <c r="S18" s="849"/>
      <c r="T18" s="1287" t="s">
        <v>950</v>
      </c>
      <c r="U18" s="1287"/>
      <c r="V18" s="906"/>
    </row>
    <row r="19" spans="1:24" ht="21.75" thickBot="1" x14ac:dyDescent="0.4">
      <c r="D19" s="907"/>
      <c r="E19" s="1295" t="s">
        <v>849</v>
      </c>
      <c r="F19" s="1295"/>
      <c r="G19" s="855"/>
      <c r="H19" s="1295" t="s">
        <v>839</v>
      </c>
      <c r="I19" s="1295"/>
      <c r="J19" s="855"/>
      <c r="K19" s="1295" t="s">
        <v>840</v>
      </c>
      <c r="L19" s="1295"/>
      <c r="M19" s="855"/>
      <c r="N19" s="1295" t="s">
        <v>839</v>
      </c>
      <c r="O19" s="1295"/>
      <c r="P19" s="855"/>
      <c r="Q19" s="1295" t="s">
        <v>840</v>
      </c>
      <c r="R19" s="1295"/>
      <c r="S19" s="855"/>
      <c r="T19" s="1295" t="s">
        <v>951</v>
      </c>
      <c r="U19" s="1295"/>
      <c r="V19" s="907"/>
    </row>
    <row r="20" spans="1:24" x14ac:dyDescent="0.25">
      <c r="A20" s="468" t="s">
        <v>841</v>
      </c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2"/>
      <c r="T20" s="853"/>
      <c r="U20" s="853"/>
      <c r="V20" s="852"/>
    </row>
    <row r="21" spans="1:24" x14ac:dyDescent="0.25">
      <c r="A21" s="468"/>
      <c r="B21" s="427" t="s">
        <v>845</v>
      </c>
      <c r="D21" s="853"/>
      <c r="E21" s="905"/>
      <c r="F21" s="769"/>
      <c r="G21" s="852"/>
      <c r="H21" s="845"/>
      <c r="I21" s="769"/>
      <c r="J21" s="852"/>
      <c r="K21" s="845"/>
      <c r="L21" s="769"/>
      <c r="M21" s="852"/>
      <c r="N21" s="845"/>
      <c r="O21" s="769"/>
      <c r="P21" s="852"/>
      <c r="Q21" s="845"/>
      <c r="R21" s="769"/>
      <c r="S21" s="852"/>
      <c r="T21" s="845"/>
      <c r="U21" s="769"/>
      <c r="V21" s="852"/>
    </row>
    <row r="22" spans="1:24" x14ac:dyDescent="0.25">
      <c r="A22" s="468"/>
      <c r="B22" s="427" t="s">
        <v>846</v>
      </c>
      <c r="D22" s="853"/>
      <c r="E22" s="905"/>
      <c r="F22" s="769"/>
      <c r="G22" s="852"/>
      <c r="H22" s="845"/>
      <c r="I22" s="769"/>
      <c r="J22" s="852"/>
      <c r="K22" s="845"/>
      <c r="L22" s="769"/>
      <c r="M22" s="852"/>
      <c r="N22" s="845"/>
      <c r="O22" s="769"/>
      <c r="P22" s="852"/>
      <c r="Q22" s="845"/>
      <c r="R22" s="769"/>
      <c r="S22" s="852"/>
      <c r="T22" s="845"/>
      <c r="U22" s="769"/>
      <c r="V22" s="852"/>
    </row>
    <row r="23" spans="1:24" x14ac:dyDescent="0.25">
      <c r="A23" s="468"/>
      <c r="B23" s="427" t="s">
        <v>844</v>
      </c>
      <c r="D23" s="853"/>
      <c r="E23" s="1288"/>
      <c r="F23" s="1288"/>
      <c r="G23" s="852"/>
      <c r="H23" s="1297"/>
      <c r="I23" s="1297"/>
      <c r="J23" s="852"/>
      <c r="K23" s="1297"/>
      <c r="L23" s="1297"/>
      <c r="M23" s="852"/>
      <c r="N23" s="1297"/>
      <c r="O23" s="1297"/>
      <c r="P23" s="852"/>
      <c r="Q23" s="1297"/>
      <c r="R23" s="1297"/>
      <c r="S23" s="852"/>
      <c r="T23" s="1297"/>
      <c r="U23" s="1297"/>
      <c r="V23" s="852"/>
    </row>
    <row r="24" spans="1:24" x14ac:dyDescent="0.25">
      <c r="A24" s="468"/>
      <c r="C24" s="427" t="s">
        <v>842</v>
      </c>
      <c r="D24" s="853"/>
      <c r="E24" s="856"/>
      <c r="F24" s="905"/>
      <c r="G24" s="852"/>
      <c r="H24" s="1297"/>
      <c r="I24" s="1297"/>
      <c r="J24" s="852"/>
      <c r="K24" s="1297"/>
      <c r="L24" s="1297"/>
      <c r="M24" s="852"/>
      <c r="N24" s="1297"/>
      <c r="O24" s="1297"/>
      <c r="P24" s="852"/>
      <c r="Q24" s="1297"/>
      <c r="R24" s="1297"/>
      <c r="S24" s="852"/>
      <c r="T24" s="1297"/>
      <c r="U24" s="1297"/>
      <c r="V24" s="852"/>
    </row>
    <row r="25" spans="1:24" x14ac:dyDescent="0.25">
      <c r="A25" s="468"/>
      <c r="C25" s="427" t="s">
        <v>843</v>
      </c>
      <c r="D25" s="853"/>
      <c r="E25" s="856"/>
      <c r="F25" s="905"/>
      <c r="G25" s="852"/>
      <c r="H25" s="1298"/>
      <c r="I25" s="1298"/>
      <c r="J25" s="852"/>
      <c r="K25" s="1298"/>
      <c r="L25" s="1298"/>
      <c r="M25" s="852"/>
      <c r="N25" s="1298"/>
      <c r="O25" s="1298"/>
      <c r="P25" s="852"/>
      <c r="Q25" s="1298"/>
      <c r="R25" s="1298"/>
      <c r="S25" s="852"/>
      <c r="T25" s="1298"/>
      <c r="U25" s="1298"/>
      <c r="V25" s="852"/>
    </row>
    <row r="26" spans="1:24" x14ac:dyDescent="0.25">
      <c r="A26" s="468" t="s">
        <v>138</v>
      </c>
      <c r="D26" s="853"/>
      <c r="E26" s="850"/>
      <c r="F26" s="851"/>
      <c r="G26" s="852"/>
      <c r="H26" s="850"/>
      <c r="I26" s="851"/>
      <c r="J26" s="852"/>
      <c r="K26" s="850"/>
      <c r="L26" s="851"/>
      <c r="M26" s="852"/>
      <c r="N26" s="850"/>
      <c r="O26" s="851"/>
      <c r="P26" s="852"/>
      <c r="Q26" s="850"/>
      <c r="R26" s="851"/>
      <c r="S26" s="852"/>
      <c r="T26" s="850"/>
      <c r="U26" s="851"/>
      <c r="V26" s="852"/>
    </row>
    <row r="27" spans="1:24" x14ac:dyDescent="0.25">
      <c r="A27" s="468"/>
      <c r="B27" s="427" t="s">
        <v>801</v>
      </c>
      <c r="D27" s="853"/>
      <c r="E27" s="842"/>
      <c r="F27" s="769" t="s">
        <v>812</v>
      </c>
      <c r="G27" s="852"/>
      <c r="H27" s="842">
        <v>5</v>
      </c>
      <c r="I27" s="769" t="s">
        <v>812</v>
      </c>
      <c r="J27" s="852"/>
      <c r="K27" s="842"/>
      <c r="L27" s="769" t="s">
        <v>812</v>
      </c>
      <c r="M27" s="852"/>
      <c r="N27" s="842"/>
      <c r="O27" s="769" t="s">
        <v>812</v>
      </c>
      <c r="P27" s="852"/>
      <c r="Q27" s="842"/>
      <c r="R27" s="769" t="s">
        <v>812</v>
      </c>
      <c r="S27" s="852"/>
      <c r="T27" s="842"/>
      <c r="U27" s="769" t="s">
        <v>812</v>
      </c>
      <c r="V27" s="852"/>
    </row>
    <row r="28" spans="1:24" x14ac:dyDescent="0.25">
      <c r="A28" s="468"/>
      <c r="B28" s="427" t="s">
        <v>799</v>
      </c>
      <c r="D28" s="853"/>
      <c r="E28" s="857"/>
      <c r="F28" s="769" t="s">
        <v>814</v>
      </c>
      <c r="G28" s="852"/>
      <c r="H28" s="857" t="s">
        <v>640</v>
      </c>
      <c r="I28" s="769" t="s">
        <v>814</v>
      </c>
      <c r="J28" s="852"/>
      <c r="K28" s="857"/>
      <c r="L28" s="769" t="s">
        <v>814</v>
      </c>
      <c r="M28" s="852"/>
      <c r="N28" s="857"/>
      <c r="O28" s="769" t="s">
        <v>814</v>
      </c>
      <c r="P28" s="852"/>
      <c r="Q28" s="857"/>
      <c r="R28" s="769" t="s">
        <v>814</v>
      </c>
      <c r="S28" s="852"/>
      <c r="T28" s="857"/>
      <c r="U28" s="769" t="s">
        <v>814</v>
      </c>
      <c r="V28" s="852"/>
    </row>
    <row r="29" spans="1:24" ht="30" customHeight="1" x14ac:dyDescent="0.25">
      <c r="A29" s="468"/>
      <c r="B29" s="908" t="s">
        <v>800</v>
      </c>
      <c r="D29" s="853"/>
      <c r="E29" s="1288"/>
      <c r="F29" s="1288"/>
      <c r="G29" s="852"/>
      <c r="H29" s="1290"/>
      <c r="I29" s="1290"/>
      <c r="J29" s="852"/>
      <c r="K29" s="1290"/>
      <c r="L29" s="1290"/>
      <c r="M29" s="852"/>
      <c r="N29" s="1290"/>
      <c r="O29" s="1290"/>
      <c r="P29" s="852"/>
      <c r="Q29" s="1290"/>
      <c r="R29" s="1290"/>
      <c r="S29" s="852"/>
      <c r="T29" s="1290"/>
      <c r="U29" s="1290"/>
      <c r="V29" s="852"/>
    </row>
    <row r="30" spans="1:24" x14ac:dyDescent="0.25">
      <c r="A30" s="468" t="s">
        <v>788</v>
      </c>
      <c r="D30" s="853"/>
      <c r="E30" s="851"/>
      <c r="F30" s="851"/>
      <c r="G30" s="852"/>
      <c r="H30" s="851"/>
      <c r="I30" s="851"/>
      <c r="J30" s="852"/>
      <c r="K30" s="851"/>
      <c r="L30" s="851"/>
      <c r="M30" s="852"/>
      <c r="N30" s="851"/>
      <c r="O30" s="851"/>
      <c r="P30" s="852"/>
      <c r="Q30" s="851"/>
      <c r="R30" s="851"/>
      <c r="S30" s="852"/>
      <c r="T30" s="851"/>
      <c r="U30" s="851"/>
      <c r="V30" s="852"/>
    </row>
    <row r="31" spans="1:24" x14ac:dyDescent="0.25">
      <c r="A31" s="468"/>
      <c r="B31" s="427" t="s">
        <v>887</v>
      </c>
      <c r="D31" s="853"/>
      <c r="E31" s="905"/>
      <c r="F31" s="769"/>
      <c r="G31" s="852"/>
      <c r="H31" s="859"/>
      <c r="I31" s="769"/>
      <c r="J31" s="852"/>
      <c r="K31" s="859"/>
      <c r="L31" s="769"/>
      <c r="M31" s="852"/>
      <c r="N31" s="859"/>
      <c r="O31" s="769"/>
      <c r="P31" s="852"/>
      <c r="Q31" s="859"/>
      <c r="R31" s="769"/>
      <c r="S31" s="852"/>
      <c r="T31" s="859"/>
      <c r="U31" s="769"/>
      <c r="V31" s="852"/>
      <c r="X31" s="427" t="s">
        <v>960</v>
      </c>
    </row>
    <row r="32" spans="1:24" x14ac:dyDescent="0.25">
      <c r="A32" s="468"/>
      <c r="B32" s="427" t="s">
        <v>791</v>
      </c>
      <c r="D32" s="853"/>
      <c r="E32" s="862">
        <f>+Pricing!E35</f>
        <v>12282475</v>
      </c>
      <c r="F32" s="769"/>
      <c r="G32" s="852"/>
      <c r="H32" s="859"/>
      <c r="I32" s="769"/>
      <c r="J32" s="852"/>
      <c r="K32" s="859"/>
      <c r="L32" s="769"/>
      <c r="M32" s="852"/>
      <c r="N32" s="859"/>
      <c r="O32" s="769"/>
      <c r="P32" s="852"/>
      <c r="Q32" s="859"/>
      <c r="R32" s="769"/>
      <c r="S32" s="852"/>
      <c r="T32" s="859"/>
      <c r="U32" s="769"/>
      <c r="V32" s="852"/>
    </row>
    <row r="33" spans="1:24" x14ac:dyDescent="0.25">
      <c r="A33" s="468"/>
      <c r="B33" s="427" t="s">
        <v>850</v>
      </c>
      <c r="D33" s="853"/>
      <c r="E33" s="862">
        <f>+Pricing!E43</f>
        <v>7000325</v>
      </c>
      <c r="F33" s="769"/>
      <c r="G33" s="852"/>
      <c r="H33" s="859"/>
      <c r="I33" s="769"/>
      <c r="J33" s="852"/>
      <c r="K33" s="859"/>
      <c r="L33" s="769"/>
      <c r="M33" s="852"/>
      <c r="N33" s="859"/>
      <c r="O33" s="769"/>
      <c r="P33" s="852"/>
      <c r="Q33" s="859"/>
      <c r="R33" s="769"/>
      <c r="S33" s="852"/>
      <c r="T33" s="859"/>
      <c r="U33" s="769"/>
      <c r="V33" s="852"/>
    </row>
    <row r="34" spans="1:24" x14ac:dyDescent="0.25">
      <c r="A34" s="468"/>
      <c r="B34" s="427" t="s">
        <v>954</v>
      </c>
      <c r="D34" s="853"/>
      <c r="E34" s="862">
        <f>+Pricing!E39</f>
        <v>792174.75888169068</v>
      </c>
      <c r="F34" s="769"/>
      <c r="G34" s="852"/>
      <c r="H34" s="862" t="e">
        <f>IF(H36="Fixed",AL169,AL243)</f>
        <v>#NUM!</v>
      </c>
      <c r="I34" s="769"/>
      <c r="J34" s="852"/>
      <c r="K34" s="862" t="e">
        <f>IF(K36="Fixed",AV169,AV243)</f>
        <v>#NUM!</v>
      </c>
      <c r="L34" s="769"/>
      <c r="M34" s="852"/>
      <c r="N34" s="862" t="e">
        <f>IF(N36="Fixed",BF169,BF243)</f>
        <v>#NUM!</v>
      </c>
      <c r="O34" s="769"/>
      <c r="P34" s="852"/>
      <c r="Q34" s="862" t="e">
        <f>IF(Q36="Fixed",BP169,BP243)</f>
        <v>#NUM!</v>
      </c>
      <c r="R34" s="769"/>
      <c r="S34" s="852"/>
      <c r="T34" s="862" t="e">
        <f>IF(T36="Fixed",BZ169,BZ243)</f>
        <v>#NUM!</v>
      </c>
      <c r="U34" s="769"/>
      <c r="V34" s="852"/>
    </row>
    <row r="35" spans="1:24" x14ac:dyDescent="0.25">
      <c r="A35" s="468"/>
      <c r="B35" s="427" t="s">
        <v>807</v>
      </c>
      <c r="D35" s="853"/>
      <c r="E35" s="843"/>
      <c r="F35" s="842"/>
      <c r="G35" s="852"/>
      <c r="H35" s="843"/>
      <c r="I35" s="842"/>
      <c r="J35" s="852"/>
      <c r="K35" s="843"/>
      <c r="L35" s="842"/>
      <c r="M35" s="852"/>
      <c r="N35" s="843"/>
      <c r="O35" s="842"/>
      <c r="P35" s="852"/>
      <c r="Q35" s="843"/>
      <c r="R35" s="842"/>
      <c r="S35" s="852"/>
      <c r="T35" s="843"/>
      <c r="U35" s="842"/>
      <c r="V35" s="852"/>
    </row>
    <row r="36" spans="1:24" x14ac:dyDescent="0.25">
      <c r="A36" s="468"/>
      <c r="B36" s="427" t="s">
        <v>805</v>
      </c>
      <c r="D36" s="853"/>
      <c r="E36" s="843"/>
      <c r="F36" s="769"/>
      <c r="G36" s="852"/>
      <c r="H36" s="843"/>
      <c r="I36" s="769"/>
      <c r="J36" s="852"/>
      <c r="K36" s="843"/>
      <c r="L36" s="769"/>
      <c r="M36" s="852"/>
      <c r="N36" s="843"/>
      <c r="O36" s="769"/>
      <c r="P36" s="852"/>
      <c r="Q36" s="843"/>
      <c r="R36" s="769"/>
      <c r="S36" s="852"/>
      <c r="T36" s="843"/>
      <c r="U36" s="769"/>
      <c r="V36" s="852"/>
    </row>
    <row r="37" spans="1:24" x14ac:dyDescent="0.25">
      <c r="A37" s="468"/>
      <c r="B37" s="427" t="s">
        <v>808</v>
      </c>
      <c r="D37" s="853"/>
      <c r="E37" s="897">
        <f>+E32/$I15</f>
        <v>0.63696532661231775</v>
      </c>
      <c r="F37" s="841"/>
      <c r="G37" s="852"/>
      <c r="H37" s="897">
        <f>+H32/$I15</f>
        <v>0</v>
      </c>
      <c r="I37" s="841"/>
      <c r="J37" s="852"/>
      <c r="K37" s="897">
        <f>+K32/$I15</f>
        <v>0</v>
      </c>
      <c r="L37" s="841"/>
      <c r="M37" s="852"/>
      <c r="N37" s="897">
        <f>+N32/$I15</f>
        <v>0</v>
      </c>
      <c r="O37" s="841"/>
      <c r="P37" s="852"/>
      <c r="Q37" s="897">
        <f>+Q32/$I15</f>
        <v>0</v>
      </c>
      <c r="R37" s="841"/>
      <c r="S37" s="852"/>
      <c r="T37" s="897">
        <f>+T32/$I15</f>
        <v>0</v>
      </c>
      <c r="U37" s="841"/>
      <c r="V37" s="852"/>
    </row>
    <row r="38" spans="1:24" x14ac:dyDescent="0.25">
      <c r="A38" s="468"/>
      <c r="B38" s="427" t="s">
        <v>514</v>
      </c>
      <c r="D38" s="853"/>
      <c r="E38" s="843"/>
      <c r="F38" s="769"/>
      <c r="G38" s="852"/>
      <c r="H38" s="843"/>
      <c r="I38" s="769"/>
      <c r="J38" s="852"/>
      <c r="K38" s="843"/>
      <c r="L38" s="769"/>
      <c r="M38" s="852"/>
      <c r="N38" s="843"/>
      <c r="O38" s="769"/>
      <c r="P38" s="852"/>
      <c r="Q38" s="843"/>
      <c r="R38" s="769"/>
      <c r="S38" s="852"/>
      <c r="T38" s="843"/>
      <c r="U38" s="769"/>
      <c r="V38" s="852"/>
      <c r="X38" s="427" t="s">
        <v>962</v>
      </c>
    </row>
    <row r="39" spans="1:24" x14ac:dyDescent="0.25">
      <c r="A39" s="468"/>
      <c r="B39" s="427" t="s">
        <v>809</v>
      </c>
      <c r="D39" s="853"/>
      <c r="E39" s="843"/>
      <c r="F39" s="769"/>
      <c r="G39" s="852"/>
      <c r="H39" s="843"/>
      <c r="I39" s="769"/>
      <c r="J39" s="852"/>
      <c r="K39" s="843"/>
      <c r="L39" s="769"/>
      <c r="M39" s="852"/>
      <c r="N39" s="843"/>
      <c r="O39" s="769"/>
      <c r="P39" s="852"/>
      <c r="Q39" s="843"/>
      <c r="R39" s="769"/>
      <c r="S39" s="852"/>
      <c r="T39" s="843"/>
      <c r="U39" s="769"/>
      <c r="V39" s="852"/>
      <c r="X39" s="427" t="s">
        <v>963</v>
      </c>
    </row>
    <row r="40" spans="1:24" x14ac:dyDescent="0.25">
      <c r="A40" s="468"/>
      <c r="B40" s="427" t="s">
        <v>792</v>
      </c>
      <c r="D40" s="853"/>
      <c r="E40" s="904"/>
      <c r="F40" s="769"/>
      <c r="G40" s="852"/>
      <c r="H40" s="860"/>
      <c r="I40" s="769"/>
      <c r="J40" s="852"/>
      <c r="K40" s="860"/>
      <c r="L40" s="769"/>
      <c r="M40" s="852"/>
      <c r="N40" s="860"/>
      <c r="O40" s="769"/>
      <c r="P40" s="852"/>
      <c r="Q40" s="860"/>
      <c r="R40" s="769"/>
      <c r="S40" s="852"/>
      <c r="T40" s="860"/>
      <c r="U40" s="769"/>
      <c r="V40" s="852"/>
    </row>
    <row r="41" spans="1:24" x14ac:dyDescent="0.25">
      <c r="A41" s="468"/>
      <c r="B41" s="427" t="s">
        <v>793</v>
      </c>
      <c r="D41" s="853"/>
      <c r="E41" s="859"/>
      <c r="F41" s="769" t="s">
        <v>815</v>
      </c>
      <c r="G41" s="852"/>
      <c r="H41" s="843"/>
      <c r="I41" s="769" t="s">
        <v>815</v>
      </c>
      <c r="J41" s="852"/>
      <c r="K41" s="843"/>
      <c r="L41" s="769" t="s">
        <v>815</v>
      </c>
      <c r="M41" s="852"/>
      <c r="N41" s="843"/>
      <c r="O41" s="769" t="s">
        <v>815</v>
      </c>
      <c r="P41" s="852"/>
      <c r="Q41" s="843"/>
      <c r="R41" s="769" t="s">
        <v>815</v>
      </c>
      <c r="S41" s="852"/>
      <c r="T41" s="843"/>
      <c r="U41" s="769" t="s">
        <v>815</v>
      </c>
      <c r="V41" s="852"/>
    </row>
    <row r="42" spans="1:24" x14ac:dyDescent="0.25">
      <c r="A42" s="468"/>
      <c r="B42" s="427" t="s">
        <v>794</v>
      </c>
      <c r="D42" s="853"/>
      <c r="E42" s="861">
        <f>+Pricing!E37</f>
        <v>4.9250000000000002E-2</v>
      </c>
      <c r="F42" s="769"/>
      <c r="G42" s="852"/>
      <c r="H42" s="861">
        <f>+H40+H41/10000</f>
        <v>0</v>
      </c>
      <c r="I42" s="769"/>
      <c r="J42" s="852"/>
      <c r="K42" s="861">
        <f>+K40+K41/10000</f>
        <v>0</v>
      </c>
      <c r="L42" s="769"/>
      <c r="M42" s="852"/>
      <c r="N42" s="861">
        <f>+N40+N41/10000</f>
        <v>0</v>
      </c>
      <c r="O42" s="769"/>
      <c r="P42" s="852"/>
      <c r="Q42" s="861">
        <f>+Q40+Q41/10000</f>
        <v>0</v>
      </c>
      <c r="R42" s="769"/>
      <c r="S42" s="852"/>
      <c r="T42" s="861">
        <f>+T40+T41/10000</f>
        <v>0</v>
      </c>
      <c r="U42" s="769"/>
      <c r="V42" s="852"/>
    </row>
    <row r="43" spans="1:24" x14ac:dyDescent="0.25">
      <c r="A43" s="468" t="s">
        <v>789</v>
      </c>
      <c r="D43" s="853"/>
      <c r="E43" s="854"/>
      <c r="F43" s="851"/>
      <c r="G43" s="852"/>
      <c r="H43" s="854"/>
      <c r="I43" s="851"/>
      <c r="J43" s="852"/>
      <c r="K43" s="854"/>
      <c r="L43" s="851"/>
      <c r="M43" s="852"/>
      <c r="N43" s="854"/>
      <c r="O43" s="851"/>
      <c r="P43" s="852"/>
      <c r="Q43" s="854"/>
      <c r="R43" s="851"/>
      <c r="S43" s="852"/>
      <c r="T43" s="854"/>
      <c r="U43" s="851"/>
      <c r="V43" s="852"/>
    </row>
    <row r="44" spans="1:24" x14ac:dyDescent="0.25">
      <c r="A44" s="468"/>
      <c r="B44" s="427" t="s">
        <v>810</v>
      </c>
      <c r="D44" s="853"/>
      <c r="E44" s="862">
        <f>+Pricing!E38</f>
        <v>30</v>
      </c>
      <c r="F44" s="769" t="s">
        <v>812</v>
      </c>
      <c r="G44" s="852"/>
      <c r="H44" s="859"/>
      <c r="I44" s="769" t="s">
        <v>812</v>
      </c>
      <c r="J44" s="852"/>
      <c r="K44" s="859"/>
      <c r="L44" s="769" t="s">
        <v>812</v>
      </c>
      <c r="M44" s="852"/>
      <c r="N44" s="859"/>
      <c r="O44" s="769" t="s">
        <v>812</v>
      </c>
      <c r="P44" s="852"/>
      <c r="Q44" s="859"/>
      <c r="R44" s="769" t="s">
        <v>812</v>
      </c>
      <c r="S44" s="852"/>
      <c r="T44" s="859"/>
      <c r="U44" s="769" t="s">
        <v>812</v>
      </c>
      <c r="V44" s="852"/>
    </row>
    <row r="45" spans="1:24" x14ac:dyDescent="0.25">
      <c r="A45" s="468"/>
      <c r="B45" s="427" t="s">
        <v>811</v>
      </c>
      <c r="D45" s="853"/>
      <c r="E45" s="858"/>
      <c r="F45" s="769" t="s">
        <v>813</v>
      </c>
      <c r="G45" s="852"/>
      <c r="H45" s="858"/>
      <c r="I45" s="769" t="s">
        <v>813</v>
      </c>
      <c r="J45" s="852"/>
      <c r="K45" s="858"/>
      <c r="L45" s="769" t="s">
        <v>813</v>
      </c>
      <c r="M45" s="852"/>
      <c r="N45" s="858"/>
      <c r="O45" s="769" t="s">
        <v>813</v>
      </c>
      <c r="P45" s="852"/>
      <c r="Q45" s="858"/>
      <c r="R45" s="769" t="s">
        <v>813</v>
      </c>
      <c r="S45" s="852"/>
      <c r="T45" s="858"/>
      <c r="U45" s="769" t="s">
        <v>813</v>
      </c>
      <c r="V45" s="852"/>
    </row>
    <row r="46" spans="1:24" x14ac:dyDescent="0.25">
      <c r="A46" s="468"/>
      <c r="B46" s="427" t="s">
        <v>790</v>
      </c>
      <c r="D46" s="853"/>
      <c r="E46" s="862">
        <v>50</v>
      </c>
      <c r="F46" s="769" t="s">
        <v>815</v>
      </c>
      <c r="G46" s="852"/>
      <c r="H46" s="859"/>
      <c r="I46" s="769" t="s">
        <v>815</v>
      </c>
      <c r="J46" s="852"/>
      <c r="K46" s="859"/>
      <c r="L46" s="769" t="s">
        <v>815</v>
      </c>
      <c r="M46" s="852"/>
      <c r="N46" s="859"/>
      <c r="O46" s="769" t="s">
        <v>815</v>
      </c>
      <c r="P46" s="852"/>
      <c r="Q46" s="859"/>
      <c r="R46" s="769" t="s">
        <v>815</v>
      </c>
      <c r="S46" s="852"/>
      <c r="T46" s="859"/>
      <c r="U46" s="769" t="s">
        <v>815</v>
      </c>
      <c r="V46" s="852"/>
    </row>
    <row r="47" spans="1:24" x14ac:dyDescent="0.25">
      <c r="A47" s="468"/>
      <c r="B47" s="427" t="s">
        <v>837</v>
      </c>
      <c r="D47" s="853"/>
      <c r="E47" s="859"/>
      <c r="F47" s="769"/>
      <c r="G47" s="852"/>
      <c r="H47" s="859"/>
      <c r="I47" s="769"/>
      <c r="J47" s="852"/>
      <c r="K47" s="859"/>
      <c r="L47" s="769"/>
      <c r="M47" s="852"/>
      <c r="N47" s="859"/>
      <c r="O47" s="769"/>
      <c r="P47" s="852"/>
      <c r="Q47" s="859"/>
      <c r="R47" s="769"/>
      <c r="S47" s="852"/>
      <c r="T47" s="859"/>
      <c r="U47" s="769"/>
      <c r="V47" s="852"/>
    </row>
    <row r="48" spans="1:24" x14ac:dyDescent="0.25">
      <c r="A48" s="468"/>
      <c r="B48" s="427" t="s">
        <v>816</v>
      </c>
      <c r="D48" s="853"/>
      <c r="E48" s="1294" t="str">
        <f>IF(E36="Fixed","Fixed",CONCATENATE(E39," ",E38))</f>
        <v xml:space="preserve"> </v>
      </c>
      <c r="F48" s="1294"/>
      <c r="G48" s="852"/>
      <c r="H48" s="1294" t="str">
        <f>IF(H36="Fixed","Fixed",CONCATENATE(H39," ",H38))</f>
        <v xml:space="preserve"> </v>
      </c>
      <c r="I48" s="1294"/>
      <c r="J48" s="852"/>
      <c r="K48" s="1294" t="str">
        <f>IF(K36="Fixed","Fixed",CONCATENATE(K39," ",K38))</f>
        <v xml:space="preserve"> </v>
      </c>
      <c r="L48" s="1294"/>
      <c r="M48" s="852"/>
      <c r="N48" s="1294" t="str">
        <f>IF(N36="Fixed","Fixed",CONCATENATE(N39," ",N38))</f>
        <v xml:space="preserve"> </v>
      </c>
      <c r="O48" s="1294"/>
      <c r="P48" s="852"/>
      <c r="Q48" s="1294" t="str">
        <f>IF(Q36="Fixed","Fixed",CONCATENATE(Q39," ",Q38))</f>
        <v xml:space="preserve"> </v>
      </c>
      <c r="R48" s="1294"/>
      <c r="S48" s="852"/>
      <c r="T48" s="1294" t="str">
        <f>IF(T36="Fixed","Fixed",CONCATENATE(T39," ",T38))</f>
        <v xml:space="preserve"> </v>
      </c>
      <c r="U48" s="1294"/>
      <c r="V48" s="852"/>
      <c r="X48" s="427" t="s">
        <v>961</v>
      </c>
    </row>
    <row r="49" spans="1:22" x14ac:dyDescent="0.25">
      <c r="A49" s="468" t="s">
        <v>817</v>
      </c>
      <c r="D49" s="853"/>
      <c r="E49" s="853"/>
      <c r="F49" s="853"/>
      <c r="G49" s="853"/>
      <c r="H49" s="851"/>
      <c r="I49" s="851"/>
      <c r="J49" s="852"/>
      <c r="K49" s="851"/>
      <c r="L49" s="851"/>
      <c r="M49" s="852"/>
      <c r="N49" s="851"/>
      <c r="O49" s="851"/>
      <c r="P49" s="852"/>
      <c r="Q49" s="851"/>
      <c r="R49" s="851"/>
      <c r="S49" s="852"/>
      <c r="T49" s="851"/>
      <c r="U49" s="851"/>
      <c r="V49" s="852"/>
    </row>
    <row r="50" spans="1:22" x14ac:dyDescent="0.25">
      <c r="A50" s="468"/>
      <c r="B50" s="427" t="s">
        <v>825</v>
      </c>
      <c r="D50" s="853"/>
      <c r="E50" s="1291"/>
      <c r="F50" s="1291"/>
      <c r="G50" s="853"/>
      <c r="H50" s="1291"/>
      <c r="I50" s="1291"/>
      <c r="J50" s="852"/>
      <c r="K50" s="1291"/>
      <c r="L50" s="1291"/>
      <c r="M50" s="852"/>
      <c r="N50" s="1291"/>
      <c r="O50" s="1291"/>
      <c r="P50" s="852"/>
      <c r="Q50" s="1291"/>
      <c r="R50" s="1291"/>
      <c r="S50" s="852"/>
      <c r="T50" s="1291"/>
      <c r="U50" s="1291"/>
      <c r="V50" s="852"/>
    </row>
    <row r="51" spans="1:22" ht="27" customHeight="1" x14ac:dyDescent="0.25">
      <c r="A51" s="468"/>
      <c r="B51" s="901" t="s">
        <v>795</v>
      </c>
      <c r="C51" s="901"/>
      <c r="D51" s="853"/>
      <c r="E51" s="1292"/>
      <c r="F51" s="1292"/>
      <c r="G51" s="853"/>
      <c r="H51" s="1292"/>
      <c r="I51" s="1292"/>
      <c r="J51" s="918"/>
      <c r="K51" s="1292"/>
      <c r="L51" s="1292"/>
      <c r="M51" s="918"/>
      <c r="N51" s="1292"/>
      <c r="O51" s="1292"/>
      <c r="P51" s="918"/>
      <c r="Q51" s="1292"/>
      <c r="R51" s="1292"/>
      <c r="S51" s="918"/>
      <c r="T51" s="1292"/>
      <c r="U51" s="1292"/>
      <c r="V51" s="852"/>
    </row>
    <row r="52" spans="1:22" x14ac:dyDescent="0.25">
      <c r="B52" s="518" t="s">
        <v>818</v>
      </c>
      <c r="C52" s="518"/>
      <c r="D52" s="853"/>
      <c r="E52" s="843"/>
      <c r="F52" s="769"/>
      <c r="G52" s="853"/>
      <c r="H52" s="843"/>
      <c r="I52" s="769"/>
      <c r="J52" s="852"/>
      <c r="K52" s="843"/>
      <c r="L52" s="769"/>
      <c r="M52" s="918"/>
      <c r="N52" s="843"/>
      <c r="O52" s="769"/>
      <c r="P52" s="918"/>
      <c r="Q52" s="843"/>
      <c r="R52" s="769"/>
      <c r="S52" s="918"/>
      <c r="T52" s="843"/>
      <c r="U52" s="769"/>
      <c r="V52" s="852"/>
    </row>
    <row r="53" spans="1:22" x14ac:dyDescent="0.25">
      <c r="A53" s="468"/>
      <c r="B53" s="518" t="s">
        <v>819</v>
      </c>
      <c r="C53" s="518"/>
      <c r="D53" s="853"/>
      <c r="E53" s="917"/>
      <c r="F53" s="769" t="s">
        <v>820</v>
      </c>
      <c r="G53" s="853"/>
      <c r="H53" s="917"/>
      <c r="I53" s="769" t="s">
        <v>820</v>
      </c>
      <c r="J53" s="852"/>
      <c r="K53" s="917"/>
      <c r="L53" s="769" t="s">
        <v>820</v>
      </c>
      <c r="M53" s="918"/>
      <c r="N53" s="917"/>
      <c r="O53" s="769" t="s">
        <v>820</v>
      </c>
      <c r="P53" s="918"/>
      <c r="Q53" s="917"/>
      <c r="R53" s="769" t="s">
        <v>820</v>
      </c>
      <c r="S53" s="918"/>
      <c r="T53" s="917"/>
      <c r="U53" s="769" t="s">
        <v>820</v>
      </c>
      <c r="V53" s="852"/>
    </row>
    <row r="54" spans="1:22" x14ac:dyDescent="0.25">
      <c r="A54" s="468"/>
      <c r="B54" s="518" t="s">
        <v>821</v>
      </c>
      <c r="C54" s="518"/>
      <c r="D54" s="853"/>
      <c r="E54" s="860"/>
      <c r="F54" s="769"/>
      <c r="G54" s="853"/>
      <c r="H54" s="860"/>
      <c r="I54" s="769"/>
      <c r="J54" s="852"/>
      <c r="K54" s="860"/>
      <c r="L54" s="769"/>
      <c r="M54" s="918"/>
      <c r="N54" s="860"/>
      <c r="O54" s="769"/>
      <c r="P54" s="918"/>
      <c r="Q54" s="860"/>
      <c r="R54" s="769"/>
      <c r="S54" s="918"/>
      <c r="T54" s="860"/>
      <c r="U54" s="769"/>
      <c r="V54" s="852"/>
    </row>
    <row r="55" spans="1:22" ht="52.9" customHeight="1" x14ac:dyDescent="0.25">
      <c r="A55" s="468"/>
      <c r="B55" s="901" t="s">
        <v>822</v>
      </c>
      <c r="C55" s="518"/>
      <c r="D55" s="853"/>
      <c r="E55" s="1299"/>
      <c r="F55" s="1299"/>
      <c r="G55" s="853"/>
      <c r="H55" s="1293"/>
      <c r="I55" s="1293"/>
      <c r="J55" s="852"/>
      <c r="K55" s="1293"/>
      <c r="L55" s="1293"/>
      <c r="M55" s="918"/>
      <c r="N55" s="1293"/>
      <c r="O55" s="1293"/>
      <c r="P55" s="918"/>
      <c r="Q55" s="1293"/>
      <c r="R55" s="1293"/>
      <c r="S55" s="918"/>
      <c r="T55" s="1293"/>
      <c r="U55" s="1293"/>
      <c r="V55" s="852"/>
    </row>
    <row r="56" spans="1:22" ht="52.9" customHeight="1" x14ac:dyDescent="0.25">
      <c r="A56" s="468"/>
      <c r="B56" s="901" t="s">
        <v>823</v>
      </c>
      <c r="C56" s="518"/>
      <c r="D56" s="853"/>
      <c r="E56" s="1288"/>
      <c r="F56" s="1288"/>
      <c r="G56" s="853"/>
      <c r="H56" s="1293"/>
      <c r="I56" s="1293"/>
      <c r="J56" s="852"/>
      <c r="K56" s="1293"/>
      <c r="L56" s="1293"/>
      <c r="M56" s="918"/>
      <c r="N56" s="1293"/>
      <c r="O56" s="1293"/>
      <c r="P56" s="918"/>
      <c r="Q56" s="1293"/>
      <c r="R56" s="1293"/>
      <c r="S56" s="918"/>
      <c r="T56" s="1293"/>
      <c r="U56" s="1293"/>
      <c r="V56" s="852"/>
    </row>
    <row r="57" spans="1:22" ht="52.9" customHeight="1" x14ac:dyDescent="0.25">
      <c r="A57" s="468"/>
      <c r="B57" s="901" t="s">
        <v>824</v>
      </c>
      <c r="C57" s="518"/>
      <c r="D57" s="853"/>
      <c r="E57" s="1288"/>
      <c r="F57" s="1288"/>
      <c r="G57" s="853"/>
      <c r="H57" s="1293"/>
      <c r="I57" s="1293"/>
      <c r="J57" s="852"/>
      <c r="K57" s="1293"/>
      <c r="L57" s="1293"/>
      <c r="M57" s="918"/>
      <c r="N57" s="1293"/>
      <c r="O57" s="1293"/>
      <c r="P57" s="918"/>
      <c r="Q57" s="1293"/>
      <c r="R57" s="1293"/>
      <c r="S57" s="918"/>
      <c r="T57" s="1293"/>
      <c r="U57" s="1293"/>
      <c r="V57" s="852"/>
    </row>
    <row r="58" spans="1:22" x14ac:dyDescent="0.25">
      <c r="A58" s="468"/>
      <c r="B58" s="518" t="s">
        <v>826</v>
      </c>
      <c r="C58" s="518"/>
      <c r="D58" s="853"/>
      <c r="E58" s="843"/>
      <c r="F58" s="769"/>
      <c r="G58" s="853"/>
      <c r="H58" s="843"/>
      <c r="I58" s="769"/>
      <c r="J58" s="852"/>
      <c r="K58" s="843" t="s">
        <v>847</v>
      </c>
      <c r="L58" s="769"/>
      <c r="M58" s="918"/>
      <c r="N58" s="843" t="s">
        <v>847</v>
      </c>
      <c r="O58" s="769"/>
      <c r="P58" s="918"/>
      <c r="Q58" s="843" t="s">
        <v>847</v>
      </c>
      <c r="R58" s="769"/>
      <c r="S58" s="918"/>
      <c r="T58" s="843" t="s">
        <v>847</v>
      </c>
      <c r="U58" s="769"/>
      <c r="V58" s="852"/>
    </row>
    <row r="59" spans="1:22" ht="31.15" customHeight="1" x14ac:dyDescent="0.25">
      <c r="A59" s="468"/>
      <c r="B59" s="901" t="s">
        <v>858</v>
      </c>
      <c r="C59" s="518"/>
      <c r="D59" s="853"/>
      <c r="E59" s="1288"/>
      <c r="F59" s="1288"/>
      <c r="G59" s="853"/>
      <c r="H59" s="1290"/>
      <c r="I59" s="1290"/>
      <c r="J59" s="852"/>
      <c r="K59" s="1290"/>
      <c r="L59" s="1290"/>
      <c r="M59" s="918"/>
      <c r="N59" s="1290"/>
      <c r="O59" s="1290"/>
      <c r="P59" s="918"/>
      <c r="Q59" s="1290"/>
      <c r="R59" s="1290"/>
      <c r="S59" s="918"/>
      <c r="T59" s="1290"/>
      <c r="U59" s="1290"/>
      <c r="V59" s="852"/>
    </row>
    <row r="60" spans="1:22" x14ac:dyDescent="0.25">
      <c r="A60" s="468"/>
      <c r="B60" s="518"/>
      <c r="C60" s="518" t="s">
        <v>827</v>
      </c>
      <c r="D60" s="853"/>
      <c r="E60" s="860"/>
      <c r="F60" s="769"/>
      <c r="G60" s="853"/>
      <c r="H60" s="860"/>
      <c r="I60" s="769"/>
      <c r="J60" s="852"/>
      <c r="K60" s="860"/>
      <c r="L60" s="769"/>
      <c r="M60" s="918"/>
      <c r="N60" s="860"/>
      <c r="O60" s="769" t="s">
        <v>948</v>
      </c>
      <c r="P60" s="918"/>
      <c r="Q60" s="860"/>
      <c r="R60" s="769" t="s">
        <v>948</v>
      </c>
      <c r="S60" s="918"/>
      <c r="T60" s="860"/>
      <c r="U60" s="769" t="s">
        <v>952</v>
      </c>
      <c r="V60" s="852"/>
    </row>
    <row r="61" spans="1:22" x14ac:dyDescent="0.25">
      <c r="A61" s="468"/>
      <c r="B61" s="518"/>
      <c r="C61" s="518" t="s">
        <v>828</v>
      </c>
      <c r="D61" s="853"/>
      <c r="E61" s="860"/>
      <c r="F61" s="769"/>
      <c r="G61" s="853"/>
      <c r="H61" s="860"/>
      <c r="I61" s="769"/>
      <c r="J61" s="852"/>
      <c r="K61" s="860"/>
      <c r="L61" s="769"/>
      <c r="M61" s="918"/>
      <c r="N61" s="860"/>
      <c r="O61" s="769"/>
      <c r="P61" s="918"/>
      <c r="Q61" s="860"/>
      <c r="R61" s="769"/>
      <c r="S61" s="918"/>
      <c r="T61" s="860"/>
      <c r="U61" s="769" t="s">
        <v>953</v>
      </c>
      <c r="V61" s="852"/>
    </row>
    <row r="62" spans="1:22" x14ac:dyDescent="0.25">
      <c r="A62" s="468"/>
      <c r="B62" s="518"/>
      <c r="C62" s="518" t="s">
        <v>829</v>
      </c>
      <c r="D62" s="853"/>
      <c r="E62" s="860"/>
      <c r="F62" s="769"/>
      <c r="G62" s="853"/>
      <c r="H62" s="860"/>
      <c r="I62" s="769"/>
      <c r="J62" s="852"/>
      <c r="K62" s="860"/>
      <c r="L62" s="769"/>
      <c r="M62" s="918"/>
      <c r="N62" s="860"/>
      <c r="O62" s="769" t="s">
        <v>949</v>
      </c>
      <c r="P62" s="918"/>
      <c r="Q62" s="860"/>
      <c r="R62" s="769" t="s">
        <v>949</v>
      </c>
      <c r="S62" s="918"/>
      <c r="T62" s="860"/>
      <c r="U62" s="769"/>
      <c r="V62" s="852"/>
    </row>
    <row r="63" spans="1:22" x14ac:dyDescent="0.25">
      <c r="A63" s="468"/>
      <c r="B63" s="518"/>
      <c r="C63" s="518" t="s">
        <v>830</v>
      </c>
      <c r="D63" s="853"/>
      <c r="E63" s="860"/>
      <c r="F63" s="769"/>
      <c r="G63" s="853"/>
      <c r="H63" s="860"/>
      <c r="I63" s="769"/>
      <c r="J63" s="852"/>
      <c r="K63" s="860"/>
      <c r="L63" s="769"/>
      <c r="M63" s="918"/>
      <c r="N63" s="860"/>
      <c r="O63" s="769"/>
      <c r="P63" s="918"/>
      <c r="Q63" s="860"/>
      <c r="R63" s="769"/>
      <c r="S63" s="918"/>
      <c r="T63" s="860"/>
      <c r="U63" s="769"/>
      <c r="V63" s="852"/>
    </row>
    <row r="64" spans="1:22" x14ac:dyDescent="0.25">
      <c r="A64" s="468"/>
      <c r="B64" s="518"/>
      <c r="C64" s="518" t="s">
        <v>831</v>
      </c>
      <c r="D64" s="853"/>
      <c r="E64" s="919"/>
      <c r="F64" s="920"/>
      <c r="G64" s="853"/>
      <c r="H64" s="919"/>
      <c r="I64" s="920"/>
      <c r="J64" s="852"/>
      <c r="K64" s="919"/>
      <c r="L64" s="920"/>
      <c r="M64" s="918"/>
      <c r="N64" s="919"/>
      <c r="O64" s="920"/>
      <c r="P64" s="918"/>
      <c r="Q64" s="919"/>
      <c r="R64" s="920"/>
      <c r="S64" s="918"/>
      <c r="T64" s="919"/>
      <c r="U64" s="920"/>
      <c r="V64" s="852"/>
    </row>
    <row r="65" spans="1:22" x14ac:dyDescent="0.25">
      <c r="A65" s="468"/>
      <c r="B65" s="518" t="s">
        <v>19</v>
      </c>
      <c r="C65" s="518"/>
      <c r="D65" s="853"/>
      <c r="E65" s="904"/>
      <c r="F65" s="769"/>
      <c r="G65" s="853"/>
      <c r="H65" s="904"/>
      <c r="I65" s="769"/>
      <c r="J65" s="852"/>
      <c r="K65" s="904"/>
      <c r="L65" s="769"/>
      <c r="M65" s="918"/>
      <c r="N65" s="904"/>
      <c r="O65" s="769"/>
      <c r="P65" s="918"/>
      <c r="Q65" s="904"/>
      <c r="R65" s="769"/>
      <c r="S65" s="918"/>
      <c r="T65" s="904"/>
      <c r="U65" s="769"/>
      <c r="V65" s="852"/>
    </row>
    <row r="66" spans="1:22" x14ac:dyDescent="0.25">
      <c r="A66" s="468"/>
      <c r="B66" s="518"/>
      <c r="C66" s="518" t="s">
        <v>832</v>
      </c>
      <c r="D66" s="853"/>
      <c r="E66" s="860"/>
      <c r="F66" s="769"/>
      <c r="G66" s="853"/>
      <c r="H66" s="860"/>
      <c r="I66" s="769"/>
      <c r="J66" s="852"/>
      <c r="K66" s="860"/>
      <c r="L66" s="769"/>
      <c r="M66" s="918"/>
      <c r="N66" s="860"/>
      <c r="O66" s="769"/>
      <c r="P66" s="918"/>
      <c r="Q66" s="860"/>
      <c r="R66" s="769"/>
      <c r="S66" s="918"/>
      <c r="T66" s="860"/>
      <c r="U66" s="769"/>
      <c r="V66" s="852"/>
    </row>
    <row r="67" spans="1:22" x14ac:dyDescent="0.25">
      <c r="A67" s="468"/>
      <c r="B67" s="518"/>
      <c r="C67" s="518" t="s">
        <v>833</v>
      </c>
      <c r="D67" s="853"/>
      <c r="E67" s="860"/>
      <c r="F67" s="769"/>
      <c r="G67" s="853"/>
      <c r="H67" s="860"/>
      <c r="I67" s="769"/>
      <c r="J67" s="852"/>
      <c r="K67" s="860"/>
      <c r="L67" s="769"/>
      <c r="M67" s="918"/>
      <c r="N67" s="860"/>
      <c r="O67" s="769"/>
      <c r="P67" s="918"/>
      <c r="Q67" s="860"/>
      <c r="R67" s="769"/>
      <c r="S67" s="918"/>
      <c r="T67" s="860"/>
      <c r="U67" s="769"/>
      <c r="V67" s="852"/>
    </row>
    <row r="68" spans="1:22" x14ac:dyDescent="0.25">
      <c r="A68" s="468"/>
      <c r="B68" s="518"/>
      <c r="C68" s="518" t="s">
        <v>834</v>
      </c>
      <c r="D68" s="853"/>
      <c r="E68" s="860"/>
      <c r="F68" s="769"/>
      <c r="G68" s="853"/>
      <c r="H68" s="860"/>
      <c r="I68" s="769"/>
      <c r="J68" s="852"/>
      <c r="K68" s="860"/>
      <c r="L68" s="769"/>
      <c r="M68" s="918"/>
      <c r="N68" s="860"/>
      <c r="O68" s="769"/>
      <c r="P68" s="918"/>
      <c r="Q68" s="860"/>
      <c r="R68" s="769"/>
      <c r="S68" s="918"/>
      <c r="T68" s="860"/>
      <c r="U68" s="769"/>
      <c r="V68" s="852"/>
    </row>
    <row r="69" spans="1:22" x14ac:dyDescent="0.25">
      <c r="A69" s="468"/>
      <c r="C69" s="518" t="s">
        <v>835</v>
      </c>
      <c r="D69" s="853"/>
      <c r="E69" s="860"/>
      <c r="F69" s="769"/>
      <c r="G69" s="853"/>
      <c r="H69" s="860"/>
      <c r="I69" s="769"/>
      <c r="J69" s="852"/>
      <c r="K69" s="860"/>
      <c r="L69" s="769"/>
      <c r="M69" s="918"/>
      <c r="N69" s="860"/>
      <c r="O69" s="769"/>
      <c r="P69" s="918"/>
      <c r="Q69" s="860"/>
      <c r="R69" s="769"/>
      <c r="S69" s="918"/>
      <c r="T69" s="860"/>
      <c r="U69" s="769"/>
      <c r="V69" s="852"/>
    </row>
    <row r="70" spans="1:22" x14ac:dyDescent="0.25">
      <c r="A70" s="468"/>
      <c r="C70" s="518" t="s">
        <v>836</v>
      </c>
      <c r="D70" s="853"/>
      <c r="E70" s="860"/>
      <c r="F70" s="769"/>
      <c r="G70" s="853"/>
      <c r="H70" s="860"/>
      <c r="I70" s="769"/>
      <c r="J70" s="852"/>
      <c r="K70" s="860"/>
      <c r="L70" s="769"/>
      <c r="M70" s="918"/>
      <c r="N70" s="860"/>
      <c r="O70" s="769"/>
      <c r="P70" s="918"/>
      <c r="Q70" s="860"/>
      <c r="R70" s="769"/>
      <c r="S70" s="918"/>
      <c r="T70" s="860"/>
      <c r="U70" s="769"/>
      <c r="V70" s="852"/>
    </row>
    <row r="71" spans="1:22" ht="52.9" customHeight="1" x14ac:dyDescent="0.25">
      <c r="A71" s="468"/>
      <c r="B71" s="901" t="s">
        <v>855</v>
      </c>
      <c r="C71" s="518"/>
      <c r="D71" s="853"/>
      <c r="E71" s="1288"/>
      <c r="F71" s="1288"/>
      <c r="G71" s="853"/>
      <c r="H71" s="1293"/>
      <c r="I71" s="1293"/>
      <c r="J71" s="852"/>
      <c r="K71" s="1293"/>
      <c r="L71" s="1293"/>
      <c r="M71" s="918"/>
      <c r="N71" s="1293"/>
      <c r="O71" s="1293"/>
      <c r="P71" s="918"/>
      <c r="Q71" s="1293"/>
      <c r="R71" s="1293"/>
      <c r="S71" s="918"/>
      <c r="T71" s="1293"/>
      <c r="U71" s="1293"/>
      <c r="V71" s="852"/>
    </row>
    <row r="72" spans="1:22" ht="52.9" customHeight="1" x14ac:dyDescent="0.25">
      <c r="A72" s="468"/>
      <c r="B72" s="901" t="s">
        <v>856</v>
      </c>
      <c r="C72" s="518"/>
      <c r="D72" s="853"/>
      <c r="E72" s="1288"/>
      <c r="F72" s="1288"/>
      <c r="G72" s="853"/>
      <c r="H72" s="1293"/>
      <c r="I72" s="1293"/>
      <c r="J72" s="852"/>
      <c r="K72" s="1293"/>
      <c r="L72" s="1293"/>
      <c r="M72" s="918"/>
      <c r="N72" s="1293"/>
      <c r="O72" s="1293"/>
      <c r="P72" s="918"/>
      <c r="Q72" s="1293"/>
      <c r="R72" s="1293"/>
      <c r="S72" s="918"/>
      <c r="T72" s="1293"/>
      <c r="U72" s="1293"/>
      <c r="V72" s="852"/>
    </row>
    <row r="73" spans="1:22" ht="52.9" customHeight="1" x14ac:dyDescent="0.25">
      <c r="A73" s="468"/>
      <c r="B73" s="901" t="s">
        <v>857</v>
      </c>
      <c r="C73" s="518"/>
      <c r="D73" s="853"/>
      <c r="E73" s="1288"/>
      <c r="F73" s="1288"/>
      <c r="G73" s="853"/>
      <c r="H73" s="1290"/>
      <c r="I73" s="1290"/>
      <c r="J73" s="852"/>
      <c r="K73" s="1290"/>
      <c r="L73" s="1290"/>
      <c r="M73" s="918"/>
      <c r="N73" s="1290"/>
      <c r="O73" s="1290"/>
      <c r="P73" s="918"/>
      <c r="Q73" s="1290"/>
      <c r="R73" s="1290"/>
      <c r="S73" s="918"/>
      <c r="T73" s="1290"/>
      <c r="U73" s="1290"/>
      <c r="V73" s="852"/>
    </row>
    <row r="74" spans="1:22" ht="6" customHeight="1" x14ac:dyDescent="0.25">
      <c r="A74" s="468"/>
      <c r="D74" s="853"/>
      <c r="E74" s="853"/>
      <c r="F74" s="853"/>
      <c r="G74" s="853"/>
      <c r="H74" s="853"/>
      <c r="I74" s="853"/>
      <c r="J74" s="853"/>
      <c r="K74" s="852"/>
      <c r="L74" s="852"/>
      <c r="M74" s="852"/>
      <c r="N74" s="852"/>
      <c r="O74" s="852"/>
      <c r="P74" s="852"/>
      <c r="Q74" s="852"/>
      <c r="R74" s="852"/>
      <c r="S74" s="852"/>
      <c r="T74" s="852"/>
      <c r="U74" s="852"/>
      <c r="V74" s="852"/>
    </row>
    <row r="75" spans="1:22" ht="6" customHeight="1" x14ac:dyDescent="0.25">
      <c r="A75" s="468"/>
      <c r="E75" s="838"/>
      <c r="F75" s="838"/>
      <c r="G75" s="836"/>
      <c r="H75" s="838"/>
      <c r="I75" s="838"/>
      <c r="J75" s="836"/>
      <c r="K75" s="838"/>
      <c r="L75" s="838"/>
      <c r="M75" s="836"/>
      <c r="N75" s="838"/>
      <c r="O75" s="838"/>
      <c r="P75" s="836"/>
      <c r="Q75" s="838"/>
      <c r="R75" s="838"/>
      <c r="S75" s="836"/>
      <c r="T75" s="838"/>
      <c r="U75" s="838"/>
    </row>
    <row r="76" spans="1:22" ht="24" thickBot="1" x14ac:dyDescent="0.4">
      <c r="A76" s="468"/>
      <c r="D76" s="907"/>
      <c r="E76" s="1289" t="s">
        <v>796</v>
      </c>
      <c r="F76" s="1289"/>
      <c r="G76" s="1289"/>
      <c r="H76" s="1289"/>
      <c r="I76" s="1289"/>
      <c r="J76" s="1289"/>
      <c r="K76" s="1289"/>
      <c r="L76" s="1289"/>
      <c r="M76" s="1289"/>
      <c r="N76" s="1289"/>
      <c r="O76" s="1289"/>
      <c r="P76" s="1289"/>
      <c r="Q76" s="1289"/>
      <c r="R76" s="1289"/>
      <c r="S76" s="1289"/>
      <c r="T76" s="1289"/>
      <c r="U76" s="1289"/>
      <c r="V76" s="907"/>
    </row>
    <row r="77" spans="1:22" ht="7.15" customHeight="1" x14ac:dyDescent="0.25">
      <c r="A77" s="468"/>
      <c r="D77" s="853"/>
      <c r="E77" s="853"/>
      <c r="F77" s="853"/>
      <c r="G77" s="853"/>
      <c r="H77" s="853"/>
      <c r="I77" s="853"/>
      <c r="J77" s="853"/>
      <c r="K77" s="853"/>
      <c r="L77" s="853"/>
      <c r="M77" s="853"/>
      <c r="N77" s="853"/>
      <c r="O77" s="853"/>
      <c r="P77" s="853"/>
      <c r="Q77" s="853"/>
      <c r="R77" s="853"/>
      <c r="S77" s="853"/>
      <c r="T77" s="853"/>
      <c r="U77" s="853"/>
      <c r="V77" s="853"/>
    </row>
    <row r="78" spans="1:22" ht="15.75" thickBot="1" x14ac:dyDescent="0.3">
      <c r="A78" s="468"/>
      <c r="B78" s="468" t="s">
        <v>908</v>
      </c>
      <c r="D78" s="853"/>
      <c r="E78" s="899" t="s">
        <v>919</v>
      </c>
      <c r="F78" s="899" t="s">
        <v>920</v>
      </c>
      <c r="G78" s="853"/>
      <c r="H78" s="899" t="s">
        <v>919</v>
      </c>
      <c r="I78" s="899" t="s">
        <v>920</v>
      </c>
      <c r="J78" s="853"/>
      <c r="K78" s="899" t="s">
        <v>919</v>
      </c>
      <c r="L78" s="899" t="s">
        <v>920</v>
      </c>
      <c r="M78" s="853"/>
      <c r="N78" s="899" t="s">
        <v>919</v>
      </c>
      <c r="O78" s="899" t="s">
        <v>920</v>
      </c>
      <c r="P78" s="853"/>
      <c r="Q78" s="899" t="s">
        <v>919</v>
      </c>
      <c r="R78" s="899" t="s">
        <v>920</v>
      </c>
      <c r="S78" s="853"/>
      <c r="T78" s="899" t="s">
        <v>919</v>
      </c>
      <c r="U78" s="899" t="s">
        <v>920</v>
      </c>
      <c r="V78" s="853"/>
    </row>
    <row r="79" spans="1:22" x14ac:dyDescent="0.25">
      <c r="A79" s="468"/>
      <c r="C79" s="427" t="s">
        <v>896</v>
      </c>
      <c r="D79" s="853"/>
      <c r="E79" s="896" t="e">
        <f>+$E$46/10000*$E$32+IF($E$36="Fixed",AD168,AD242)</f>
        <v>#N/A</v>
      </c>
      <c r="F79" s="896" t="e">
        <f>+$E$46/10000*$E$32+IF($E$36="Fixed",AB168,AB242)</f>
        <v>#N/A</v>
      </c>
      <c r="G79" s="853"/>
      <c r="H79" s="896" t="e">
        <f>+$H$46/10000*$H$32+IF($H$36="Fixed",AN168,AN242)</f>
        <v>#N/A</v>
      </c>
      <c r="I79" s="896" t="e">
        <f>+$H$46/10000*$H$32+IF($H$36="Fixed",AL168,AL242)</f>
        <v>#NUM!</v>
      </c>
      <c r="J79" s="853"/>
      <c r="K79" s="896" t="e">
        <f>+$K$46/10000*$K$32+IF($K$36="Fixed",AX168,AX242)</f>
        <v>#N/A</v>
      </c>
      <c r="L79" s="896" t="e">
        <f>+$K$46/10000*$K$32+IF($K$36="Fixed",AV168,AV242)</f>
        <v>#NUM!</v>
      </c>
      <c r="M79" s="853"/>
      <c r="N79" s="896" t="e">
        <f>+$N$46/10000*$N$32+IF($N$36="Fixed",BH168,BH242)</f>
        <v>#N/A</v>
      </c>
      <c r="O79" s="896" t="e">
        <f>+$N$46/10000*$N$32+IF($N$36="Fixed",BF168,BF242)</f>
        <v>#NUM!</v>
      </c>
      <c r="P79" s="853"/>
      <c r="Q79" s="896" t="e">
        <f>+$Q$46/10000*$Q$32+IF($Q$36="Fixed",BR168,BR242)</f>
        <v>#N/A</v>
      </c>
      <c r="R79" s="896" t="e">
        <f>+$Q$46/10000*$Q$32+IF($Q$36="Fixed",BP168,BP242)</f>
        <v>#NUM!</v>
      </c>
      <c r="S79" s="853"/>
      <c r="T79" s="896" t="e">
        <f>+$T$46/10000*$T$32+IF($T$36="Fixed",CB168,CB242)</f>
        <v>#N/A</v>
      </c>
      <c r="U79" s="896" t="e">
        <f>+$T$46/10000*$T$32+IF($T$36="Fixed",BZ168,BZ242)</f>
        <v>#NUM!</v>
      </c>
      <c r="V79" s="853"/>
    </row>
    <row r="80" spans="1:22" x14ac:dyDescent="0.25">
      <c r="A80" s="468"/>
      <c r="C80" s="427" t="s">
        <v>897</v>
      </c>
      <c r="D80" s="853"/>
      <c r="E80" s="896" t="e">
        <f>+$E$46/10000*$E$32+IF($E$36="Fixed",AD169,AD243)</f>
        <v>#N/A</v>
      </c>
      <c r="F80" s="896" t="e">
        <f>+$E$46/10000*$E$32+IF($E$36="Fixed",AB169,AB243)</f>
        <v>#N/A</v>
      </c>
      <c r="G80" s="853"/>
      <c r="H80" s="896" t="e">
        <f>+$H$46/10000*$H$32+IF($H$36="Fixed",AN169,AN243)</f>
        <v>#N/A</v>
      </c>
      <c r="I80" s="896" t="e">
        <f>+$H$46/10000*$H$32+IF($H$36="Fixed",AL169,AL243)</f>
        <v>#NUM!</v>
      </c>
      <c r="J80" s="853"/>
      <c r="K80" s="896" t="e">
        <f>+$K$46/10000*$K$32+IF($K$36="Fixed",AX169,AX243)</f>
        <v>#N/A</v>
      </c>
      <c r="L80" s="896" t="e">
        <f>+$K$46/10000*$K$32+IF($K$36="Fixed",AV169,AV243)</f>
        <v>#NUM!</v>
      </c>
      <c r="M80" s="853"/>
      <c r="N80" s="896" t="e">
        <f>+$N$46/10000*$N$32+IF($N$36="Fixed",BH169,BH243)</f>
        <v>#N/A</v>
      </c>
      <c r="O80" s="896" t="e">
        <f>+$N$46/10000*$N$32+IF($N$36="Fixed",BF169,BF243)</f>
        <v>#NUM!</v>
      </c>
      <c r="P80" s="853"/>
      <c r="Q80" s="896" t="e">
        <f>+$Q$46/10000*$Q$32+IF($Q$36="Fixed",BR169,BR243)</f>
        <v>#N/A</v>
      </c>
      <c r="R80" s="896" t="e">
        <f>+$Q$46/10000*$Q$32+IF($Q$36="Fixed",BP169,BP243)</f>
        <v>#NUM!</v>
      </c>
      <c r="S80" s="853"/>
      <c r="T80" s="896" t="e">
        <f>+$T$46/10000*$T$32+IF($T$36="Fixed",CB169,CB243)</f>
        <v>#N/A</v>
      </c>
      <c r="U80" s="896" t="e">
        <f>+$T$46/10000*$T$32+IF($T$36="Fixed",BZ169,BZ243)</f>
        <v>#NUM!</v>
      </c>
      <c r="V80" s="853"/>
    </row>
    <row r="81" spans="1:22" x14ac:dyDescent="0.25">
      <c r="A81" s="468"/>
      <c r="C81" s="427" t="s">
        <v>797</v>
      </c>
      <c r="D81" s="853"/>
      <c r="E81" s="896" t="e">
        <f>+$E$46/10000*$E$32+IF($E$36="Fixed",AD169+AD170+AD171,AD243+AD244+AD245)</f>
        <v>#N/A</v>
      </c>
      <c r="F81" s="896" t="e">
        <f>+$E$46/10000*$E$32+IF($E$36="Fixed",AB169+AB170+AB171,AB243+AB244+AB245)</f>
        <v>#N/A</v>
      </c>
      <c r="G81" s="853"/>
      <c r="H81" s="896" t="e">
        <f>+$H$46/10000*$H$32+IF($H$36="Fixed",AN169+AN170+AN171,AN243+AN244+AN245)</f>
        <v>#N/A</v>
      </c>
      <c r="I81" s="896" t="e">
        <f>+$H$46/10000*$H$32+IF($H$36="Fixed",AL169+AL170+AL171,AL243+AL244+AL245)</f>
        <v>#NUM!</v>
      </c>
      <c r="J81" s="853"/>
      <c r="K81" s="896" t="e">
        <f>+$K$46/10000*$K$32+IF($K$36="Fixed",AX169+AX170+AX171,AX243+AX244+AX245)</f>
        <v>#N/A</v>
      </c>
      <c r="L81" s="896" t="e">
        <f>+$K$46/10000*$K$32+IF($K$36="Fixed",AV169+AV170+AV171,AV243+AV244+AV245)</f>
        <v>#NUM!</v>
      </c>
      <c r="M81" s="853"/>
      <c r="N81" s="896" t="e">
        <f>+$N$46/10000*$N$32+IF($N$36="Fixed",BH169+BH170+BH171,BH243+BH244+BH245)</f>
        <v>#N/A</v>
      </c>
      <c r="O81" s="896" t="e">
        <f>+$N$46/10000*$N$32+IF($N$36="Fixed",BF169+BF170+BF171,BF243+BF244+BF245)</f>
        <v>#NUM!</v>
      </c>
      <c r="P81" s="853"/>
      <c r="Q81" s="896" t="e">
        <f>+$Q$46/10000*$Q$32+IF($Q$36="Fixed",BR169+BR170+BR171,BR243+BR244+BR245)</f>
        <v>#N/A</v>
      </c>
      <c r="R81" s="896" t="e">
        <f>+$Q$46/10000*$Q$32+IF($Q$36="Fixed",BP169+BP170+BP171,BP243+BP244+BP245)</f>
        <v>#NUM!</v>
      </c>
      <c r="S81" s="853"/>
      <c r="T81" s="896" t="e">
        <f>+$T$46/10000*$T$32+IF($T$36="Fixed",CB169+CB170+CB171,CB243+CB244+CB245)</f>
        <v>#N/A</v>
      </c>
      <c r="U81" s="896" t="e">
        <f>+$T$46/10000*$T$32+IF($T$36="Fixed",BZ169+BZ170+BZ171,BZ243+BZ244+BZ245)</f>
        <v>#NUM!</v>
      </c>
      <c r="V81" s="853"/>
    </row>
    <row r="82" spans="1:22" x14ac:dyDescent="0.25">
      <c r="A82" s="468"/>
      <c r="C82" s="427" t="s">
        <v>798</v>
      </c>
      <c r="D82" s="853"/>
      <c r="E82" s="896" t="e">
        <f>+$E$46/10000*$E$32+IF($E$36="Fixed",SUM(AD169:AD173),SUM(AD243:AD247))</f>
        <v>#N/A</v>
      </c>
      <c r="F82" s="896" t="e">
        <f>+$E$46/10000*$E$32+IF($E$36="Fixed",SUM(AB169:AB173),SUM(AB243:AB247))</f>
        <v>#N/A</v>
      </c>
      <c r="G82" s="853"/>
      <c r="H82" s="896" t="e">
        <f>+$H$46/10000*$H$32+IF($H$36="Fixed",SUM(AN169:AN173),SUM(AN243:AN247))</f>
        <v>#N/A</v>
      </c>
      <c r="I82" s="896" t="e">
        <f>+$H$46/10000*$H$32+IF($H$36="Fixed",SUM(AL169:AL173),SUM(AL243:AL247))</f>
        <v>#NUM!</v>
      </c>
      <c r="J82" s="853"/>
      <c r="K82" s="896" t="e">
        <f>+$K$46/10000*$K$32+IF($K$36="Fixed",SUM(AX169:AX173),SUM(AX243:AX247))</f>
        <v>#N/A</v>
      </c>
      <c r="L82" s="896" t="e">
        <f>+$K$46/10000*$K$32+IF($K$36="Fixed",SUM(AV169:AV173),SUM(AV243:AV247))</f>
        <v>#NUM!</v>
      </c>
      <c r="M82" s="853"/>
      <c r="N82" s="896" t="e">
        <f>+$N$46/10000*$N$32+IF($N$36="Fixed",SUM(BH169:BH173),SUM(BH243:BH247))</f>
        <v>#N/A</v>
      </c>
      <c r="O82" s="896" t="e">
        <f>+$N$46/10000*$N$32+IF($N$36="Fixed",SUM(BF169:BF173),SUM(BF243:BF247))</f>
        <v>#NUM!</v>
      </c>
      <c r="P82" s="853"/>
      <c r="Q82" s="896" t="e">
        <f>+$Q$46/10000*$Q$32+IF($Q$36="Fixed",SUM(BR169:BR173),SUM(BR243:BR247))</f>
        <v>#N/A</v>
      </c>
      <c r="R82" s="896" t="e">
        <f>+$Q$46/10000*$Q$32+IF($Q$36="Fixed",SUM(BP169:BP173),SUM(BP243:BP247))</f>
        <v>#NUM!</v>
      </c>
      <c r="S82" s="853"/>
      <c r="T82" s="896" t="e">
        <f>+$T$46/10000*$T$32+IF($T$36="Fixed",SUM(CB169:CB173),SUM(CB243:CB247))</f>
        <v>#N/A</v>
      </c>
      <c r="U82" s="896" t="e">
        <f>+$T$46/10000*$T$32+IF($T$36="Fixed",SUM(BZ169:BZ173),SUM(BZ243:BZ247))</f>
        <v>#NUM!</v>
      </c>
      <c r="V82" s="853"/>
    </row>
    <row r="83" spans="1:22" ht="15.75" thickBot="1" x14ac:dyDescent="0.3">
      <c r="A83" s="468"/>
      <c r="B83" s="468" t="s">
        <v>915</v>
      </c>
      <c r="D83" s="853"/>
      <c r="E83" s="899" t="s">
        <v>78</v>
      </c>
      <c r="F83" s="899" t="s">
        <v>916</v>
      </c>
      <c r="G83" s="853"/>
      <c r="H83" s="899" t="s">
        <v>78</v>
      </c>
      <c r="I83" s="899" t="s">
        <v>916</v>
      </c>
      <c r="J83" s="853"/>
      <c r="K83" s="899" t="s">
        <v>78</v>
      </c>
      <c r="L83" s="899" t="s">
        <v>916</v>
      </c>
      <c r="M83" s="853"/>
      <c r="N83" s="899" t="s">
        <v>78</v>
      </c>
      <c r="O83" s="899" t="s">
        <v>916</v>
      </c>
      <c r="P83" s="853"/>
      <c r="Q83" s="899" t="s">
        <v>78</v>
      </c>
      <c r="R83" s="899" t="s">
        <v>916</v>
      </c>
      <c r="S83" s="853"/>
      <c r="T83" s="899" t="s">
        <v>78</v>
      </c>
      <c r="U83" s="899" t="s">
        <v>916</v>
      </c>
      <c r="V83" s="853"/>
    </row>
    <row r="84" spans="1:22" x14ac:dyDescent="0.25">
      <c r="A84" s="468"/>
      <c r="C84" s="427" t="s">
        <v>909</v>
      </c>
      <c r="D84" s="853"/>
      <c r="E84" s="896" t="e">
        <f>+ProForma!$S$71-'Financing Matrix'!F80+'Financing Matrix'!E46/10000*'Financing Matrix'!E32</f>
        <v>#N/A</v>
      </c>
      <c r="F84" s="896" t="e">
        <f>+ProForma!$S$71-'Financing Matrix'!E80+'Financing Matrix'!E46/10000*'Financing Matrix'!E32</f>
        <v>#N/A</v>
      </c>
      <c r="G84" s="853"/>
      <c r="H84" s="896" t="e">
        <f>+ProForma!$S$71-'Financing Matrix'!I80+'Financing Matrix'!H46/10000*'Financing Matrix'!H32</f>
        <v>#NUM!</v>
      </c>
      <c r="I84" s="896" t="e">
        <f>+ProForma!$S$71-'Financing Matrix'!H80+'Financing Matrix'!H46/10000*'Financing Matrix'!H32</f>
        <v>#N/A</v>
      </c>
      <c r="J84" s="853"/>
      <c r="K84" s="896" t="e">
        <f>+ProForma!$S$71-'Financing Matrix'!L80+'Financing Matrix'!K46/10000*'Financing Matrix'!K32</f>
        <v>#NUM!</v>
      </c>
      <c r="L84" s="896" t="e">
        <f>+ProForma!$S$71-'Financing Matrix'!K80+'Financing Matrix'!K46/10000*'Financing Matrix'!K32</f>
        <v>#N/A</v>
      </c>
      <c r="M84" s="853"/>
      <c r="N84" s="896" t="e">
        <f>+ProForma!$S$71-'Financing Matrix'!O80+'Financing Matrix'!N46/10000*'Financing Matrix'!N32</f>
        <v>#NUM!</v>
      </c>
      <c r="O84" s="896" t="e">
        <f>+ProForma!$S$71-'Financing Matrix'!N80+'Financing Matrix'!N46/10000*'Financing Matrix'!N32</f>
        <v>#N/A</v>
      </c>
      <c r="P84" s="853"/>
      <c r="Q84" s="896" t="e">
        <f>+ProForma!$S$71-'Financing Matrix'!R80+'Financing Matrix'!Q46/10000*'Financing Matrix'!Q32</f>
        <v>#NUM!</v>
      </c>
      <c r="R84" s="896" t="e">
        <f>+ProForma!$S$71-'Financing Matrix'!Q80+'Financing Matrix'!Q46/10000*'Financing Matrix'!Q32</f>
        <v>#N/A</v>
      </c>
      <c r="S84" s="853"/>
      <c r="T84" s="896" t="e">
        <f>+ProForma!$S$71-'Financing Matrix'!U80+'Financing Matrix'!T46/10000*'Financing Matrix'!T32</f>
        <v>#NUM!</v>
      </c>
      <c r="U84" s="896" t="e">
        <f>+ProForma!$S$71-'Financing Matrix'!T80+'Financing Matrix'!T46/10000*'Financing Matrix'!T32</f>
        <v>#N/A</v>
      </c>
      <c r="V84" s="853"/>
    </row>
    <row r="85" spans="1:22" x14ac:dyDescent="0.25">
      <c r="A85" s="468"/>
      <c r="C85" s="427" t="s">
        <v>910</v>
      </c>
      <c r="D85" s="853"/>
      <c r="E85" s="896" t="e">
        <f>+ProForma!$S$71+ProForma!$U$71+ProForma!$W$71-'Financing Matrix'!F81+'Financing Matrix'!E46/10000*'Financing Matrix'!E32</f>
        <v>#N/A</v>
      </c>
      <c r="F85" s="896" t="e">
        <f>+ProForma!$S$71+ProForma!$U$71+ProForma!$W$71-'Financing Matrix'!E81+'Financing Matrix'!E46/10000*'Financing Matrix'!E32</f>
        <v>#N/A</v>
      </c>
      <c r="G85" s="853"/>
      <c r="H85" s="896" t="e">
        <f>+ProForma!$S$71+ProForma!$U$71+ProForma!$W$71-'Financing Matrix'!I81+'Financing Matrix'!H46/10000*'Financing Matrix'!H32</f>
        <v>#NUM!</v>
      </c>
      <c r="I85" s="896" t="e">
        <f>+ProForma!$S$71+ProForma!$U$71+ProForma!$W$71-'Financing Matrix'!H81+'Financing Matrix'!H46/10000*'Financing Matrix'!H32</f>
        <v>#N/A</v>
      </c>
      <c r="J85" s="853"/>
      <c r="K85" s="896" t="e">
        <f>+ProForma!$S$71+ProForma!$U$71+ProForma!$W$71-'Financing Matrix'!L81+'Financing Matrix'!K46/10000*'Financing Matrix'!K32</f>
        <v>#NUM!</v>
      </c>
      <c r="L85" s="896" t="e">
        <f>+ProForma!$S$71+ProForma!$U$71+ProForma!$W$71-'Financing Matrix'!K81+'Financing Matrix'!K46/10000*'Financing Matrix'!K32</f>
        <v>#N/A</v>
      </c>
      <c r="M85" s="853"/>
      <c r="N85" s="896" t="e">
        <f>+ProForma!$S$71+ProForma!$U$71+ProForma!$W$71-'Financing Matrix'!O81+'Financing Matrix'!N46/10000*'Financing Matrix'!N32</f>
        <v>#NUM!</v>
      </c>
      <c r="O85" s="896" t="e">
        <f>+ProForma!$S$71+ProForma!$U$71+ProForma!$W$71-'Financing Matrix'!N81+'Financing Matrix'!N46/10000*'Financing Matrix'!N32</f>
        <v>#N/A</v>
      </c>
      <c r="P85" s="853"/>
      <c r="Q85" s="896" t="e">
        <f>+ProForma!$S$71+ProForma!$U$71+ProForma!$W$71-'Financing Matrix'!R81+'Financing Matrix'!Q46/10000*'Financing Matrix'!Q32</f>
        <v>#NUM!</v>
      </c>
      <c r="R85" s="896" t="e">
        <f>+ProForma!$S$71+ProForma!$U$71+ProForma!$W$71-'Financing Matrix'!Q81+'Financing Matrix'!Q46/10000*'Financing Matrix'!Q32</f>
        <v>#N/A</v>
      </c>
      <c r="S85" s="853"/>
      <c r="T85" s="896" t="e">
        <f>+ProForma!$S$71+ProForma!$U$71+ProForma!$W$71-'Financing Matrix'!U81+'Financing Matrix'!T46/10000*'Financing Matrix'!T32</f>
        <v>#NUM!</v>
      </c>
      <c r="U85" s="896" t="e">
        <f>+ProForma!$S$71+ProForma!$U$71+ProForma!$W$71-'Financing Matrix'!T81+'Financing Matrix'!T46/10000*'Financing Matrix'!T32</f>
        <v>#N/A</v>
      </c>
      <c r="V85" s="853"/>
    </row>
    <row r="86" spans="1:22" x14ac:dyDescent="0.25">
      <c r="A86" s="468"/>
      <c r="C86" s="427" t="s">
        <v>895</v>
      </c>
      <c r="D86" s="853"/>
      <c r="E86" s="896" t="e">
        <f>+ProForma!$S$71+ProForma!$U$71+ProForma!$W$71+ProForma!$Y$71+ProForma!$AA$71-'Financing Matrix'!F82+'Financing Matrix'!E46/10000*'Financing Matrix'!E32</f>
        <v>#N/A</v>
      </c>
      <c r="F86" s="896" t="e">
        <f>+ProForma!$S$71+ProForma!$U$71+ProForma!$W$71+ProForma!$Y$71+ProForma!$AA$71-'Financing Matrix'!E82+'Financing Matrix'!E46/10000*'Financing Matrix'!E32</f>
        <v>#N/A</v>
      </c>
      <c r="G86" s="853"/>
      <c r="H86" s="896" t="e">
        <f>+ProForma!$S$71+ProForma!$U$71+ProForma!$W$71+ProForma!$Y$71+ProForma!$AA$71-'Financing Matrix'!I82+'Financing Matrix'!H46/10000*'Financing Matrix'!H32</f>
        <v>#NUM!</v>
      </c>
      <c r="I86" s="896" t="e">
        <f>+ProForma!$S$71+ProForma!$U$71+ProForma!$W$71+ProForma!$Y$71+ProForma!$AA$71-'Financing Matrix'!H82+'Financing Matrix'!H46/10000*'Financing Matrix'!H32</f>
        <v>#N/A</v>
      </c>
      <c r="J86" s="853"/>
      <c r="K86" s="896" t="e">
        <f>+ProForma!$S$71+ProForma!$U$71+ProForma!$W$71+ProForma!$Y$71+ProForma!$AA$71-'Financing Matrix'!L82+'Financing Matrix'!K46/10000*'Financing Matrix'!K32</f>
        <v>#NUM!</v>
      </c>
      <c r="L86" s="896" t="e">
        <f>+ProForma!$S$71+ProForma!$U$71+ProForma!$W$71+ProForma!$Y$71+ProForma!$AA$71-'Financing Matrix'!K82+'Financing Matrix'!K46/10000*'Financing Matrix'!K32</f>
        <v>#N/A</v>
      </c>
      <c r="M86" s="853"/>
      <c r="N86" s="896" t="e">
        <f>+ProForma!$S$71+ProForma!$U$71+ProForma!$W$71+ProForma!$Y$71+ProForma!$AA$71-'Financing Matrix'!O82+'Financing Matrix'!N46/10000*'Financing Matrix'!N32</f>
        <v>#NUM!</v>
      </c>
      <c r="O86" s="896" t="e">
        <f>+ProForma!$S$71+ProForma!$U$71+ProForma!$W$71+ProForma!$Y$71+ProForma!$AA$71-'Financing Matrix'!N82+'Financing Matrix'!N46/10000*'Financing Matrix'!N32</f>
        <v>#N/A</v>
      </c>
      <c r="P86" s="853"/>
      <c r="Q86" s="896" t="e">
        <f>+ProForma!$S$71+ProForma!$U$71+ProForma!$W$71+ProForma!$Y$71+ProForma!$AA$71-'Financing Matrix'!R82+'Financing Matrix'!Q46/10000*'Financing Matrix'!Q32</f>
        <v>#NUM!</v>
      </c>
      <c r="R86" s="896" t="e">
        <f>+ProForma!$S$71+ProForma!$U$71+ProForma!$W$71+ProForma!$Y$71+ProForma!$AA$71-'Financing Matrix'!Q82+'Financing Matrix'!Q46/10000*'Financing Matrix'!Q32</f>
        <v>#N/A</v>
      </c>
      <c r="S86" s="853"/>
      <c r="T86" s="896" t="e">
        <f>+ProForma!$S$71+ProForma!$U$71+ProForma!$W$71+ProForma!$Y$71+ProForma!$AA$71-'Financing Matrix'!U82+'Financing Matrix'!T46/10000*'Financing Matrix'!T32</f>
        <v>#NUM!</v>
      </c>
      <c r="U86" s="896" t="e">
        <f>+ProForma!$S$71+ProForma!$U$71+ProForma!$W$71+ProForma!$Y$71+ProForma!$AA$71-'Financing Matrix'!T82+'Financing Matrix'!T46/10000*'Financing Matrix'!T32</f>
        <v>#N/A</v>
      </c>
      <c r="V86" s="853"/>
    </row>
    <row r="87" spans="1:22" ht="15.75" thickBot="1" x14ac:dyDescent="0.3">
      <c r="A87" s="468"/>
      <c r="B87" s="468" t="s">
        <v>956</v>
      </c>
      <c r="D87" s="853"/>
      <c r="E87" s="899" t="s">
        <v>78</v>
      </c>
      <c r="F87" s="899" t="s">
        <v>916</v>
      </c>
      <c r="G87" s="853"/>
      <c r="H87" s="899" t="s">
        <v>78</v>
      </c>
      <c r="I87" s="899" t="s">
        <v>916</v>
      </c>
      <c r="J87" s="853"/>
      <c r="K87" s="899" t="s">
        <v>78</v>
      </c>
      <c r="L87" s="899" t="s">
        <v>916</v>
      </c>
      <c r="M87" s="853"/>
      <c r="N87" s="899" t="s">
        <v>78</v>
      </c>
      <c r="O87" s="899" t="s">
        <v>916</v>
      </c>
      <c r="P87" s="853"/>
      <c r="Q87" s="899" t="s">
        <v>78</v>
      </c>
      <c r="R87" s="899" t="s">
        <v>916</v>
      </c>
      <c r="S87" s="853"/>
      <c r="T87" s="899" t="s">
        <v>78</v>
      </c>
      <c r="U87" s="899" t="s">
        <v>916</v>
      </c>
      <c r="V87" s="853"/>
    </row>
    <row r="88" spans="1:22" x14ac:dyDescent="0.25">
      <c r="A88" s="468"/>
      <c r="C88" s="427" t="s">
        <v>909</v>
      </c>
      <c r="D88" s="853"/>
      <c r="E88" s="923" t="e">
        <f>+E84/E33</f>
        <v>#N/A</v>
      </c>
      <c r="F88" s="924" t="e">
        <f>+F84/E33</f>
        <v>#N/A</v>
      </c>
      <c r="G88" s="853"/>
      <c r="H88" s="923" t="e">
        <f>+H84/H33</f>
        <v>#NUM!</v>
      </c>
      <c r="I88" s="924" t="e">
        <f>+I84/H33</f>
        <v>#N/A</v>
      </c>
      <c r="J88" s="853"/>
      <c r="K88" s="923" t="e">
        <f>+K84/K33</f>
        <v>#NUM!</v>
      </c>
      <c r="L88" s="924" t="e">
        <f>+L84/K33</f>
        <v>#N/A</v>
      </c>
      <c r="M88" s="853"/>
      <c r="N88" s="923" t="e">
        <f>+N84/N33</f>
        <v>#NUM!</v>
      </c>
      <c r="O88" s="924" t="e">
        <f>+O84/N33</f>
        <v>#N/A</v>
      </c>
      <c r="P88" s="853"/>
      <c r="Q88" s="923" t="e">
        <f>+Q84/Q33</f>
        <v>#NUM!</v>
      </c>
      <c r="R88" s="924" t="e">
        <f>+R84/Q33</f>
        <v>#N/A</v>
      </c>
      <c r="S88" s="853"/>
      <c r="T88" s="923" t="e">
        <f>+T84/T33</f>
        <v>#NUM!</v>
      </c>
      <c r="U88" s="924" t="e">
        <f>+U84/T33</f>
        <v>#N/A</v>
      </c>
      <c r="V88" s="853"/>
    </row>
    <row r="89" spans="1:22" x14ac:dyDescent="0.25">
      <c r="A89" s="468"/>
      <c r="C89" s="427" t="s">
        <v>910</v>
      </c>
      <c r="D89" s="853"/>
      <c r="E89" s="923" t="e">
        <f>+E85/E33/3</f>
        <v>#N/A</v>
      </c>
      <c r="F89" s="924" t="e">
        <f>+F85/E33/3</f>
        <v>#N/A</v>
      </c>
      <c r="G89" s="853"/>
      <c r="H89" s="923" t="e">
        <f>+H85/H33/3</f>
        <v>#NUM!</v>
      </c>
      <c r="I89" s="924" t="e">
        <f>+I85/H33/3</f>
        <v>#N/A</v>
      </c>
      <c r="J89" s="853"/>
      <c r="K89" s="923" t="e">
        <f>+K85/K33/3</f>
        <v>#NUM!</v>
      </c>
      <c r="L89" s="924" t="e">
        <f>+L85/K33/3</f>
        <v>#N/A</v>
      </c>
      <c r="M89" s="853"/>
      <c r="N89" s="923" t="e">
        <f>+N85/N33/3</f>
        <v>#NUM!</v>
      </c>
      <c r="O89" s="924" t="e">
        <f>+O85/N33/3</f>
        <v>#N/A</v>
      </c>
      <c r="P89" s="853"/>
      <c r="Q89" s="923" t="e">
        <f>+Q85/Q33/3</f>
        <v>#NUM!</v>
      </c>
      <c r="R89" s="924" t="e">
        <f>+R85/Q33/3</f>
        <v>#N/A</v>
      </c>
      <c r="S89" s="853"/>
      <c r="T89" s="923" t="e">
        <f>+T85/T33/3</f>
        <v>#NUM!</v>
      </c>
      <c r="U89" s="924" t="e">
        <f>+U85/T33/3</f>
        <v>#N/A</v>
      </c>
      <c r="V89" s="853"/>
    </row>
    <row r="90" spans="1:22" x14ac:dyDescent="0.25">
      <c r="A90" s="468"/>
      <c r="C90" s="427" t="s">
        <v>895</v>
      </c>
      <c r="D90" s="853"/>
      <c r="E90" s="923" t="e">
        <f>+E86/E33/5</f>
        <v>#N/A</v>
      </c>
      <c r="F90" s="924" t="e">
        <f>+F86/E33/5</f>
        <v>#N/A</v>
      </c>
      <c r="G90" s="853"/>
      <c r="H90" s="923" t="e">
        <f>+H86/H33/5</f>
        <v>#NUM!</v>
      </c>
      <c r="I90" s="924" t="e">
        <f>+I86/H33/5</f>
        <v>#N/A</v>
      </c>
      <c r="J90" s="853"/>
      <c r="K90" s="923" t="e">
        <f>+K86/K33/5</f>
        <v>#NUM!</v>
      </c>
      <c r="L90" s="924" t="e">
        <f>+L86/K33/5</f>
        <v>#N/A</v>
      </c>
      <c r="M90" s="853"/>
      <c r="N90" s="923" t="e">
        <f>+N86/N33/5</f>
        <v>#NUM!</v>
      </c>
      <c r="O90" s="924" t="e">
        <f>+O86/N33/5</f>
        <v>#N/A</v>
      </c>
      <c r="P90" s="853"/>
      <c r="Q90" s="923" t="e">
        <f>+Q86/Q33/5</f>
        <v>#NUM!</v>
      </c>
      <c r="R90" s="924" t="e">
        <f>+R86/Q33/5</f>
        <v>#N/A</v>
      </c>
      <c r="S90" s="853"/>
      <c r="T90" s="923" t="e">
        <f>+T86/T33/5</f>
        <v>#NUM!</v>
      </c>
      <c r="U90" s="924" t="e">
        <f>+U86/T33/5</f>
        <v>#N/A</v>
      </c>
      <c r="V90" s="853"/>
    </row>
    <row r="91" spans="1:22" ht="15.75" thickBot="1" x14ac:dyDescent="0.3">
      <c r="A91" s="468"/>
      <c r="B91" s="468" t="s">
        <v>913</v>
      </c>
      <c r="D91" s="853"/>
      <c r="E91" s="899" t="s">
        <v>917</v>
      </c>
      <c r="F91" s="899" t="s">
        <v>918</v>
      </c>
      <c r="G91" s="853"/>
      <c r="H91" s="899" t="s">
        <v>917</v>
      </c>
      <c r="I91" s="899" t="s">
        <v>918</v>
      </c>
      <c r="J91" s="853"/>
      <c r="K91" s="899" t="s">
        <v>917</v>
      </c>
      <c r="L91" s="899" t="s">
        <v>918</v>
      </c>
      <c r="M91" s="853"/>
      <c r="N91" s="899" t="s">
        <v>917</v>
      </c>
      <c r="O91" s="899" t="s">
        <v>918</v>
      </c>
      <c r="P91" s="853"/>
      <c r="Q91" s="899" t="s">
        <v>917</v>
      </c>
      <c r="R91" s="899" t="s">
        <v>918</v>
      </c>
      <c r="S91" s="853"/>
      <c r="T91" s="899" t="s">
        <v>917</v>
      </c>
      <c r="U91" s="899" t="s">
        <v>918</v>
      </c>
      <c r="V91" s="853"/>
    </row>
    <row r="92" spans="1:22" x14ac:dyDescent="0.25">
      <c r="A92" s="468"/>
      <c r="C92" s="427" t="s">
        <v>909</v>
      </c>
      <c r="D92" s="853"/>
      <c r="E92" s="896" t="e">
        <f>+E84-$L$13*$L$14</f>
        <v>#N/A</v>
      </c>
      <c r="F92" s="900" t="e">
        <f>+F84/($L$13*$L$14)</f>
        <v>#N/A</v>
      </c>
      <c r="G92" s="853"/>
      <c r="H92" s="896" t="e">
        <f>+H84-$L$13*$L$14</f>
        <v>#NUM!</v>
      </c>
      <c r="I92" s="900" t="e">
        <f>+I84/($L$13*$L$14)</f>
        <v>#N/A</v>
      </c>
      <c r="J92" s="853"/>
      <c r="K92" s="896" t="e">
        <f>+K84-$L$13*$L$14</f>
        <v>#NUM!</v>
      </c>
      <c r="L92" s="900" t="e">
        <f>+L84/($L$13*$L$14)</f>
        <v>#N/A</v>
      </c>
      <c r="M92" s="853"/>
      <c r="N92" s="896" t="e">
        <f>+N84-$L$13*$L$14</f>
        <v>#NUM!</v>
      </c>
      <c r="O92" s="900" t="e">
        <f>+O84/($L$13*$L$14)</f>
        <v>#N/A</v>
      </c>
      <c r="P92" s="853"/>
      <c r="Q92" s="896" t="e">
        <f>+Q84-$L$13*$L$14</f>
        <v>#NUM!</v>
      </c>
      <c r="R92" s="900" t="e">
        <f>+R84/($L$13*$L$14)</f>
        <v>#N/A</v>
      </c>
      <c r="S92" s="853"/>
      <c r="T92" s="896" t="e">
        <f>+T84-$L$13*$L$14</f>
        <v>#NUM!</v>
      </c>
      <c r="U92" s="900" t="e">
        <f>+U84/($L$13*$L$14)</f>
        <v>#N/A</v>
      </c>
      <c r="V92" s="853"/>
    </row>
    <row r="93" spans="1:22" x14ac:dyDescent="0.25">
      <c r="A93" s="468"/>
      <c r="C93" s="427" t="s">
        <v>910</v>
      </c>
      <c r="D93" s="853"/>
      <c r="E93" s="896" t="e">
        <f>+E85-$L$13*$L$14*3</f>
        <v>#N/A</v>
      </c>
      <c r="F93" s="900" t="e">
        <f>+F85/($L$13*$L$14*3)</f>
        <v>#N/A</v>
      </c>
      <c r="G93" s="853"/>
      <c r="H93" s="896" t="e">
        <f>+H85-$L$13*$L$14*3</f>
        <v>#NUM!</v>
      </c>
      <c r="I93" s="900" t="e">
        <f>+I85/($L$13*$L$14*3)</f>
        <v>#N/A</v>
      </c>
      <c r="J93" s="853"/>
      <c r="K93" s="896" t="e">
        <f>+K85-$L$13*$L$14*3</f>
        <v>#NUM!</v>
      </c>
      <c r="L93" s="900" t="e">
        <f>+L85/($L$13*$L$14*3)</f>
        <v>#N/A</v>
      </c>
      <c r="M93" s="853"/>
      <c r="N93" s="896" t="e">
        <f>+N85-$L$13*$L$14*3</f>
        <v>#NUM!</v>
      </c>
      <c r="O93" s="900" t="e">
        <f>+O85/($L$13*$L$14*3)</f>
        <v>#N/A</v>
      </c>
      <c r="P93" s="853"/>
      <c r="Q93" s="896" t="e">
        <f>+Q85-$L$13*$L$14*3</f>
        <v>#NUM!</v>
      </c>
      <c r="R93" s="900" t="e">
        <f>+R85/($L$13*$L$14*3)</f>
        <v>#N/A</v>
      </c>
      <c r="S93" s="853"/>
      <c r="T93" s="896" t="e">
        <f>+T85-$L$13*$L$14*3</f>
        <v>#NUM!</v>
      </c>
      <c r="U93" s="900" t="e">
        <f>+U85/($L$13*$L$14*3)</f>
        <v>#N/A</v>
      </c>
      <c r="V93" s="853"/>
    </row>
    <row r="94" spans="1:22" x14ac:dyDescent="0.25">
      <c r="A94" s="468"/>
      <c r="C94" s="427" t="s">
        <v>895</v>
      </c>
      <c r="D94" s="853"/>
      <c r="E94" s="896" t="e">
        <f>+E86-$L$13*$L$14*5</f>
        <v>#N/A</v>
      </c>
      <c r="F94" s="900" t="e">
        <f>+F86/($L$13*$L$14*5)</f>
        <v>#N/A</v>
      </c>
      <c r="G94" s="853"/>
      <c r="H94" s="896" t="e">
        <f>+H86-$L$13*$L$14*5</f>
        <v>#NUM!</v>
      </c>
      <c r="I94" s="900" t="e">
        <f>+I86/($L$13*$L$14*5)</f>
        <v>#N/A</v>
      </c>
      <c r="J94" s="853"/>
      <c r="K94" s="896" t="e">
        <f>+K86-$L$13*$L$14*5</f>
        <v>#NUM!</v>
      </c>
      <c r="L94" s="900" t="e">
        <f>+L86/($L$13*$L$14*5)</f>
        <v>#N/A</v>
      </c>
      <c r="M94" s="853"/>
      <c r="N94" s="896" t="e">
        <f>+N86-$L$13*$L$14*5</f>
        <v>#NUM!</v>
      </c>
      <c r="O94" s="900" t="e">
        <f>+O86/($L$13*$L$14*5)</f>
        <v>#N/A</v>
      </c>
      <c r="P94" s="853"/>
      <c r="Q94" s="896" t="e">
        <f>+Q86-$L$13*$L$14*5</f>
        <v>#NUM!</v>
      </c>
      <c r="R94" s="900" t="e">
        <f>+R86/($L$13*$L$14*5)</f>
        <v>#N/A</v>
      </c>
      <c r="S94" s="853"/>
      <c r="T94" s="896" t="e">
        <f>+T86-$L$13*$L$14*5</f>
        <v>#NUM!</v>
      </c>
      <c r="U94" s="900" t="e">
        <f>+U86/($L$13*$L$14*5)</f>
        <v>#N/A</v>
      </c>
      <c r="V94" s="853"/>
    </row>
    <row r="95" spans="1:22" ht="15.75" thickBot="1" x14ac:dyDescent="0.3">
      <c r="A95" s="468"/>
      <c r="B95" s="468" t="s">
        <v>921</v>
      </c>
      <c r="D95" s="853"/>
      <c r="E95" s="904"/>
      <c r="F95" s="904"/>
      <c r="G95" s="853"/>
      <c r="H95" s="899" t="s">
        <v>877</v>
      </c>
      <c r="I95" s="899" t="s">
        <v>955</v>
      </c>
      <c r="J95" s="853"/>
      <c r="K95" s="899" t="s">
        <v>877</v>
      </c>
      <c r="L95" s="899" t="s">
        <v>955</v>
      </c>
      <c r="M95" s="853"/>
      <c r="N95" s="899" t="s">
        <v>877</v>
      </c>
      <c r="O95" s="899" t="s">
        <v>955</v>
      </c>
      <c r="P95" s="853"/>
      <c r="Q95" s="899" t="s">
        <v>877</v>
      </c>
      <c r="R95" s="899" t="s">
        <v>955</v>
      </c>
      <c r="S95" s="853"/>
      <c r="T95" s="899" t="s">
        <v>877</v>
      </c>
      <c r="U95" s="899" t="s">
        <v>955</v>
      </c>
      <c r="V95" s="853"/>
    </row>
    <row r="96" spans="1:22" x14ac:dyDescent="0.25">
      <c r="A96" s="468"/>
      <c r="C96" s="427" t="s">
        <v>910</v>
      </c>
      <c r="D96" s="853"/>
      <c r="E96" s="904"/>
      <c r="F96" s="904"/>
      <c r="G96" s="853"/>
      <c r="H96" s="902" t="e">
        <f>$E$81-(H81-H46/10000*H32)</f>
        <v>#N/A</v>
      </c>
      <c r="I96" s="902" t="e">
        <f>+F81-(I81-H46/10000*H32)</f>
        <v>#N/A</v>
      </c>
      <c r="J96" s="853"/>
      <c r="K96" s="902" t="e">
        <f>$E$81-(K81-K46/10000*K32)</f>
        <v>#N/A</v>
      </c>
      <c r="L96" s="902" t="e">
        <f>+I81-(L81-K46/10000*K32)</f>
        <v>#NUM!</v>
      </c>
      <c r="M96" s="853"/>
      <c r="N96" s="902" t="e">
        <f>$E$81-(N81-N46/10000*N32)</f>
        <v>#N/A</v>
      </c>
      <c r="O96" s="902" t="e">
        <f>+L81-(O81-N46/10000*N32)</f>
        <v>#NUM!</v>
      </c>
      <c r="P96" s="853"/>
      <c r="Q96" s="902" t="e">
        <f>$E$81-(Q81-Q46/10000*Q32)</f>
        <v>#N/A</v>
      </c>
      <c r="R96" s="902" t="e">
        <f>+O81-(R81-Q46/10000*Q32)</f>
        <v>#NUM!</v>
      </c>
      <c r="S96" s="853"/>
      <c r="T96" s="902" t="e">
        <f>$E$81-(T81-T46/10000*T32)</f>
        <v>#N/A</v>
      </c>
      <c r="U96" s="902" t="e">
        <f>+R81-(U81-T46/10000*T32)</f>
        <v>#NUM!</v>
      </c>
      <c r="V96" s="853"/>
    </row>
    <row r="97" spans="1:81" x14ac:dyDescent="0.25">
      <c r="A97" s="468"/>
      <c r="C97" s="427" t="s">
        <v>895</v>
      </c>
      <c r="D97" s="853"/>
      <c r="E97" s="904"/>
      <c r="F97" s="904"/>
      <c r="G97" s="853"/>
      <c r="H97" s="902" t="e">
        <f>$E$82-(H82-H46/10000*H32)</f>
        <v>#N/A</v>
      </c>
      <c r="I97" s="902" t="e">
        <f>+F82-(I82-H46/10000*H32)</f>
        <v>#N/A</v>
      </c>
      <c r="J97" s="853"/>
      <c r="K97" s="902" t="e">
        <f>$E$82-(K82-K46/10000*K32)</f>
        <v>#N/A</v>
      </c>
      <c r="L97" s="902" t="e">
        <f>+I82-(L82-K46/10000*K32)</f>
        <v>#NUM!</v>
      </c>
      <c r="M97" s="853"/>
      <c r="N97" s="902" t="e">
        <f>$E$82-(N82-N46/10000*N32)</f>
        <v>#N/A</v>
      </c>
      <c r="O97" s="902" t="e">
        <f>+L82-(O82-N46/10000*N32)</f>
        <v>#NUM!</v>
      </c>
      <c r="P97" s="853"/>
      <c r="Q97" s="902" t="e">
        <f>$E$82-(Q82-Q46/10000*Q32)</f>
        <v>#N/A</v>
      </c>
      <c r="R97" s="902" t="e">
        <f>+O82-(R82-Q46/10000*Q32)</f>
        <v>#NUM!</v>
      </c>
      <c r="S97" s="853"/>
      <c r="T97" s="902" t="e">
        <f>$E$82-(T82-T46/10000*T32)</f>
        <v>#N/A</v>
      </c>
      <c r="U97" s="902" t="e">
        <f>+R82-(U82-T46/10000*T32)</f>
        <v>#NUM!</v>
      </c>
      <c r="V97" s="853"/>
    </row>
    <row r="98" spans="1:81" ht="6" customHeight="1" thickBot="1" x14ac:dyDescent="0.3">
      <c r="A98" s="468"/>
      <c r="D98" s="853"/>
      <c r="E98" s="853"/>
      <c r="F98" s="853"/>
      <c r="G98" s="853"/>
      <c r="H98" s="853"/>
      <c r="I98" s="853"/>
      <c r="J98" s="853"/>
      <c r="K98" s="853"/>
      <c r="L98" s="853"/>
      <c r="M98" s="853"/>
      <c r="N98" s="853"/>
      <c r="O98" s="853"/>
      <c r="P98" s="853"/>
      <c r="Q98" s="853"/>
      <c r="R98" s="853"/>
      <c r="S98" s="853"/>
      <c r="T98" s="853"/>
      <c r="U98" s="853"/>
      <c r="V98" s="853"/>
    </row>
    <row r="99" spans="1:81" ht="21" x14ac:dyDescent="0.35">
      <c r="A99" s="468"/>
      <c r="D99" s="925"/>
      <c r="E99" s="1286" t="str">
        <f>+E18</f>
        <v>Model Assumptions</v>
      </c>
      <c r="F99" s="1286"/>
      <c r="G99" s="925"/>
      <c r="H99" s="1286" t="str">
        <f>+H18</f>
        <v>Wells Fargo</v>
      </c>
      <c r="I99" s="1286"/>
      <c r="J99" s="925"/>
      <c r="K99" s="1286" t="str">
        <f>+K18</f>
        <v>Wells Fargo</v>
      </c>
      <c r="L99" s="1286"/>
      <c r="M99" s="925"/>
      <c r="N99" s="1286" t="str">
        <f>+N18</f>
        <v>BBT</v>
      </c>
      <c r="O99" s="1286"/>
      <c r="P99" s="925"/>
      <c r="Q99" s="1286" t="str">
        <f>+Q18</f>
        <v>BBT</v>
      </c>
      <c r="R99" s="1286"/>
      <c r="S99" s="925"/>
      <c r="T99" s="1286" t="str">
        <f>+T18</f>
        <v>FIB</v>
      </c>
      <c r="U99" s="1286"/>
      <c r="V99" s="925"/>
    </row>
    <row r="100" spans="1:81" ht="21" x14ac:dyDescent="0.35">
      <c r="A100" s="468"/>
      <c r="D100" s="762"/>
      <c r="E100" s="1287" t="str">
        <f>+E19</f>
        <v>Fixed Rate</v>
      </c>
      <c r="F100" s="1287"/>
      <c r="G100" s="762"/>
      <c r="H100" s="1287" t="str">
        <f>+H19</f>
        <v>Variable Option 1</v>
      </c>
      <c r="I100" s="1287"/>
      <c r="J100" s="762"/>
      <c r="K100" s="1287" t="str">
        <f>+K19</f>
        <v>Variable Option 2</v>
      </c>
      <c r="L100" s="1287"/>
      <c r="M100" s="762"/>
      <c r="N100" s="1287" t="str">
        <f>+N19</f>
        <v>Variable Option 1</v>
      </c>
      <c r="O100" s="1287"/>
      <c r="P100" s="762"/>
      <c r="Q100" s="1287" t="str">
        <f>+Q19</f>
        <v>Variable Option 2</v>
      </c>
      <c r="R100" s="1287"/>
      <c r="S100" s="762"/>
      <c r="T100" s="1287" t="str">
        <f>+T19</f>
        <v>Fixed Option 1</v>
      </c>
      <c r="U100" s="1287"/>
      <c r="V100" s="762"/>
    </row>
    <row r="101" spans="1:81" x14ac:dyDescent="0.25">
      <c r="A101" s="468"/>
      <c r="F101" s="922"/>
      <c r="G101" s="921"/>
      <c r="I101" s="922"/>
      <c r="J101" s="921"/>
      <c r="L101" s="922"/>
      <c r="M101" s="921"/>
      <c r="O101" s="922"/>
      <c r="P101" s="921"/>
      <c r="R101" s="903"/>
      <c r="S101" s="903"/>
      <c r="U101" s="846"/>
    </row>
    <row r="102" spans="1:81" x14ac:dyDescent="0.25">
      <c r="A102" s="468"/>
      <c r="E102" s="838"/>
      <c r="F102" s="838"/>
      <c r="G102" s="836"/>
      <c r="H102" s="838"/>
      <c r="I102" s="838"/>
      <c r="J102" s="836"/>
      <c r="K102" s="838"/>
      <c r="L102" s="838"/>
      <c r="M102" s="836"/>
      <c r="N102" s="838"/>
      <c r="O102" s="838"/>
      <c r="P102" s="836"/>
      <c r="Q102" s="846"/>
      <c r="R102" s="846"/>
      <c r="S102" s="836"/>
      <c r="T102" s="846"/>
      <c r="U102" s="846"/>
    </row>
    <row r="103" spans="1:81" ht="21" x14ac:dyDescent="0.35">
      <c r="A103" s="468"/>
      <c r="E103" s="838"/>
      <c r="F103" s="838"/>
      <c r="G103" s="836"/>
      <c r="H103" s="838"/>
      <c r="I103" s="838"/>
      <c r="J103" s="836"/>
      <c r="K103" s="838"/>
      <c r="L103" s="838"/>
      <c r="M103" s="836"/>
      <c r="N103" s="838"/>
      <c r="O103" s="838"/>
      <c r="P103" s="836"/>
      <c r="Q103" s="846"/>
      <c r="R103" s="846"/>
      <c r="S103" s="836"/>
      <c r="T103" s="846"/>
      <c r="U103" s="846"/>
      <c r="W103" s="1300" t="s">
        <v>890</v>
      </c>
      <c r="X103" s="1300"/>
      <c r="Y103" s="1300"/>
      <c r="Z103" s="1300"/>
      <c r="AA103" s="1300"/>
      <c r="AB103" s="1300"/>
      <c r="AC103" s="1300"/>
      <c r="AD103" s="1300"/>
      <c r="AE103" s="1300"/>
      <c r="AG103" s="1300" t="s">
        <v>898</v>
      </c>
      <c r="AH103" s="1300"/>
      <c r="AI103" s="1300"/>
      <c r="AJ103" s="1300"/>
      <c r="AK103" s="1300"/>
      <c r="AL103" s="1300"/>
      <c r="AM103" s="1300"/>
      <c r="AN103" s="1300"/>
      <c r="AO103" s="1300"/>
      <c r="AQ103" s="1300" t="s">
        <v>900</v>
      </c>
      <c r="AR103" s="1300"/>
      <c r="AS103" s="1300"/>
      <c r="AT103" s="1300"/>
      <c r="AU103" s="1300"/>
      <c r="AV103" s="1300"/>
      <c r="AW103" s="1300"/>
      <c r="AX103" s="1300"/>
      <c r="AY103" s="1300"/>
      <c r="BA103" s="1300" t="s">
        <v>902</v>
      </c>
      <c r="BB103" s="1300"/>
      <c r="BC103" s="1300"/>
      <c r="BD103" s="1300"/>
      <c r="BE103" s="1300"/>
      <c r="BF103" s="1300"/>
      <c r="BG103" s="1300"/>
      <c r="BH103" s="1300"/>
      <c r="BI103" s="1300"/>
      <c r="BK103" s="1300" t="s">
        <v>904</v>
      </c>
      <c r="BL103" s="1300"/>
      <c r="BM103" s="1300"/>
      <c r="BN103" s="1300"/>
      <c r="BO103" s="1300"/>
      <c r="BP103" s="1300"/>
      <c r="BQ103" s="1300"/>
      <c r="BR103" s="1300"/>
      <c r="BS103" s="1300"/>
      <c r="BU103" s="1300" t="s">
        <v>905</v>
      </c>
      <c r="BV103" s="1300"/>
      <c r="BW103" s="1300"/>
      <c r="BX103" s="1300"/>
      <c r="BY103" s="1300"/>
      <c r="BZ103" s="1300"/>
      <c r="CA103" s="1300"/>
      <c r="CB103" s="1300"/>
      <c r="CC103" s="1300"/>
    </row>
    <row r="104" spans="1:81" ht="19.5" thickBot="1" x14ac:dyDescent="0.35">
      <c r="A104" s="468"/>
      <c r="E104" s="838"/>
      <c r="F104" s="838"/>
      <c r="G104" s="836"/>
      <c r="H104" s="838"/>
      <c r="I104" s="838"/>
      <c r="J104" s="836"/>
      <c r="K104" s="838"/>
      <c r="L104" s="838"/>
      <c r="M104" s="836"/>
      <c r="N104" s="838"/>
      <c r="O104" s="838"/>
      <c r="P104" s="836"/>
      <c r="Q104" s="846"/>
      <c r="R104" s="846"/>
      <c r="S104" s="836"/>
      <c r="T104" s="846"/>
      <c r="U104" s="846"/>
      <c r="W104" s="1295" t="str">
        <f>CONCATENATE(E18," -- ",E19)</f>
        <v>Model Assumptions -- Fixed Rate</v>
      </c>
      <c r="X104" s="1295"/>
      <c r="Y104" s="1295"/>
      <c r="Z104" s="1295"/>
      <c r="AA104" s="1295"/>
      <c r="AB104" s="1295"/>
      <c r="AC104" s="1295"/>
      <c r="AD104" s="1295"/>
      <c r="AE104" s="1295"/>
      <c r="AG104" s="1295" t="str">
        <f>CONCATENATE(H18," -- ",H19)</f>
        <v>Wells Fargo -- Variable Option 1</v>
      </c>
      <c r="AH104" s="1295"/>
      <c r="AI104" s="1295"/>
      <c r="AJ104" s="1295"/>
      <c r="AK104" s="1295"/>
      <c r="AL104" s="1295"/>
      <c r="AM104" s="1295"/>
      <c r="AN104" s="1295"/>
      <c r="AO104" s="1295"/>
      <c r="AQ104" s="1295" t="str">
        <f>CONCATENATE(K18," -- ",K19)</f>
        <v>Wells Fargo -- Variable Option 2</v>
      </c>
      <c r="AR104" s="1295"/>
      <c r="AS104" s="1295"/>
      <c r="AT104" s="1295"/>
      <c r="AU104" s="1295"/>
      <c r="AV104" s="1295"/>
      <c r="AW104" s="1295"/>
      <c r="AX104" s="1295"/>
      <c r="AY104" s="1295"/>
      <c r="BA104" s="1295" t="str">
        <f>CONCATENATE($N$18," -- ",$N$19)</f>
        <v>BBT -- Variable Option 1</v>
      </c>
      <c r="BB104" s="1295"/>
      <c r="BC104" s="1295"/>
      <c r="BD104" s="1295"/>
      <c r="BE104" s="1295"/>
      <c r="BF104" s="1295"/>
      <c r="BG104" s="1295"/>
      <c r="BH104" s="1295"/>
      <c r="BI104" s="1295"/>
      <c r="BK104" s="1295" t="str">
        <f>CONCATENATE($Q$18," -- ",$Q$19)</f>
        <v>BBT -- Variable Option 2</v>
      </c>
      <c r="BL104" s="1295"/>
      <c r="BM104" s="1295"/>
      <c r="BN104" s="1295"/>
      <c r="BO104" s="1295"/>
      <c r="BP104" s="1295"/>
      <c r="BQ104" s="1295"/>
      <c r="BR104" s="1295"/>
      <c r="BS104" s="1295"/>
      <c r="BU104" s="1295" t="str">
        <f>CONCATENATE($T$18," -- ",$T$19)</f>
        <v>FIB -- Fixed Option 1</v>
      </c>
      <c r="BV104" s="1295"/>
      <c r="BW104" s="1295"/>
      <c r="BX104" s="1295"/>
      <c r="BY104" s="1295"/>
      <c r="BZ104" s="1295"/>
      <c r="CA104" s="1295"/>
      <c r="CB104" s="1295"/>
      <c r="CC104" s="1295"/>
    </row>
    <row r="105" spans="1:81" x14ac:dyDescent="0.25">
      <c r="A105" s="468"/>
      <c r="E105" s="838"/>
      <c r="F105" s="838"/>
      <c r="G105" s="836"/>
      <c r="H105" s="838"/>
      <c r="I105" s="838"/>
      <c r="J105" s="836"/>
      <c r="K105" s="838"/>
      <c r="L105" s="838"/>
      <c r="M105" s="836"/>
      <c r="N105" s="838"/>
      <c r="O105" s="838"/>
      <c r="P105" s="836"/>
      <c r="Q105" s="846"/>
      <c r="R105" s="846"/>
      <c r="S105" s="836"/>
      <c r="T105" s="846"/>
      <c r="U105" s="846"/>
      <c r="W105" s="427" t="s">
        <v>885</v>
      </c>
      <c r="X105" s="427" t="e">
        <f>VLOOKUP(E48,$T$170:$U$176,2,0)</f>
        <v>#N/A</v>
      </c>
      <c r="Z105" s="427" t="s">
        <v>888</v>
      </c>
      <c r="AA105" s="427" t="str">
        <f>IF(AND(E36="Fixed",E45=0),"PP",IF(AND(E36="Fixed",E45&gt;0),"IO","V"))</f>
        <v>V</v>
      </c>
      <c r="AG105" s="427" t="s">
        <v>885</v>
      </c>
      <c r="AH105" s="427" t="e">
        <f>VLOOKUP($H$48,$T$170:$U$176,2,0)</f>
        <v>#N/A</v>
      </c>
      <c r="AJ105" s="427" t="s">
        <v>888</v>
      </c>
      <c r="AK105" s="427" t="str">
        <f>IF(AND(H36="Fixed",H45=0),"PP",IF(AND(H36="Fixed",H45&gt;0),"IO","V"))</f>
        <v>V</v>
      </c>
      <c r="AQ105" s="427" t="s">
        <v>885</v>
      </c>
      <c r="AR105" s="427" t="e">
        <f>VLOOKUP($K$48,$T$170:$U$176,2,0)</f>
        <v>#N/A</v>
      </c>
      <c r="AT105" s="427" t="s">
        <v>888</v>
      </c>
      <c r="AU105" s="427" t="str">
        <f>IF(AND($K$36="Fixed",$K$45=0),"PP",IF(AND($K$36="Fixed",$K$45&gt;0),"IO","V"))</f>
        <v>V</v>
      </c>
      <c r="BA105" s="427" t="s">
        <v>885</v>
      </c>
      <c r="BB105" s="427" t="e">
        <f>VLOOKUP($N$48,$T$170:$U$176,2,0)</f>
        <v>#N/A</v>
      </c>
      <c r="BD105" s="427" t="s">
        <v>888</v>
      </c>
      <c r="BE105" s="427" t="str">
        <f>IF(AND($N$36="Fixed",$N$45=0),"PP",IF(AND($N$36="Fixed",$N$45&gt;0),"IO","V"))</f>
        <v>V</v>
      </c>
      <c r="BK105" s="427" t="s">
        <v>885</v>
      </c>
      <c r="BL105" s="427" t="e">
        <f>VLOOKUP($Q$48,$T$170:$U$176,2,0)</f>
        <v>#N/A</v>
      </c>
      <c r="BN105" s="427" t="s">
        <v>888</v>
      </c>
      <c r="BO105" s="427" t="str">
        <f>IF(AND($Q$36="Fixed",$Q$45=0),"PP",IF(AND($Q$36="Fixed",$Q$45&gt;0),"IO","V"))</f>
        <v>V</v>
      </c>
      <c r="BU105" s="427" t="s">
        <v>885</v>
      </c>
      <c r="BV105" s="427" t="e">
        <f>VLOOKUP($T$48,$T$170:$U$176,2,0)</f>
        <v>#N/A</v>
      </c>
      <c r="BX105" s="427" t="s">
        <v>888</v>
      </c>
      <c r="BY105" s="427" t="str">
        <f>IF(AND($T$36="Fixed",$T$45=0),"PP",IF(AND($T$36="Fixed",$T$45&gt;0),"IO","V"))</f>
        <v>V</v>
      </c>
    </row>
    <row r="106" spans="1:81" x14ac:dyDescent="0.25">
      <c r="A106" s="468"/>
      <c r="E106" s="838"/>
      <c r="F106" s="838"/>
      <c r="G106" s="836"/>
      <c r="H106" s="838"/>
      <c r="I106" s="838"/>
      <c r="J106" s="836"/>
      <c r="K106" s="838"/>
      <c r="L106" s="838"/>
      <c r="M106" s="836"/>
      <c r="N106" s="846"/>
      <c r="O106" s="846"/>
      <c r="P106" s="846"/>
      <c r="Q106" s="846"/>
      <c r="R106" s="846"/>
      <c r="S106" s="846"/>
      <c r="T106" s="846"/>
      <c r="U106" s="846"/>
      <c r="W106" s="886" t="s">
        <v>875</v>
      </c>
      <c r="X106" s="886" t="s">
        <v>874</v>
      </c>
      <c r="Y106" s="886" t="s">
        <v>788</v>
      </c>
      <c r="Z106" s="886" t="s">
        <v>886</v>
      </c>
      <c r="AA106" s="886" t="s">
        <v>879</v>
      </c>
      <c r="AB106" s="886" t="s">
        <v>789</v>
      </c>
      <c r="AC106" s="886" t="s">
        <v>876</v>
      </c>
      <c r="AD106" s="886" t="s">
        <v>877</v>
      </c>
      <c r="AE106" s="886" t="s">
        <v>892</v>
      </c>
      <c r="AG106" s="886" t="s">
        <v>875</v>
      </c>
      <c r="AH106" s="886" t="s">
        <v>874</v>
      </c>
      <c r="AI106" s="886" t="s">
        <v>788</v>
      </c>
      <c r="AJ106" s="886" t="s">
        <v>886</v>
      </c>
      <c r="AK106" s="886" t="s">
        <v>879</v>
      </c>
      <c r="AL106" s="886" t="s">
        <v>789</v>
      </c>
      <c r="AM106" s="886" t="s">
        <v>876</v>
      </c>
      <c r="AN106" s="886" t="s">
        <v>877</v>
      </c>
      <c r="AO106" s="886" t="s">
        <v>892</v>
      </c>
      <c r="AQ106" s="886" t="s">
        <v>875</v>
      </c>
      <c r="AR106" s="886" t="s">
        <v>874</v>
      </c>
      <c r="AS106" s="886" t="s">
        <v>788</v>
      </c>
      <c r="AT106" s="886" t="s">
        <v>886</v>
      </c>
      <c r="AU106" s="886" t="s">
        <v>879</v>
      </c>
      <c r="AV106" s="886" t="s">
        <v>789</v>
      </c>
      <c r="AW106" s="886" t="s">
        <v>876</v>
      </c>
      <c r="AX106" s="886" t="s">
        <v>877</v>
      </c>
      <c r="AY106" s="886" t="s">
        <v>892</v>
      </c>
      <c r="BA106" s="886" t="s">
        <v>875</v>
      </c>
      <c r="BB106" s="886" t="s">
        <v>874</v>
      </c>
      <c r="BC106" s="886" t="s">
        <v>788</v>
      </c>
      <c r="BD106" s="886" t="s">
        <v>886</v>
      </c>
      <c r="BE106" s="886" t="s">
        <v>879</v>
      </c>
      <c r="BF106" s="886" t="s">
        <v>789</v>
      </c>
      <c r="BG106" s="886" t="s">
        <v>876</v>
      </c>
      <c r="BH106" s="886" t="s">
        <v>877</v>
      </c>
      <c r="BI106" s="886" t="s">
        <v>892</v>
      </c>
      <c r="BK106" s="886" t="s">
        <v>875</v>
      </c>
      <c r="BL106" s="886" t="s">
        <v>874</v>
      </c>
      <c r="BM106" s="886" t="s">
        <v>788</v>
      </c>
      <c r="BN106" s="886" t="s">
        <v>886</v>
      </c>
      <c r="BO106" s="886" t="s">
        <v>879</v>
      </c>
      <c r="BP106" s="886" t="s">
        <v>789</v>
      </c>
      <c r="BQ106" s="886" t="s">
        <v>876</v>
      </c>
      <c r="BR106" s="886" t="s">
        <v>877</v>
      </c>
      <c r="BS106" s="886" t="s">
        <v>892</v>
      </c>
      <c r="BU106" s="886" t="s">
        <v>875</v>
      </c>
      <c r="BV106" s="886" t="s">
        <v>874</v>
      </c>
      <c r="BW106" s="886" t="s">
        <v>788</v>
      </c>
      <c r="BX106" s="886" t="s">
        <v>886</v>
      </c>
      <c r="BY106" s="886" t="s">
        <v>879</v>
      </c>
      <c r="BZ106" s="886" t="s">
        <v>789</v>
      </c>
      <c r="CA106" s="886" t="s">
        <v>876</v>
      </c>
      <c r="CB106" s="886" t="s">
        <v>877</v>
      </c>
      <c r="CC106" s="886" t="s">
        <v>892</v>
      </c>
    </row>
    <row r="107" spans="1:81" ht="13.9" customHeight="1" x14ac:dyDescent="0.25">
      <c r="A107" s="468"/>
      <c r="E107" s="838"/>
      <c r="F107" s="838"/>
      <c r="G107" s="836"/>
      <c r="H107" s="838"/>
      <c r="I107" s="838"/>
      <c r="J107" s="836"/>
      <c r="K107" s="838"/>
      <c r="L107" s="838"/>
      <c r="M107" s="836"/>
      <c r="N107" s="846"/>
      <c r="O107" s="846"/>
      <c r="P107" s="846"/>
      <c r="Q107" s="846"/>
      <c r="R107" s="846"/>
      <c r="S107" s="846"/>
      <c r="T107" s="846"/>
      <c r="U107" s="846"/>
      <c r="W107" s="427">
        <v>1</v>
      </c>
      <c r="X107" s="884">
        <f>+$E$14+20</f>
        <v>20</v>
      </c>
      <c r="Y107" s="121" t="b">
        <f>IF($E$36="Fixed",$E$42,IF($E$36="Variable",VLOOKUP(X107,'Financing Constants'!$A$8:$L$148,$X$179)+$E$41/10000))</f>
        <v>0</v>
      </c>
      <c r="Z107" s="229">
        <f>+E32</f>
        <v>12282475</v>
      </c>
      <c r="AA107" s="888" t="str">
        <f>IF(W107&lt;=$E$45,"IO","PP")</f>
        <v>PP</v>
      </c>
      <c r="AB107" s="229">
        <f t="shared" ref="AB107:AB138" si="0">IF(AA107="IO",AD107,PMT(Y107/12,$E$44*12-$E$45,-$Z$107))</f>
        <v>34117.986111111109</v>
      </c>
      <c r="AC107" s="229">
        <f t="shared" ref="AC107:AC138" si="1">IF(AA107="IO",0,AB107-AD107)</f>
        <v>34117.986111111109</v>
      </c>
      <c r="AD107" s="229">
        <f t="shared" ref="AD107:AD138" si="2">IF(AA107="PP",IPMT(Y107/12,W107-$E$45,$E$44*12-$E$45,-$E$32),Z107*Y107/12)</f>
        <v>0</v>
      </c>
      <c r="AE107" s="229">
        <f t="shared" ref="AE107:AE138" si="3">+Z107-AC107</f>
        <v>12248357.013888888</v>
      </c>
      <c r="AG107" s="427">
        <v>1</v>
      </c>
      <c r="AH107" s="884">
        <f>+$E$14+20</f>
        <v>20</v>
      </c>
      <c r="AI107" s="121" t="b">
        <f>IF($H$36="Fixed",$H$42,IF($H$36="Variable",VLOOKUP(AH107,'Financing Constants'!$A$8:$L$148,$AH$179)+$H$41/10000))</f>
        <v>0</v>
      </c>
      <c r="AJ107" s="229">
        <f>+H32</f>
        <v>0</v>
      </c>
      <c r="AK107" s="888" t="str">
        <f t="shared" ref="AK107:AK138" si="4">IF(AG107&lt;=$H$45,"IO","PP")</f>
        <v>PP</v>
      </c>
      <c r="AL107" s="229" t="e">
        <f t="shared" ref="AL107:AL138" si="5">IF(AK107="IO",AN107,PMT(AI107/12,$H$44*12-$H$45,-$Z$107))</f>
        <v>#NUM!</v>
      </c>
      <c r="AM107" s="229" t="e">
        <f t="shared" ref="AM107:AM138" si="6">IF(AK107="IO",0,AL107-AN107)</f>
        <v>#NUM!</v>
      </c>
      <c r="AN107" s="229" t="e">
        <f t="shared" ref="AN107:AN138" si="7">IF(AK107="PP",IPMT(AI107/12,AG107-$H$45,$H$44*12-$H$45,-$H$32),AJ107*AI107/12)</f>
        <v>#NUM!</v>
      </c>
      <c r="AO107" s="229" t="e">
        <f t="shared" ref="AO107:AO138" si="8">+AJ107-AM107</f>
        <v>#NUM!</v>
      </c>
      <c r="AQ107" s="427">
        <v>1</v>
      </c>
      <c r="AR107" s="884">
        <f>+$E$14+20</f>
        <v>20</v>
      </c>
      <c r="AS107" s="121" t="b">
        <f>IF($K$36="Fixed",$K$42,IF($K$36="Variable",VLOOKUP(AR107,'Financing Constants'!$A$8:$L$148,$AR$179)+$K$41/10000))</f>
        <v>0</v>
      </c>
      <c r="AT107" s="229">
        <f>+K32</f>
        <v>0</v>
      </c>
      <c r="AU107" s="888" t="str">
        <f t="shared" ref="AU107:AU138" si="9">IF(AQ107&lt;=$K$45,"IO","PP")</f>
        <v>PP</v>
      </c>
      <c r="AV107" s="229" t="e">
        <f t="shared" ref="AV107:AV138" si="10">IF(AU107="IO",AX107,PMT(AS107/12,$K$44*12-$K$45,-$Z$107))</f>
        <v>#NUM!</v>
      </c>
      <c r="AW107" s="229" t="e">
        <f t="shared" ref="AW107:AW138" si="11">IF(AU107="IO",0,AV107-AX107)</f>
        <v>#NUM!</v>
      </c>
      <c r="AX107" s="229" t="e">
        <f t="shared" ref="AX107:AX138" si="12">IF(AU107="PP",IPMT(AS107/12,AQ107-$K$45,$K$44*12-$K$45,-$K$32),AT107*AS107/12)</f>
        <v>#NUM!</v>
      </c>
      <c r="AY107" s="229" t="e">
        <f t="shared" ref="AY107:AY138" si="13">+AT107-AW107</f>
        <v>#NUM!</v>
      </c>
      <c r="BA107" s="427">
        <v>1</v>
      </c>
      <c r="BB107" s="884">
        <f>+$E$14+20</f>
        <v>20</v>
      </c>
      <c r="BC107" s="121" t="b">
        <f>IF($N$36="Fixed",$N$42,IF($N$36="Variable",VLOOKUP(BB107,'Financing Constants'!$A$8:$L$148,$BB$179)+$N$41/10000))</f>
        <v>0</v>
      </c>
      <c r="BD107" s="229">
        <f>+$N$32</f>
        <v>0</v>
      </c>
      <c r="BE107" s="888" t="str">
        <f t="shared" ref="BE107:BE138" si="14">IF(BA107&lt;=$N$45,"IO","PP")</f>
        <v>PP</v>
      </c>
      <c r="BF107" s="229" t="e">
        <f t="shared" ref="BF107:BF138" si="15">IF(BE107="IO",BH107,PMT(BC107/12,$N$44*12-$N$45,-$Z$107))</f>
        <v>#NUM!</v>
      </c>
      <c r="BG107" s="229" t="e">
        <f t="shared" ref="BG107:BG138" si="16">IF(BE107="IO",0,BF107-BH107)</f>
        <v>#NUM!</v>
      </c>
      <c r="BH107" s="229" t="e">
        <f t="shared" ref="BH107:BH138" si="17">IF(BE107="PP",IPMT(BC107/12,BA107-$N$45,$N$44*12-$N$45,-$N$32),BD107*BC107/12)</f>
        <v>#NUM!</v>
      </c>
      <c r="BI107" s="229" t="e">
        <f t="shared" ref="BI107:BI138" si="18">+BD107-BG107</f>
        <v>#NUM!</v>
      </c>
      <c r="BK107" s="427">
        <v>1</v>
      </c>
      <c r="BL107" s="884">
        <f>+$E$14+20</f>
        <v>20</v>
      </c>
      <c r="BM107" s="121" t="b">
        <f>IF($Q$36="Fixed",$Q$42,IF($Q$36="Variable",VLOOKUP(BL107,'Financing Constants'!$A$8:$L$148,$BL$179)+$Q$41/10000))</f>
        <v>0</v>
      </c>
      <c r="BN107" s="229">
        <f>+$Q$32</f>
        <v>0</v>
      </c>
      <c r="BO107" s="888" t="str">
        <f t="shared" ref="BO107:BO138" si="19">IF(BK107&lt;=$Q$45,"IO","PP")</f>
        <v>PP</v>
      </c>
      <c r="BP107" s="229" t="e">
        <f t="shared" ref="BP107:BP138" si="20">IF(BO107="IO",BR107,PMT(BM107/12,$Q$44*12-$Q$45,-$Z$107))</f>
        <v>#NUM!</v>
      </c>
      <c r="BQ107" s="229" t="e">
        <f t="shared" ref="BQ107:BQ138" si="21">IF(BO107="IO",0,BP107-BR107)</f>
        <v>#NUM!</v>
      </c>
      <c r="BR107" s="229" t="e">
        <f t="shared" ref="BR107:BR138" si="22">IF(BO107="PP",IPMT(BM107/12,BK107-$Q$45,$Q$44*12-$Q$45,-$Q$32),BN107*BM107/12)</f>
        <v>#NUM!</v>
      </c>
      <c r="BS107" s="229" t="e">
        <f t="shared" ref="BS107:BS138" si="23">+BN107-BQ107</f>
        <v>#NUM!</v>
      </c>
      <c r="BU107" s="427">
        <v>1</v>
      </c>
      <c r="BV107" s="884">
        <f>+$E$14+20</f>
        <v>20</v>
      </c>
      <c r="BW107" s="121" t="b">
        <f>IF($T$36="Fixed",$T$42,IF($T$36="Variable",VLOOKUP(BV107,'Financing Constants'!$A$8:$L$148,$BV$179)+$T$41/10000))</f>
        <v>0</v>
      </c>
      <c r="BX107" s="229">
        <f>+$T$32</f>
        <v>0</v>
      </c>
      <c r="BY107" s="888" t="str">
        <f t="shared" ref="BY107:BY138" si="24">IF(BU107&lt;=$T$45,"IO","PP")</f>
        <v>PP</v>
      </c>
      <c r="BZ107" s="229" t="e">
        <f t="shared" ref="BZ107:BZ138" si="25">IF(BY107="IO",CB107,PMT(BW107/12,$T$44*12-$T$45,-$Z$107))</f>
        <v>#NUM!</v>
      </c>
      <c r="CA107" s="229" t="e">
        <f t="shared" ref="CA107:CA138" si="26">IF(BY107="IO",0,BZ107-CB107)</f>
        <v>#NUM!</v>
      </c>
      <c r="CB107" s="229" t="e">
        <f t="shared" ref="CB107:CB138" si="27">IF(BY107="PP",IPMT(BW107/12,BU107-$T$45,$T$44*12-$T$45,-$T$32),BX107*BW107/12)</f>
        <v>#NUM!</v>
      </c>
      <c r="CC107" s="229" t="e">
        <f t="shared" ref="CC107:CC138" si="28">+BX107-CA107</f>
        <v>#NUM!</v>
      </c>
    </row>
    <row r="108" spans="1:81" ht="13.9" customHeight="1" x14ac:dyDescent="0.25">
      <c r="A108" s="468"/>
      <c r="E108" s="838"/>
      <c r="F108" s="838"/>
      <c r="G108" s="836"/>
      <c r="H108" s="838"/>
      <c r="I108" s="838"/>
      <c r="J108" s="836"/>
      <c r="K108" s="838"/>
      <c r="L108" s="838"/>
      <c r="M108" s="836"/>
      <c r="N108" s="846"/>
      <c r="O108" s="846"/>
      <c r="P108" s="846"/>
      <c r="Q108" s="846"/>
      <c r="R108" s="846"/>
      <c r="S108" s="846"/>
      <c r="T108" s="846"/>
      <c r="U108" s="846"/>
      <c r="W108" s="427">
        <f t="shared" ref="W108:W139" si="29">+W107+1</f>
        <v>2</v>
      </c>
      <c r="X108" s="884">
        <f t="shared" ref="X108:X139" si="30">+X107+30</f>
        <v>50</v>
      </c>
      <c r="Y108" s="121" t="b">
        <f>IF($E$36="Fixed",$E$42,IF($E$36="Variable",VLOOKUP(X108,'Financing Constants'!$A$8:$L$148,$X$179)+$E$41/10000))</f>
        <v>0</v>
      </c>
      <c r="Z108" s="229">
        <f>+AE107</f>
        <v>12248357.013888888</v>
      </c>
      <c r="AA108" s="888" t="str">
        <f t="shared" ref="AA108:AA166" si="31">IF(W108&lt;=$E$45,"IO","PP")</f>
        <v>PP</v>
      </c>
      <c r="AB108" s="229">
        <f t="shared" si="0"/>
        <v>34117.986111111109</v>
      </c>
      <c r="AC108" s="229">
        <f t="shared" si="1"/>
        <v>34117.986111111109</v>
      </c>
      <c r="AD108" s="229">
        <f t="shared" si="2"/>
        <v>0</v>
      </c>
      <c r="AE108" s="229">
        <f t="shared" si="3"/>
        <v>12214239.027777776</v>
      </c>
      <c r="AG108" s="427">
        <f t="shared" ref="AG108:AG139" si="32">+AG107+1</f>
        <v>2</v>
      </c>
      <c r="AH108" s="884">
        <f t="shared" ref="AH108:AH139" si="33">+AH107+30</f>
        <v>50</v>
      </c>
      <c r="AI108" s="121" t="b">
        <f>IF($H$36="Fixed",$H$42,IF($H$36="Variable",VLOOKUP(AH108,'Financing Constants'!$A$8:$L$148,$AH$179)+$H$41/10000))</f>
        <v>0</v>
      </c>
      <c r="AJ108" s="229" t="e">
        <f>+AO107</f>
        <v>#NUM!</v>
      </c>
      <c r="AK108" s="888" t="str">
        <f t="shared" si="4"/>
        <v>PP</v>
      </c>
      <c r="AL108" s="229" t="e">
        <f t="shared" si="5"/>
        <v>#NUM!</v>
      </c>
      <c r="AM108" s="229" t="e">
        <f t="shared" si="6"/>
        <v>#NUM!</v>
      </c>
      <c r="AN108" s="229" t="e">
        <f t="shared" si="7"/>
        <v>#NUM!</v>
      </c>
      <c r="AO108" s="229" t="e">
        <f t="shared" si="8"/>
        <v>#NUM!</v>
      </c>
      <c r="AQ108" s="427">
        <f t="shared" ref="AQ108:AQ139" si="34">+AQ107+1</f>
        <v>2</v>
      </c>
      <c r="AR108" s="884">
        <f t="shared" ref="AR108:AR139" si="35">+AR107+30</f>
        <v>50</v>
      </c>
      <c r="AS108" s="121" t="b">
        <f>IF($K$36="Fixed",$K$42,IF($K$36="Variable",VLOOKUP(AR108,'Financing Constants'!$A$8:$L$148,$AR$179)+$K$41/10000))</f>
        <v>0</v>
      </c>
      <c r="AT108" s="229" t="e">
        <f>+AY107</f>
        <v>#NUM!</v>
      </c>
      <c r="AU108" s="888" t="str">
        <f t="shared" si="9"/>
        <v>PP</v>
      </c>
      <c r="AV108" s="229" t="e">
        <f t="shared" si="10"/>
        <v>#NUM!</v>
      </c>
      <c r="AW108" s="229" t="e">
        <f t="shared" si="11"/>
        <v>#NUM!</v>
      </c>
      <c r="AX108" s="229" t="e">
        <f t="shared" si="12"/>
        <v>#NUM!</v>
      </c>
      <c r="AY108" s="229" t="e">
        <f t="shared" si="13"/>
        <v>#NUM!</v>
      </c>
      <c r="BA108" s="427">
        <f t="shared" ref="BA108:BA139" si="36">+BA107+1</f>
        <v>2</v>
      </c>
      <c r="BB108" s="884">
        <f t="shared" ref="BB108:BB139" si="37">+BB107+30</f>
        <v>50</v>
      </c>
      <c r="BC108" s="121" t="b">
        <f>IF($N$36="Fixed",$N$42,IF($N$36="Variable",VLOOKUP(BB108,'Financing Constants'!$A$8:$L$148,$BB$179)+$N$41/10000))</f>
        <v>0</v>
      </c>
      <c r="BD108" s="229" t="e">
        <f>+BI107</f>
        <v>#NUM!</v>
      </c>
      <c r="BE108" s="888" t="str">
        <f t="shared" si="14"/>
        <v>PP</v>
      </c>
      <c r="BF108" s="229" t="e">
        <f t="shared" si="15"/>
        <v>#NUM!</v>
      </c>
      <c r="BG108" s="229" t="e">
        <f t="shared" si="16"/>
        <v>#NUM!</v>
      </c>
      <c r="BH108" s="229" t="e">
        <f t="shared" si="17"/>
        <v>#NUM!</v>
      </c>
      <c r="BI108" s="229" t="e">
        <f t="shared" si="18"/>
        <v>#NUM!</v>
      </c>
      <c r="BK108" s="427">
        <f t="shared" ref="BK108:BK139" si="38">+BK107+1</f>
        <v>2</v>
      </c>
      <c r="BL108" s="884">
        <f t="shared" ref="BL108:BL139" si="39">+BL107+30</f>
        <v>50</v>
      </c>
      <c r="BM108" s="121" t="b">
        <f>IF($Q$36="Fixed",$Q$42,IF($Q$36="Variable",VLOOKUP(BL108,'Financing Constants'!$A$8:$L$148,$BL$179)+$Q$41/10000))</f>
        <v>0</v>
      </c>
      <c r="BN108" s="229" t="e">
        <f>+BS107</f>
        <v>#NUM!</v>
      </c>
      <c r="BO108" s="888" t="str">
        <f t="shared" si="19"/>
        <v>PP</v>
      </c>
      <c r="BP108" s="229" t="e">
        <f t="shared" si="20"/>
        <v>#NUM!</v>
      </c>
      <c r="BQ108" s="229" t="e">
        <f t="shared" si="21"/>
        <v>#NUM!</v>
      </c>
      <c r="BR108" s="229" t="e">
        <f t="shared" si="22"/>
        <v>#NUM!</v>
      </c>
      <c r="BS108" s="229" t="e">
        <f t="shared" si="23"/>
        <v>#NUM!</v>
      </c>
      <c r="BU108" s="427">
        <f t="shared" ref="BU108:BU139" si="40">+BU107+1</f>
        <v>2</v>
      </c>
      <c r="BV108" s="884">
        <f t="shared" ref="BV108:BV139" si="41">+BV107+30</f>
        <v>50</v>
      </c>
      <c r="BW108" s="121" t="b">
        <f>IF($T$36="Fixed",$T$42,IF($T$36="Variable",VLOOKUP(BV108,'Financing Constants'!$A$8:$L$148,$BV$179)+$T$41/10000))</f>
        <v>0</v>
      </c>
      <c r="BX108" s="229" t="e">
        <f>+CC107</f>
        <v>#NUM!</v>
      </c>
      <c r="BY108" s="888" t="str">
        <f t="shared" si="24"/>
        <v>PP</v>
      </c>
      <c r="BZ108" s="229" t="e">
        <f t="shared" si="25"/>
        <v>#NUM!</v>
      </c>
      <c r="CA108" s="229" t="e">
        <f t="shared" si="26"/>
        <v>#NUM!</v>
      </c>
      <c r="CB108" s="229" t="e">
        <f t="shared" si="27"/>
        <v>#NUM!</v>
      </c>
      <c r="CC108" s="229" t="e">
        <f t="shared" si="28"/>
        <v>#NUM!</v>
      </c>
    </row>
    <row r="109" spans="1:81" ht="13.9" customHeight="1" x14ac:dyDescent="0.25">
      <c r="A109" s="468"/>
      <c r="E109" s="838"/>
      <c r="F109" s="838"/>
      <c r="G109" s="836"/>
      <c r="H109" s="838"/>
      <c r="I109" s="838"/>
      <c r="J109" s="836"/>
      <c r="K109" s="838"/>
      <c r="L109" s="838"/>
      <c r="M109" s="836"/>
      <c r="N109" s="846"/>
      <c r="O109" s="846"/>
      <c r="P109" s="846"/>
      <c r="Q109" s="846"/>
      <c r="R109" s="846"/>
      <c r="S109" s="846"/>
      <c r="T109" s="846"/>
      <c r="U109" s="846"/>
      <c r="W109" s="427">
        <f t="shared" si="29"/>
        <v>3</v>
      </c>
      <c r="X109" s="884">
        <f t="shared" si="30"/>
        <v>80</v>
      </c>
      <c r="Y109" s="121" t="b">
        <f>IF($E$36="Fixed",$E$42,IF($E$36="Variable",VLOOKUP(X109,'Financing Constants'!$A$8:$L$148,$X$179)+$E$41/10000))</f>
        <v>0</v>
      </c>
      <c r="Z109" s="229">
        <f>+AE108</f>
        <v>12214239.027777776</v>
      </c>
      <c r="AA109" s="888" t="str">
        <f t="shared" si="31"/>
        <v>PP</v>
      </c>
      <c r="AB109" s="229">
        <f t="shared" si="0"/>
        <v>34117.986111111109</v>
      </c>
      <c r="AC109" s="229">
        <f t="shared" si="1"/>
        <v>34117.986111111109</v>
      </c>
      <c r="AD109" s="229">
        <f t="shared" si="2"/>
        <v>0</v>
      </c>
      <c r="AE109" s="229">
        <f t="shared" si="3"/>
        <v>12180121.041666664</v>
      </c>
      <c r="AG109" s="427">
        <f t="shared" si="32"/>
        <v>3</v>
      </c>
      <c r="AH109" s="884">
        <f t="shared" si="33"/>
        <v>80</v>
      </c>
      <c r="AI109" s="121" t="b">
        <f>IF($H$36="Fixed",$H$42,IF($H$36="Variable",VLOOKUP(AH109,'Financing Constants'!$A$8:$L$148,$AH$179)+$H$41/10000))</f>
        <v>0</v>
      </c>
      <c r="AJ109" s="229" t="e">
        <f>+AO108</f>
        <v>#NUM!</v>
      </c>
      <c r="AK109" s="888" t="str">
        <f t="shared" si="4"/>
        <v>PP</v>
      </c>
      <c r="AL109" s="229" t="e">
        <f t="shared" si="5"/>
        <v>#NUM!</v>
      </c>
      <c r="AM109" s="229" t="e">
        <f t="shared" si="6"/>
        <v>#NUM!</v>
      </c>
      <c r="AN109" s="229" t="e">
        <f t="shared" si="7"/>
        <v>#NUM!</v>
      </c>
      <c r="AO109" s="229" t="e">
        <f t="shared" si="8"/>
        <v>#NUM!</v>
      </c>
      <c r="AQ109" s="427">
        <f t="shared" si="34"/>
        <v>3</v>
      </c>
      <c r="AR109" s="884">
        <f t="shared" si="35"/>
        <v>80</v>
      </c>
      <c r="AS109" s="121" t="b">
        <f>IF($K$36="Fixed",$K$42,IF($K$36="Variable",VLOOKUP(AR109,'Financing Constants'!$A$8:$L$148,$AR$179)+$K$41/10000))</f>
        <v>0</v>
      </c>
      <c r="AT109" s="229" t="e">
        <f>+AY108</f>
        <v>#NUM!</v>
      </c>
      <c r="AU109" s="888" t="str">
        <f t="shared" si="9"/>
        <v>PP</v>
      </c>
      <c r="AV109" s="229" t="e">
        <f t="shared" si="10"/>
        <v>#NUM!</v>
      </c>
      <c r="AW109" s="229" t="e">
        <f t="shared" si="11"/>
        <v>#NUM!</v>
      </c>
      <c r="AX109" s="229" t="e">
        <f t="shared" si="12"/>
        <v>#NUM!</v>
      </c>
      <c r="AY109" s="229" t="e">
        <f t="shared" si="13"/>
        <v>#NUM!</v>
      </c>
      <c r="BA109" s="427">
        <f t="shared" si="36"/>
        <v>3</v>
      </c>
      <c r="BB109" s="884">
        <f t="shared" si="37"/>
        <v>80</v>
      </c>
      <c r="BC109" s="121" t="b">
        <f>IF($N$36="Fixed",$N$42,IF($N$36="Variable",VLOOKUP(BB109,'Financing Constants'!$A$8:$L$148,$BB$179)+$N$41/10000))</f>
        <v>0</v>
      </c>
      <c r="BD109" s="229" t="e">
        <f>+BI108</f>
        <v>#NUM!</v>
      </c>
      <c r="BE109" s="888" t="str">
        <f t="shared" si="14"/>
        <v>PP</v>
      </c>
      <c r="BF109" s="229" t="e">
        <f t="shared" si="15"/>
        <v>#NUM!</v>
      </c>
      <c r="BG109" s="229" t="e">
        <f t="shared" si="16"/>
        <v>#NUM!</v>
      </c>
      <c r="BH109" s="229" t="e">
        <f t="shared" si="17"/>
        <v>#NUM!</v>
      </c>
      <c r="BI109" s="229" t="e">
        <f t="shared" si="18"/>
        <v>#NUM!</v>
      </c>
      <c r="BK109" s="427">
        <f t="shared" si="38"/>
        <v>3</v>
      </c>
      <c r="BL109" s="884">
        <f t="shared" si="39"/>
        <v>80</v>
      </c>
      <c r="BM109" s="121" t="b">
        <f>IF($Q$36="Fixed",$Q$42,IF($Q$36="Variable",VLOOKUP(BL109,'Financing Constants'!$A$8:$L$148,$BL$179)+$Q$41/10000))</f>
        <v>0</v>
      </c>
      <c r="BN109" s="229" t="e">
        <f>+BS108</f>
        <v>#NUM!</v>
      </c>
      <c r="BO109" s="888" t="str">
        <f t="shared" si="19"/>
        <v>PP</v>
      </c>
      <c r="BP109" s="229" t="e">
        <f t="shared" si="20"/>
        <v>#NUM!</v>
      </c>
      <c r="BQ109" s="229" t="e">
        <f t="shared" si="21"/>
        <v>#NUM!</v>
      </c>
      <c r="BR109" s="229" t="e">
        <f t="shared" si="22"/>
        <v>#NUM!</v>
      </c>
      <c r="BS109" s="229" t="e">
        <f t="shared" si="23"/>
        <v>#NUM!</v>
      </c>
      <c r="BU109" s="427">
        <f t="shared" si="40"/>
        <v>3</v>
      </c>
      <c r="BV109" s="884">
        <f t="shared" si="41"/>
        <v>80</v>
      </c>
      <c r="BW109" s="121" t="b">
        <f>IF($T$36="Fixed",$T$42,IF($T$36="Variable",VLOOKUP(BV109,'Financing Constants'!$A$8:$L$148,$BV$179)+$T$41/10000))</f>
        <v>0</v>
      </c>
      <c r="BX109" s="229" t="e">
        <f>+CC108</f>
        <v>#NUM!</v>
      </c>
      <c r="BY109" s="888" t="str">
        <f t="shared" si="24"/>
        <v>PP</v>
      </c>
      <c r="BZ109" s="229" t="e">
        <f t="shared" si="25"/>
        <v>#NUM!</v>
      </c>
      <c r="CA109" s="229" t="e">
        <f t="shared" si="26"/>
        <v>#NUM!</v>
      </c>
      <c r="CB109" s="229" t="e">
        <f t="shared" si="27"/>
        <v>#NUM!</v>
      </c>
      <c r="CC109" s="229" t="e">
        <f t="shared" si="28"/>
        <v>#NUM!</v>
      </c>
    </row>
    <row r="110" spans="1:81" ht="13.9" customHeight="1" x14ac:dyDescent="0.25">
      <c r="A110" s="468"/>
      <c r="E110" s="838"/>
      <c r="F110" s="838"/>
      <c r="G110" s="836"/>
      <c r="H110" s="838"/>
      <c r="I110" s="838"/>
      <c r="J110" s="836"/>
      <c r="K110" s="838"/>
      <c r="L110" s="838"/>
      <c r="M110" s="836"/>
      <c r="N110" s="846"/>
      <c r="O110" s="846"/>
      <c r="P110" s="846"/>
      <c r="Q110" s="846"/>
      <c r="R110" s="846"/>
      <c r="S110" s="846"/>
      <c r="T110" s="846"/>
      <c r="U110" s="846"/>
      <c r="W110" s="427">
        <f t="shared" si="29"/>
        <v>4</v>
      </c>
      <c r="X110" s="884">
        <f t="shared" si="30"/>
        <v>110</v>
      </c>
      <c r="Y110" s="121" t="b">
        <f>IF($E$36="Fixed",$E$42,IF($E$36="Variable",VLOOKUP(X110,'Financing Constants'!$A$8:$L$148,$X$179)+$E$41/10000))</f>
        <v>0</v>
      </c>
      <c r="Z110" s="229">
        <f>+AE109</f>
        <v>12180121.041666664</v>
      </c>
      <c r="AA110" s="888" t="str">
        <f t="shared" si="31"/>
        <v>PP</v>
      </c>
      <c r="AB110" s="229">
        <f t="shared" si="0"/>
        <v>34117.986111111109</v>
      </c>
      <c r="AC110" s="229">
        <f t="shared" si="1"/>
        <v>34117.986111111109</v>
      </c>
      <c r="AD110" s="229">
        <f t="shared" si="2"/>
        <v>0</v>
      </c>
      <c r="AE110" s="229">
        <f t="shared" si="3"/>
        <v>12146003.055555552</v>
      </c>
      <c r="AG110" s="427">
        <f t="shared" si="32"/>
        <v>4</v>
      </c>
      <c r="AH110" s="884">
        <f t="shared" si="33"/>
        <v>110</v>
      </c>
      <c r="AI110" s="121" t="b">
        <f>IF($H$36="Fixed",$H$42,IF($H$36="Variable",VLOOKUP(AH110,'Financing Constants'!$A$8:$L$148,$AH$179)+$H$41/10000))</f>
        <v>0</v>
      </c>
      <c r="AJ110" s="229" t="e">
        <f>+AO109</f>
        <v>#NUM!</v>
      </c>
      <c r="AK110" s="888" t="str">
        <f t="shared" si="4"/>
        <v>PP</v>
      </c>
      <c r="AL110" s="229" t="e">
        <f t="shared" si="5"/>
        <v>#NUM!</v>
      </c>
      <c r="AM110" s="229" t="e">
        <f t="shared" si="6"/>
        <v>#NUM!</v>
      </c>
      <c r="AN110" s="229" t="e">
        <f t="shared" si="7"/>
        <v>#NUM!</v>
      </c>
      <c r="AO110" s="229" t="e">
        <f t="shared" si="8"/>
        <v>#NUM!</v>
      </c>
      <c r="AQ110" s="427">
        <f t="shared" si="34"/>
        <v>4</v>
      </c>
      <c r="AR110" s="884">
        <f t="shared" si="35"/>
        <v>110</v>
      </c>
      <c r="AS110" s="121" t="b">
        <f>IF($K$36="Fixed",$K$42,IF($K$36="Variable",VLOOKUP(AR110,'Financing Constants'!$A$8:$L$148,$AR$179)+$K$41/10000))</f>
        <v>0</v>
      </c>
      <c r="AT110" s="229" t="e">
        <f>+AY109</f>
        <v>#NUM!</v>
      </c>
      <c r="AU110" s="888" t="str">
        <f t="shared" si="9"/>
        <v>PP</v>
      </c>
      <c r="AV110" s="229" t="e">
        <f t="shared" si="10"/>
        <v>#NUM!</v>
      </c>
      <c r="AW110" s="229" t="e">
        <f t="shared" si="11"/>
        <v>#NUM!</v>
      </c>
      <c r="AX110" s="229" t="e">
        <f t="shared" si="12"/>
        <v>#NUM!</v>
      </c>
      <c r="AY110" s="229" t="e">
        <f t="shared" si="13"/>
        <v>#NUM!</v>
      </c>
      <c r="BA110" s="427">
        <f t="shared" si="36"/>
        <v>4</v>
      </c>
      <c r="BB110" s="884">
        <f t="shared" si="37"/>
        <v>110</v>
      </c>
      <c r="BC110" s="121" t="b">
        <f>IF($N$36="Fixed",$N$42,IF($N$36="Variable",VLOOKUP(BB110,'Financing Constants'!$A$8:$L$148,$BB$179)+$N$41/10000))</f>
        <v>0</v>
      </c>
      <c r="BD110" s="229" t="e">
        <f>+BI109</f>
        <v>#NUM!</v>
      </c>
      <c r="BE110" s="888" t="str">
        <f t="shared" si="14"/>
        <v>PP</v>
      </c>
      <c r="BF110" s="229" t="e">
        <f t="shared" si="15"/>
        <v>#NUM!</v>
      </c>
      <c r="BG110" s="229" t="e">
        <f t="shared" si="16"/>
        <v>#NUM!</v>
      </c>
      <c r="BH110" s="229" t="e">
        <f t="shared" si="17"/>
        <v>#NUM!</v>
      </c>
      <c r="BI110" s="229" t="e">
        <f t="shared" si="18"/>
        <v>#NUM!</v>
      </c>
      <c r="BK110" s="427">
        <f t="shared" si="38"/>
        <v>4</v>
      </c>
      <c r="BL110" s="884">
        <f t="shared" si="39"/>
        <v>110</v>
      </c>
      <c r="BM110" s="121" t="b">
        <f>IF($Q$36="Fixed",$Q$42,IF($Q$36="Variable",VLOOKUP(BL110,'Financing Constants'!$A$8:$L$148,$BL$179)+$Q$41/10000))</f>
        <v>0</v>
      </c>
      <c r="BN110" s="229" t="e">
        <f>+BS109</f>
        <v>#NUM!</v>
      </c>
      <c r="BO110" s="888" t="str">
        <f t="shared" si="19"/>
        <v>PP</v>
      </c>
      <c r="BP110" s="229" t="e">
        <f t="shared" si="20"/>
        <v>#NUM!</v>
      </c>
      <c r="BQ110" s="229" t="e">
        <f t="shared" si="21"/>
        <v>#NUM!</v>
      </c>
      <c r="BR110" s="229" t="e">
        <f t="shared" si="22"/>
        <v>#NUM!</v>
      </c>
      <c r="BS110" s="229" t="e">
        <f t="shared" si="23"/>
        <v>#NUM!</v>
      </c>
      <c r="BU110" s="427">
        <f t="shared" si="40"/>
        <v>4</v>
      </c>
      <c r="BV110" s="884">
        <f t="shared" si="41"/>
        <v>110</v>
      </c>
      <c r="BW110" s="121" t="b">
        <f>IF($T$36="Fixed",$T$42,IF($T$36="Variable",VLOOKUP(BV110,'Financing Constants'!$A$8:$L$148,$BV$179)+$T$41/10000))</f>
        <v>0</v>
      </c>
      <c r="BX110" s="229" t="e">
        <f>+CC109</f>
        <v>#NUM!</v>
      </c>
      <c r="BY110" s="888" t="str">
        <f t="shared" si="24"/>
        <v>PP</v>
      </c>
      <c r="BZ110" s="229" t="e">
        <f t="shared" si="25"/>
        <v>#NUM!</v>
      </c>
      <c r="CA110" s="229" t="e">
        <f t="shared" si="26"/>
        <v>#NUM!</v>
      </c>
      <c r="CB110" s="229" t="e">
        <f t="shared" si="27"/>
        <v>#NUM!</v>
      </c>
      <c r="CC110" s="229" t="e">
        <f t="shared" si="28"/>
        <v>#NUM!</v>
      </c>
    </row>
    <row r="111" spans="1:81" ht="13.9" customHeight="1" x14ac:dyDescent="0.25">
      <c r="A111" s="468"/>
      <c r="E111" s="838"/>
      <c r="F111" s="838"/>
      <c r="G111" s="836"/>
      <c r="H111" s="838"/>
      <c r="I111" s="838"/>
      <c r="J111" s="836"/>
      <c r="K111" s="838"/>
      <c r="L111" s="838"/>
      <c r="M111" s="836"/>
      <c r="N111" s="846"/>
      <c r="O111" s="846"/>
      <c r="P111" s="846"/>
      <c r="Q111" s="846"/>
      <c r="R111" s="846"/>
      <c r="S111" s="846"/>
      <c r="T111" s="846"/>
      <c r="U111" s="846"/>
      <c r="W111" s="427">
        <f t="shared" si="29"/>
        <v>5</v>
      </c>
      <c r="X111" s="884">
        <f t="shared" si="30"/>
        <v>140</v>
      </c>
      <c r="Y111" s="121" t="b">
        <f>IF($E$36="Fixed",$E$42,IF($E$36="Variable",VLOOKUP(X111,'Financing Constants'!$A$8:$L$148,$X$179)+$E$41/10000))</f>
        <v>0</v>
      </c>
      <c r="Z111" s="229">
        <f>+AE110</f>
        <v>12146003.055555552</v>
      </c>
      <c r="AA111" s="888" t="str">
        <f t="shared" si="31"/>
        <v>PP</v>
      </c>
      <c r="AB111" s="229">
        <f t="shared" si="0"/>
        <v>34117.986111111109</v>
      </c>
      <c r="AC111" s="229">
        <f t="shared" si="1"/>
        <v>34117.986111111109</v>
      </c>
      <c r="AD111" s="229">
        <f t="shared" si="2"/>
        <v>0</v>
      </c>
      <c r="AE111" s="229">
        <f t="shared" si="3"/>
        <v>12111885.06944444</v>
      </c>
      <c r="AG111" s="427">
        <f t="shared" si="32"/>
        <v>5</v>
      </c>
      <c r="AH111" s="884">
        <f t="shared" si="33"/>
        <v>140</v>
      </c>
      <c r="AI111" s="121" t="b">
        <f>IF($H$36="Fixed",$H$42,IF($H$36="Variable",VLOOKUP(AH111,'Financing Constants'!$A$8:$L$148,$AH$179)+$H$41/10000))</f>
        <v>0</v>
      </c>
      <c r="AJ111" s="229" t="e">
        <f>+AO110</f>
        <v>#NUM!</v>
      </c>
      <c r="AK111" s="888" t="str">
        <f t="shared" si="4"/>
        <v>PP</v>
      </c>
      <c r="AL111" s="229" t="e">
        <f t="shared" si="5"/>
        <v>#NUM!</v>
      </c>
      <c r="AM111" s="229" t="e">
        <f t="shared" si="6"/>
        <v>#NUM!</v>
      </c>
      <c r="AN111" s="229" t="e">
        <f t="shared" si="7"/>
        <v>#NUM!</v>
      </c>
      <c r="AO111" s="229" t="e">
        <f t="shared" si="8"/>
        <v>#NUM!</v>
      </c>
      <c r="AQ111" s="427">
        <f t="shared" si="34"/>
        <v>5</v>
      </c>
      <c r="AR111" s="884">
        <f t="shared" si="35"/>
        <v>140</v>
      </c>
      <c r="AS111" s="121" t="b">
        <f>IF($K$36="Fixed",$K$42,IF($K$36="Variable",VLOOKUP(AR111,'Financing Constants'!$A$8:$L$148,$AR$179)+$K$41/10000))</f>
        <v>0</v>
      </c>
      <c r="AT111" s="229" t="e">
        <f>+AY110</f>
        <v>#NUM!</v>
      </c>
      <c r="AU111" s="888" t="str">
        <f t="shared" si="9"/>
        <v>PP</v>
      </c>
      <c r="AV111" s="229" t="e">
        <f t="shared" si="10"/>
        <v>#NUM!</v>
      </c>
      <c r="AW111" s="229" t="e">
        <f t="shared" si="11"/>
        <v>#NUM!</v>
      </c>
      <c r="AX111" s="229" t="e">
        <f t="shared" si="12"/>
        <v>#NUM!</v>
      </c>
      <c r="AY111" s="229" t="e">
        <f t="shared" si="13"/>
        <v>#NUM!</v>
      </c>
      <c r="BA111" s="427">
        <f t="shared" si="36"/>
        <v>5</v>
      </c>
      <c r="BB111" s="884">
        <f t="shared" si="37"/>
        <v>140</v>
      </c>
      <c r="BC111" s="121" t="b">
        <f>IF($N$36="Fixed",$N$42,IF($N$36="Variable",VLOOKUP(BB111,'Financing Constants'!$A$8:$L$148,$BB$179)+$N$41/10000))</f>
        <v>0</v>
      </c>
      <c r="BD111" s="229" t="e">
        <f>+BI110</f>
        <v>#NUM!</v>
      </c>
      <c r="BE111" s="888" t="str">
        <f t="shared" si="14"/>
        <v>PP</v>
      </c>
      <c r="BF111" s="229" t="e">
        <f t="shared" si="15"/>
        <v>#NUM!</v>
      </c>
      <c r="BG111" s="229" t="e">
        <f t="shared" si="16"/>
        <v>#NUM!</v>
      </c>
      <c r="BH111" s="229" t="e">
        <f t="shared" si="17"/>
        <v>#NUM!</v>
      </c>
      <c r="BI111" s="229" t="e">
        <f t="shared" si="18"/>
        <v>#NUM!</v>
      </c>
      <c r="BK111" s="427">
        <f t="shared" si="38"/>
        <v>5</v>
      </c>
      <c r="BL111" s="884">
        <f t="shared" si="39"/>
        <v>140</v>
      </c>
      <c r="BM111" s="121" t="b">
        <f>IF($Q$36="Fixed",$Q$42,IF($Q$36="Variable",VLOOKUP(BL111,'Financing Constants'!$A$8:$L$148,$BL$179)+$Q$41/10000))</f>
        <v>0</v>
      </c>
      <c r="BN111" s="229" t="e">
        <f>+BS110</f>
        <v>#NUM!</v>
      </c>
      <c r="BO111" s="888" t="str">
        <f t="shared" si="19"/>
        <v>PP</v>
      </c>
      <c r="BP111" s="229" t="e">
        <f t="shared" si="20"/>
        <v>#NUM!</v>
      </c>
      <c r="BQ111" s="229" t="e">
        <f t="shared" si="21"/>
        <v>#NUM!</v>
      </c>
      <c r="BR111" s="229" t="e">
        <f t="shared" si="22"/>
        <v>#NUM!</v>
      </c>
      <c r="BS111" s="229" t="e">
        <f t="shared" si="23"/>
        <v>#NUM!</v>
      </c>
      <c r="BU111" s="427">
        <f t="shared" si="40"/>
        <v>5</v>
      </c>
      <c r="BV111" s="884">
        <f t="shared" si="41"/>
        <v>140</v>
      </c>
      <c r="BW111" s="121" t="b">
        <f>IF($T$36="Fixed",$T$42,IF($T$36="Variable",VLOOKUP(BV111,'Financing Constants'!$A$8:$L$148,$BV$179)+$T$41/10000))</f>
        <v>0</v>
      </c>
      <c r="BX111" s="229" t="e">
        <f>+CC110</f>
        <v>#NUM!</v>
      </c>
      <c r="BY111" s="888" t="str">
        <f t="shared" si="24"/>
        <v>PP</v>
      </c>
      <c r="BZ111" s="229" t="e">
        <f t="shared" si="25"/>
        <v>#NUM!</v>
      </c>
      <c r="CA111" s="229" t="e">
        <f t="shared" si="26"/>
        <v>#NUM!</v>
      </c>
      <c r="CB111" s="229" t="e">
        <f t="shared" si="27"/>
        <v>#NUM!</v>
      </c>
      <c r="CC111" s="229" t="e">
        <f t="shared" si="28"/>
        <v>#NUM!</v>
      </c>
    </row>
    <row r="112" spans="1:81" ht="13.9" customHeight="1" x14ac:dyDescent="0.4">
      <c r="A112" s="763"/>
      <c r="E112" s="470"/>
      <c r="F112" s="470"/>
      <c r="G112" s="470"/>
      <c r="H112" s="470"/>
      <c r="I112" s="470"/>
      <c r="J112" s="470"/>
      <c r="K112" s="470"/>
      <c r="L112" s="470"/>
      <c r="M112" s="470"/>
      <c r="N112" s="846"/>
      <c r="O112" s="846"/>
      <c r="P112" s="846"/>
      <c r="Q112" s="846"/>
      <c r="R112" s="846"/>
      <c r="S112" s="846"/>
      <c r="T112" s="846"/>
      <c r="U112" s="846"/>
      <c r="W112" s="908">
        <f t="shared" si="29"/>
        <v>6</v>
      </c>
      <c r="X112" s="909">
        <f t="shared" si="30"/>
        <v>170</v>
      </c>
      <c r="Y112" s="910" t="b">
        <f>IF($E$36="Fixed",$E$42,IF($E$36="Variable",VLOOKUP(X112,'Financing Constants'!$A$8:$L$148,$X$179)+$E$41/10000))</f>
        <v>0</v>
      </c>
      <c r="Z112" s="911">
        <f>+AE111</f>
        <v>12111885.06944444</v>
      </c>
      <c r="AA112" s="912" t="str">
        <f t="shared" si="31"/>
        <v>PP</v>
      </c>
      <c r="AB112" s="911">
        <f t="shared" si="0"/>
        <v>34117.986111111109</v>
      </c>
      <c r="AC112" s="911">
        <f t="shared" si="1"/>
        <v>34117.986111111109</v>
      </c>
      <c r="AD112" s="911">
        <f t="shared" si="2"/>
        <v>0</v>
      </c>
      <c r="AE112" s="911">
        <f t="shared" si="3"/>
        <v>12077767.083333328</v>
      </c>
      <c r="AF112" s="908"/>
      <c r="AG112" s="908">
        <f t="shared" si="32"/>
        <v>6</v>
      </c>
      <c r="AH112" s="909">
        <f t="shared" si="33"/>
        <v>170</v>
      </c>
      <c r="AI112" s="910" t="b">
        <f>IF($H$36="Fixed",$H$42,IF($H$36="Variable",VLOOKUP(AH112,'Financing Constants'!$A$8:$L$148,$AH$179)+$H$41/10000))</f>
        <v>0</v>
      </c>
      <c r="AJ112" s="911" t="e">
        <f>+AO111</f>
        <v>#NUM!</v>
      </c>
      <c r="AK112" s="912" t="str">
        <f t="shared" si="4"/>
        <v>PP</v>
      </c>
      <c r="AL112" s="911" t="e">
        <f t="shared" si="5"/>
        <v>#NUM!</v>
      </c>
      <c r="AM112" s="911" t="e">
        <f t="shared" si="6"/>
        <v>#NUM!</v>
      </c>
      <c r="AN112" s="911" t="e">
        <f t="shared" si="7"/>
        <v>#NUM!</v>
      </c>
      <c r="AO112" s="911" t="e">
        <f t="shared" si="8"/>
        <v>#NUM!</v>
      </c>
      <c r="AP112" s="908"/>
      <c r="AQ112" s="908">
        <f t="shared" si="34"/>
        <v>6</v>
      </c>
      <c r="AR112" s="909">
        <f t="shared" si="35"/>
        <v>170</v>
      </c>
      <c r="AS112" s="910" t="b">
        <f>IF($K$36="Fixed",$K$42,IF($K$36="Variable",VLOOKUP(AR112,'Financing Constants'!$A$8:$L$148,$AR$179)+$K$41/10000))</f>
        <v>0</v>
      </c>
      <c r="AT112" s="911" t="e">
        <f>+AY111</f>
        <v>#NUM!</v>
      </c>
      <c r="AU112" s="912" t="str">
        <f t="shared" si="9"/>
        <v>PP</v>
      </c>
      <c r="AV112" s="911" t="e">
        <f t="shared" si="10"/>
        <v>#NUM!</v>
      </c>
      <c r="AW112" s="911" t="e">
        <f t="shared" si="11"/>
        <v>#NUM!</v>
      </c>
      <c r="AX112" s="911" t="e">
        <f t="shared" si="12"/>
        <v>#NUM!</v>
      </c>
      <c r="AY112" s="911" t="e">
        <f t="shared" si="13"/>
        <v>#NUM!</v>
      </c>
      <c r="AZ112" s="908"/>
      <c r="BA112" s="908">
        <f t="shared" si="36"/>
        <v>6</v>
      </c>
      <c r="BB112" s="909">
        <f t="shared" si="37"/>
        <v>170</v>
      </c>
      <c r="BC112" s="910" t="b">
        <f>IF($N$36="Fixed",$N$42,IF($N$36="Variable",VLOOKUP(BB112,'Financing Constants'!$A$8:$L$148,$BB$179)+$N$41/10000))</f>
        <v>0</v>
      </c>
      <c r="BD112" s="911" t="e">
        <f>+BI111</f>
        <v>#NUM!</v>
      </c>
      <c r="BE112" s="912" t="str">
        <f t="shared" si="14"/>
        <v>PP</v>
      </c>
      <c r="BF112" s="911" t="e">
        <f t="shared" si="15"/>
        <v>#NUM!</v>
      </c>
      <c r="BG112" s="911" t="e">
        <f t="shared" si="16"/>
        <v>#NUM!</v>
      </c>
      <c r="BH112" s="911" t="e">
        <f t="shared" si="17"/>
        <v>#NUM!</v>
      </c>
      <c r="BI112" s="911" t="e">
        <f t="shared" si="18"/>
        <v>#NUM!</v>
      </c>
      <c r="BJ112" s="908"/>
      <c r="BK112" s="908">
        <f t="shared" si="38"/>
        <v>6</v>
      </c>
      <c r="BL112" s="909">
        <f t="shared" si="39"/>
        <v>170</v>
      </c>
      <c r="BM112" s="910" t="b">
        <f>IF($Q$36="Fixed",$Q$42,IF($Q$36="Variable",VLOOKUP(BL112,'Financing Constants'!$A$8:$L$148,$BL$179)+$Q$41/10000))</f>
        <v>0</v>
      </c>
      <c r="BN112" s="911" t="e">
        <f>+BS111</f>
        <v>#NUM!</v>
      </c>
      <c r="BO112" s="912" t="str">
        <f t="shared" si="19"/>
        <v>PP</v>
      </c>
      <c r="BP112" s="911" t="e">
        <f t="shared" si="20"/>
        <v>#NUM!</v>
      </c>
      <c r="BQ112" s="911" t="e">
        <f t="shared" si="21"/>
        <v>#NUM!</v>
      </c>
      <c r="BR112" s="911" t="e">
        <f t="shared" si="22"/>
        <v>#NUM!</v>
      </c>
      <c r="BS112" s="911" t="e">
        <f t="shared" si="23"/>
        <v>#NUM!</v>
      </c>
      <c r="BT112" s="908"/>
      <c r="BU112" s="908">
        <f t="shared" si="40"/>
        <v>6</v>
      </c>
      <c r="BV112" s="909">
        <f t="shared" si="41"/>
        <v>170</v>
      </c>
      <c r="BW112" s="910" t="b">
        <f>IF($T$36="Fixed",$T$42,IF($T$36="Variable",VLOOKUP(BV112,'Financing Constants'!$A$8:$L$148,$BV$179)+$T$41/10000))</f>
        <v>0</v>
      </c>
      <c r="BX112" s="911" t="e">
        <f>+CC111</f>
        <v>#NUM!</v>
      </c>
      <c r="BY112" s="912" t="str">
        <f t="shared" si="24"/>
        <v>PP</v>
      </c>
      <c r="BZ112" s="911" t="e">
        <f t="shared" si="25"/>
        <v>#NUM!</v>
      </c>
      <c r="CA112" s="911" t="e">
        <f t="shared" si="26"/>
        <v>#NUM!</v>
      </c>
      <c r="CB112" s="911" t="e">
        <f t="shared" si="27"/>
        <v>#NUM!</v>
      </c>
      <c r="CC112" s="911" t="e">
        <f t="shared" si="28"/>
        <v>#NUM!</v>
      </c>
    </row>
    <row r="113" spans="1:81" ht="13.9" customHeight="1" x14ac:dyDescent="0.25">
      <c r="A113" s="468"/>
      <c r="E113" s="470"/>
      <c r="F113" s="470"/>
      <c r="G113" s="470"/>
      <c r="H113" s="470"/>
      <c r="I113" s="470"/>
      <c r="J113" s="470"/>
      <c r="K113" s="470"/>
      <c r="L113" s="470"/>
      <c r="M113" s="470"/>
      <c r="N113" s="846"/>
      <c r="O113" s="846"/>
      <c r="P113" s="846"/>
      <c r="Q113" s="846"/>
      <c r="R113" s="846"/>
      <c r="S113" s="846"/>
      <c r="T113" s="846"/>
      <c r="U113" s="846"/>
      <c r="W113" s="427">
        <f t="shared" si="29"/>
        <v>7</v>
      </c>
      <c r="X113" s="884">
        <f t="shared" si="30"/>
        <v>200</v>
      </c>
      <c r="Y113" s="121" t="b">
        <f>IF($E$36="Fixed",$E$42,IF($E$36="Variable",VLOOKUP(X113,'Financing Constants'!$A$8:$L$148,$X$179)+$E$41/10000))</f>
        <v>0</v>
      </c>
      <c r="Z113" s="229">
        <f t="shared" ref="Z113:Z116" si="42">+AE112</f>
        <v>12077767.083333328</v>
      </c>
      <c r="AA113" s="888" t="str">
        <f t="shared" si="31"/>
        <v>PP</v>
      </c>
      <c r="AB113" s="229">
        <f t="shared" si="0"/>
        <v>34117.986111111109</v>
      </c>
      <c r="AC113" s="229">
        <f t="shared" si="1"/>
        <v>34117.986111111109</v>
      </c>
      <c r="AD113" s="229">
        <f t="shared" si="2"/>
        <v>0</v>
      </c>
      <c r="AE113" s="229">
        <f t="shared" si="3"/>
        <v>12043649.097222216</v>
      </c>
      <c r="AG113" s="427">
        <f t="shared" si="32"/>
        <v>7</v>
      </c>
      <c r="AH113" s="884">
        <f t="shared" si="33"/>
        <v>200</v>
      </c>
      <c r="AI113" s="121" t="b">
        <f>IF($H$36="Fixed",$H$42,IF($H$36="Variable",VLOOKUP(AH113,'Financing Constants'!$A$8:$L$148,$AH$179)+$H$41/10000))</f>
        <v>0</v>
      </c>
      <c r="AJ113" s="229" t="e">
        <f t="shared" ref="AJ113:AJ116" si="43">+AO112</f>
        <v>#NUM!</v>
      </c>
      <c r="AK113" s="888" t="str">
        <f t="shared" si="4"/>
        <v>PP</v>
      </c>
      <c r="AL113" s="229" t="e">
        <f t="shared" si="5"/>
        <v>#NUM!</v>
      </c>
      <c r="AM113" s="229" t="e">
        <f t="shared" si="6"/>
        <v>#NUM!</v>
      </c>
      <c r="AN113" s="229" t="e">
        <f t="shared" si="7"/>
        <v>#NUM!</v>
      </c>
      <c r="AO113" s="229" t="e">
        <f t="shared" si="8"/>
        <v>#NUM!</v>
      </c>
      <c r="AQ113" s="427">
        <f t="shared" si="34"/>
        <v>7</v>
      </c>
      <c r="AR113" s="884">
        <f t="shared" si="35"/>
        <v>200</v>
      </c>
      <c r="AS113" s="121" t="b">
        <f>IF($K$36="Fixed",$K$42,IF($K$36="Variable",VLOOKUP(AR113,'Financing Constants'!$A$8:$L$148,$AR$179)+$K$41/10000))</f>
        <v>0</v>
      </c>
      <c r="AT113" s="229" t="e">
        <f t="shared" ref="AT113:AT116" si="44">+AY112</f>
        <v>#NUM!</v>
      </c>
      <c r="AU113" s="888" t="str">
        <f t="shared" si="9"/>
        <v>PP</v>
      </c>
      <c r="AV113" s="229" t="e">
        <f t="shared" si="10"/>
        <v>#NUM!</v>
      </c>
      <c r="AW113" s="229" t="e">
        <f t="shared" si="11"/>
        <v>#NUM!</v>
      </c>
      <c r="AX113" s="229" t="e">
        <f t="shared" si="12"/>
        <v>#NUM!</v>
      </c>
      <c r="AY113" s="229" t="e">
        <f t="shared" si="13"/>
        <v>#NUM!</v>
      </c>
      <c r="BA113" s="427">
        <f t="shared" si="36"/>
        <v>7</v>
      </c>
      <c r="BB113" s="884">
        <f t="shared" si="37"/>
        <v>200</v>
      </c>
      <c r="BC113" s="121" t="b">
        <f>IF($N$36="Fixed",$N$42,IF($N$36="Variable",VLOOKUP(BB113,'Financing Constants'!$A$8:$L$148,$BB$179)+$N$41/10000))</f>
        <v>0</v>
      </c>
      <c r="BD113" s="229" t="e">
        <f t="shared" ref="BD113:BD116" si="45">+BI112</f>
        <v>#NUM!</v>
      </c>
      <c r="BE113" s="888" t="str">
        <f t="shared" si="14"/>
        <v>PP</v>
      </c>
      <c r="BF113" s="229" t="e">
        <f t="shared" si="15"/>
        <v>#NUM!</v>
      </c>
      <c r="BG113" s="229" t="e">
        <f t="shared" si="16"/>
        <v>#NUM!</v>
      </c>
      <c r="BH113" s="229" t="e">
        <f t="shared" si="17"/>
        <v>#NUM!</v>
      </c>
      <c r="BI113" s="229" t="e">
        <f t="shared" si="18"/>
        <v>#NUM!</v>
      </c>
      <c r="BK113" s="427">
        <f t="shared" si="38"/>
        <v>7</v>
      </c>
      <c r="BL113" s="884">
        <f t="shared" si="39"/>
        <v>200</v>
      </c>
      <c r="BM113" s="121" t="b">
        <f>IF($Q$36="Fixed",$Q$42,IF($Q$36="Variable",VLOOKUP(BL113,'Financing Constants'!$A$8:$L$148,$BL$179)+$Q$41/10000))</f>
        <v>0</v>
      </c>
      <c r="BN113" s="229" t="e">
        <f t="shared" ref="BN113:BN116" si="46">+BS112</f>
        <v>#NUM!</v>
      </c>
      <c r="BO113" s="888" t="str">
        <f t="shared" si="19"/>
        <v>PP</v>
      </c>
      <c r="BP113" s="229" t="e">
        <f t="shared" si="20"/>
        <v>#NUM!</v>
      </c>
      <c r="BQ113" s="229" t="e">
        <f t="shared" si="21"/>
        <v>#NUM!</v>
      </c>
      <c r="BR113" s="229" t="e">
        <f t="shared" si="22"/>
        <v>#NUM!</v>
      </c>
      <c r="BS113" s="229" t="e">
        <f t="shared" si="23"/>
        <v>#NUM!</v>
      </c>
      <c r="BU113" s="427">
        <f t="shared" si="40"/>
        <v>7</v>
      </c>
      <c r="BV113" s="884">
        <f t="shared" si="41"/>
        <v>200</v>
      </c>
      <c r="BW113" s="121" t="b">
        <f>IF($T$36="Fixed",$T$42,IF($T$36="Variable",VLOOKUP(BV113,'Financing Constants'!$A$8:$L$148,$BV$179)+$T$41/10000))</f>
        <v>0</v>
      </c>
      <c r="BX113" s="229" t="e">
        <f t="shared" ref="BX113:BX116" si="47">+CC112</f>
        <v>#NUM!</v>
      </c>
      <c r="BY113" s="888" t="str">
        <f t="shared" si="24"/>
        <v>PP</v>
      </c>
      <c r="BZ113" s="229" t="e">
        <f t="shared" si="25"/>
        <v>#NUM!</v>
      </c>
      <c r="CA113" s="229" t="e">
        <f t="shared" si="26"/>
        <v>#NUM!</v>
      </c>
      <c r="CB113" s="229" t="e">
        <f t="shared" si="27"/>
        <v>#NUM!</v>
      </c>
      <c r="CC113" s="229" t="e">
        <f t="shared" si="28"/>
        <v>#NUM!</v>
      </c>
    </row>
    <row r="114" spans="1:81" ht="13.9" customHeight="1" x14ac:dyDescent="0.25">
      <c r="A114" s="12"/>
      <c r="E114" s="757"/>
      <c r="F114" s="757"/>
      <c r="G114" s="757"/>
      <c r="H114" s="835"/>
      <c r="I114" s="835"/>
      <c r="J114" s="835"/>
      <c r="K114" s="835"/>
      <c r="L114" s="835"/>
      <c r="M114" s="835"/>
      <c r="N114" s="846"/>
      <c r="O114" s="846"/>
      <c r="P114" s="846"/>
      <c r="Q114" s="846"/>
      <c r="R114" s="846"/>
      <c r="S114" s="846"/>
      <c r="T114" s="846"/>
      <c r="U114" s="846"/>
      <c r="W114" s="427">
        <f t="shared" si="29"/>
        <v>8</v>
      </c>
      <c r="X114" s="884">
        <f t="shared" si="30"/>
        <v>230</v>
      </c>
      <c r="Y114" s="121" t="b">
        <f>IF($E$36="Fixed",$E$42,IF($E$36="Variable",VLOOKUP(X114,'Financing Constants'!$A$8:$L$148,$X$179)+$E$41/10000))</f>
        <v>0</v>
      </c>
      <c r="Z114" s="229">
        <f t="shared" si="42"/>
        <v>12043649.097222216</v>
      </c>
      <c r="AA114" s="888" t="str">
        <f t="shared" si="31"/>
        <v>PP</v>
      </c>
      <c r="AB114" s="229">
        <f t="shared" si="0"/>
        <v>34117.986111111109</v>
      </c>
      <c r="AC114" s="229">
        <f t="shared" si="1"/>
        <v>34117.986111111109</v>
      </c>
      <c r="AD114" s="229">
        <f t="shared" si="2"/>
        <v>0</v>
      </c>
      <c r="AE114" s="229">
        <f t="shared" si="3"/>
        <v>12009531.111111104</v>
      </c>
      <c r="AG114" s="427">
        <f t="shared" si="32"/>
        <v>8</v>
      </c>
      <c r="AH114" s="884">
        <f t="shared" si="33"/>
        <v>230</v>
      </c>
      <c r="AI114" s="121" t="b">
        <f>IF($H$36="Fixed",$H$42,IF($H$36="Variable",VLOOKUP(AH114,'Financing Constants'!$A$8:$L$148,$AH$179)+$H$41/10000))</f>
        <v>0</v>
      </c>
      <c r="AJ114" s="229" t="e">
        <f t="shared" si="43"/>
        <v>#NUM!</v>
      </c>
      <c r="AK114" s="888" t="str">
        <f t="shared" si="4"/>
        <v>PP</v>
      </c>
      <c r="AL114" s="229" t="e">
        <f t="shared" si="5"/>
        <v>#NUM!</v>
      </c>
      <c r="AM114" s="229" t="e">
        <f t="shared" si="6"/>
        <v>#NUM!</v>
      </c>
      <c r="AN114" s="229" t="e">
        <f t="shared" si="7"/>
        <v>#NUM!</v>
      </c>
      <c r="AO114" s="229" t="e">
        <f t="shared" si="8"/>
        <v>#NUM!</v>
      </c>
      <c r="AQ114" s="427">
        <f t="shared" si="34"/>
        <v>8</v>
      </c>
      <c r="AR114" s="884">
        <f t="shared" si="35"/>
        <v>230</v>
      </c>
      <c r="AS114" s="121" t="b">
        <f>IF($K$36="Fixed",$K$42,IF($K$36="Variable",VLOOKUP(AR114,'Financing Constants'!$A$8:$L$148,$AR$179)+$K$41/10000))</f>
        <v>0</v>
      </c>
      <c r="AT114" s="229" t="e">
        <f t="shared" si="44"/>
        <v>#NUM!</v>
      </c>
      <c r="AU114" s="888" t="str">
        <f t="shared" si="9"/>
        <v>PP</v>
      </c>
      <c r="AV114" s="229" t="e">
        <f t="shared" si="10"/>
        <v>#NUM!</v>
      </c>
      <c r="AW114" s="229" t="e">
        <f t="shared" si="11"/>
        <v>#NUM!</v>
      </c>
      <c r="AX114" s="229" t="e">
        <f t="shared" si="12"/>
        <v>#NUM!</v>
      </c>
      <c r="AY114" s="229" t="e">
        <f t="shared" si="13"/>
        <v>#NUM!</v>
      </c>
      <c r="BA114" s="427">
        <f t="shared" si="36"/>
        <v>8</v>
      </c>
      <c r="BB114" s="884">
        <f t="shared" si="37"/>
        <v>230</v>
      </c>
      <c r="BC114" s="121" t="b">
        <f>IF($N$36="Fixed",$N$42,IF($N$36="Variable",VLOOKUP(BB114,'Financing Constants'!$A$8:$L$148,$BB$179)+$N$41/10000))</f>
        <v>0</v>
      </c>
      <c r="BD114" s="229" t="e">
        <f t="shared" si="45"/>
        <v>#NUM!</v>
      </c>
      <c r="BE114" s="888" t="str">
        <f t="shared" si="14"/>
        <v>PP</v>
      </c>
      <c r="BF114" s="229" t="e">
        <f t="shared" si="15"/>
        <v>#NUM!</v>
      </c>
      <c r="BG114" s="229" t="e">
        <f t="shared" si="16"/>
        <v>#NUM!</v>
      </c>
      <c r="BH114" s="229" t="e">
        <f t="shared" si="17"/>
        <v>#NUM!</v>
      </c>
      <c r="BI114" s="229" t="e">
        <f t="shared" si="18"/>
        <v>#NUM!</v>
      </c>
      <c r="BK114" s="427">
        <f t="shared" si="38"/>
        <v>8</v>
      </c>
      <c r="BL114" s="884">
        <f t="shared" si="39"/>
        <v>230</v>
      </c>
      <c r="BM114" s="121" t="b">
        <f>IF($Q$36="Fixed",$Q$42,IF($Q$36="Variable",VLOOKUP(BL114,'Financing Constants'!$A$8:$L$148,$BL$179)+$Q$41/10000))</f>
        <v>0</v>
      </c>
      <c r="BN114" s="229" t="e">
        <f t="shared" si="46"/>
        <v>#NUM!</v>
      </c>
      <c r="BO114" s="888" t="str">
        <f t="shared" si="19"/>
        <v>PP</v>
      </c>
      <c r="BP114" s="229" t="e">
        <f t="shared" si="20"/>
        <v>#NUM!</v>
      </c>
      <c r="BQ114" s="229" t="e">
        <f t="shared" si="21"/>
        <v>#NUM!</v>
      </c>
      <c r="BR114" s="229" t="e">
        <f t="shared" si="22"/>
        <v>#NUM!</v>
      </c>
      <c r="BS114" s="229" t="e">
        <f t="shared" si="23"/>
        <v>#NUM!</v>
      </c>
      <c r="BU114" s="427">
        <f t="shared" si="40"/>
        <v>8</v>
      </c>
      <c r="BV114" s="884">
        <f t="shared" si="41"/>
        <v>230</v>
      </c>
      <c r="BW114" s="121" t="b">
        <f>IF($T$36="Fixed",$T$42,IF($T$36="Variable",VLOOKUP(BV114,'Financing Constants'!$A$8:$L$148,$BV$179)+$T$41/10000))</f>
        <v>0</v>
      </c>
      <c r="BX114" s="229" t="e">
        <f t="shared" si="47"/>
        <v>#NUM!</v>
      </c>
      <c r="BY114" s="888" t="str">
        <f t="shared" si="24"/>
        <v>PP</v>
      </c>
      <c r="BZ114" s="229" t="e">
        <f t="shared" si="25"/>
        <v>#NUM!</v>
      </c>
      <c r="CA114" s="229" t="e">
        <f t="shared" si="26"/>
        <v>#NUM!</v>
      </c>
      <c r="CB114" s="229" t="e">
        <f t="shared" si="27"/>
        <v>#NUM!</v>
      </c>
      <c r="CC114" s="229" t="e">
        <f t="shared" si="28"/>
        <v>#NUM!</v>
      </c>
    </row>
    <row r="115" spans="1:81" ht="13.9" customHeight="1" x14ac:dyDescent="0.25">
      <c r="A115" s="468"/>
      <c r="E115" s="767"/>
      <c r="F115" s="767"/>
      <c r="G115" s="767"/>
      <c r="H115" s="767"/>
      <c r="I115" s="767"/>
      <c r="J115" s="767"/>
      <c r="K115" s="767"/>
      <c r="L115" s="767"/>
      <c r="M115" s="767"/>
      <c r="N115" s="846"/>
      <c r="O115" s="846"/>
      <c r="P115" s="846"/>
      <c r="Q115" s="846"/>
      <c r="R115" s="846"/>
      <c r="S115" s="846"/>
      <c r="T115" s="846"/>
      <c r="U115" s="846"/>
      <c r="W115" s="427">
        <f t="shared" si="29"/>
        <v>9</v>
      </c>
      <c r="X115" s="884">
        <f t="shared" si="30"/>
        <v>260</v>
      </c>
      <c r="Y115" s="121" t="b">
        <f>IF($E$36="Fixed",$E$42,IF($E$36="Variable",VLOOKUP(X115,'Financing Constants'!$A$8:$L$148,$X$179)+$E$41/10000))</f>
        <v>0</v>
      </c>
      <c r="Z115" s="229">
        <f t="shared" si="42"/>
        <v>12009531.111111104</v>
      </c>
      <c r="AA115" s="888" t="str">
        <f t="shared" si="31"/>
        <v>PP</v>
      </c>
      <c r="AB115" s="229">
        <f t="shared" si="0"/>
        <v>34117.986111111109</v>
      </c>
      <c r="AC115" s="229">
        <f t="shared" si="1"/>
        <v>34117.986111111109</v>
      </c>
      <c r="AD115" s="229">
        <f t="shared" si="2"/>
        <v>0</v>
      </c>
      <c r="AE115" s="229">
        <f t="shared" si="3"/>
        <v>11975413.124999993</v>
      </c>
      <c r="AG115" s="427">
        <f t="shared" si="32"/>
        <v>9</v>
      </c>
      <c r="AH115" s="884">
        <f t="shared" si="33"/>
        <v>260</v>
      </c>
      <c r="AI115" s="121" t="b">
        <f>IF($H$36="Fixed",$H$42,IF($H$36="Variable",VLOOKUP(AH115,'Financing Constants'!$A$8:$L$148,$AH$179)+$H$41/10000))</f>
        <v>0</v>
      </c>
      <c r="AJ115" s="229" t="e">
        <f t="shared" si="43"/>
        <v>#NUM!</v>
      </c>
      <c r="AK115" s="888" t="str">
        <f t="shared" si="4"/>
        <v>PP</v>
      </c>
      <c r="AL115" s="229" t="e">
        <f t="shared" si="5"/>
        <v>#NUM!</v>
      </c>
      <c r="AM115" s="229" t="e">
        <f t="shared" si="6"/>
        <v>#NUM!</v>
      </c>
      <c r="AN115" s="229" t="e">
        <f t="shared" si="7"/>
        <v>#NUM!</v>
      </c>
      <c r="AO115" s="229" t="e">
        <f t="shared" si="8"/>
        <v>#NUM!</v>
      </c>
      <c r="AQ115" s="427">
        <f t="shared" si="34"/>
        <v>9</v>
      </c>
      <c r="AR115" s="884">
        <f t="shared" si="35"/>
        <v>260</v>
      </c>
      <c r="AS115" s="121" t="b">
        <f>IF($K$36="Fixed",$K$42,IF($K$36="Variable",VLOOKUP(AR115,'Financing Constants'!$A$8:$L$148,$AR$179)+$K$41/10000))</f>
        <v>0</v>
      </c>
      <c r="AT115" s="229" t="e">
        <f t="shared" si="44"/>
        <v>#NUM!</v>
      </c>
      <c r="AU115" s="888" t="str">
        <f t="shared" si="9"/>
        <v>PP</v>
      </c>
      <c r="AV115" s="229" t="e">
        <f t="shared" si="10"/>
        <v>#NUM!</v>
      </c>
      <c r="AW115" s="229" t="e">
        <f t="shared" si="11"/>
        <v>#NUM!</v>
      </c>
      <c r="AX115" s="229" t="e">
        <f t="shared" si="12"/>
        <v>#NUM!</v>
      </c>
      <c r="AY115" s="229" t="e">
        <f t="shared" si="13"/>
        <v>#NUM!</v>
      </c>
      <c r="BA115" s="427">
        <f t="shared" si="36"/>
        <v>9</v>
      </c>
      <c r="BB115" s="884">
        <f t="shared" si="37"/>
        <v>260</v>
      </c>
      <c r="BC115" s="121" t="b">
        <f>IF($N$36="Fixed",$N$42,IF($N$36="Variable",VLOOKUP(BB115,'Financing Constants'!$A$8:$L$148,$BB$179)+$N$41/10000))</f>
        <v>0</v>
      </c>
      <c r="BD115" s="229" t="e">
        <f t="shared" si="45"/>
        <v>#NUM!</v>
      </c>
      <c r="BE115" s="888" t="str">
        <f t="shared" si="14"/>
        <v>PP</v>
      </c>
      <c r="BF115" s="229" t="e">
        <f t="shared" si="15"/>
        <v>#NUM!</v>
      </c>
      <c r="BG115" s="229" t="e">
        <f t="shared" si="16"/>
        <v>#NUM!</v>
      </c>
      <c r="BH115" s="229" t="e">
        <f t="shared" si="17"/>
        <v>#NUM!</v>
      </c>
      <c r="BI115" s="229" t="e">
        <f t="shared" si="18"/>
        <v>#NUM!</v>
      </c>
      <c r="BK115" s="427">
        <f t="shared" si="38"/>
        <v>9</v>
      </c>
      <c r="BL115" s="884">
        <f t="shared" si="39"/>
        <v>260</v>
      </c>
      <c r="BM115" s="121" t="b">
        <f>IF($Q$36="Fixed",$Q$42,IF($Q$36="Variable",VLOOKUP(BL115,'Financing Constants'!$A$8:$L$148,$BL$179)+$Q$41/10000))</f>
        <v>0</v>
      </c>
      <c r="BN115" s="229" t="e">
        <f t="shared" si="46"/>
        <v>#NUM!</v>
      </c>
      <c r="BO115" s="888" t="str">
        <f t="shared" si="19"/>
        <v>PP</v>
      </c>
      <c r="BP115" s="229" t="e">
        <f t="shared" si="20"/>
        <v>#NUM!</v>
      </c>
      <c r="BQ115" s="229" t="e">
        <f t="shared" si="21"/>
        <v>#NUM!</v>
      </c>
      <c r="BR115" s="229" t="e">
        <f t="shared" si="22"/>
        <v>#NUM!</v>
      </c>
      <c r="BS115" s="229" t="e">
        <f t="shared" si="23"/>
        <v>#NUM!</v>
      </c>
      <c r="BU115" s="427">
        <f t="shared" si="40"/>
        <v>9</v>
      </c>
      <c r="BV115" s="884">
        <f t="shared" si="41"/>
        <v>260</v>
      </c>
      <c r="BW115" s="121" t="b">
        <f>IF($T$36="Fixed",$T$42,IF($T$36="Variable",VLOOKUP(BV115,'Financing Constants'!$A$8:$L$148,$BV$179)+$T$41/10000))</f>
        <v>0</v>
      </c>
      <c r="BX115" s="229" t="e">
        <f t="shared" si="47"/>
        <v>#NUM!</v>
      </c>
      <c r="BY115" s="888" t="str">
        <f t="shared" si="24"/>
        <v>PP</v>
      </c>
      <c r="BZ115" s="229" t="e">
        <f t="shared" si="25"/>
        <v>#NUM!</v>
      </c>
      <c r="CA115" s="229" t="e">
        <f t="shared" si="26"/>
        <v>#NUM!</v>
      </c>
      <c r="CB115" s="229" t="e">
        <f t="shared" si="27"/>
        <v>#NUM!</v>
      </c>
      <c r="CC115" s="229" t="e">
        <f t="shared" si="28"/>
        <v>#NUM!</v>
      </c>
    </row>
    <row r="116" spans="1:81" ht="13.9" customHeight="1" x14ac:dyDescent="0.25">
      <c r="A116" s="468"/>
      <c r="E116" s="757"/>
      <c r="F116" s="757"/>
      <c r="G116" s="757"/>
      <c r="H116" s="835"/>
      <c r="I116" s="835"/>
      <c r="J116" s="835"/>
      <c r="K116" s="835"/>
      <c r="L116" s="835"/>
      <c r="M116" s="835"/>
      <c r="N116" s="846"/>
      <c r="O116" s="846"/>
      <c r="P116" s="846"/>
      <c r="Q116" s="846"/>
      <c r="R116" s="846"/>
      <c r="S116" s="846"/>
      <c r="T116" s="846"/>
      <c r="U116" s="846"/>
      <c r="W116" s="427">
        <f t="shared" si="29"/>
        <v>10</v>
      </c>
      <c r="X116" s="884">
        <f t="shared" si="30"/>
        <v>290</v>
      </c>
      <c r="Y116" s="121" t="b">
        <f>IF($E$36="Fixed",$E$42,IF($E$36="Variable",VLOOKUP(X116,'Financing Constants'!$A$8:$L$148,$X$179)+$E$41/10000))</f>
        <v>0</v>
      </c>
      <c r="Z116" s="229">
        <f t="shared" si="42"/>
        <v>11975413.124999993</v>
      </c>
      <c r="AA116" s="888" t="str">
        <f t="shared" si="31"/>
        <v>PP</v>
      </c>
      <c r="AB116" s="229">
        <f t="shared" si="0"/>
        <v>34117.986111111109</v>
      </c>
      <c r="AC116" s="229">
        <f t="shared" si="1"/>
        <v>34117.986111111109</v>
      </c>
      <c r="AD116" s="229">
        <f t="shared" si="2"/>
        <v>0</v>
      </c>
      <c r="AE116" s="229">
        <f t="shared" si="3"/>
        <v>11941295.138888881</v>
      </c>
      <c r="AG116" s="427">
        <f t="shared" si="32"/>
        <v>10</v>
      </c>
      <c r="AH116" s="884">
        <f t="shared" si="33"/>
        <v>290</v>
      </c>
      <c r="AI116" s="121" t="b">
        <f>IF($H$36="Fixed",$H$42,IF($H$36="Variable",VLOOKUP(AH116,'Financing Constants'!$A$8:$L$148,$AH$179)+$H$41/10000))</f>
        <v>0</v>
      </c>
      <c r="AJ116" s="229" t="e">
        <f t="shared" si="43"/>
        <v>#NUM!</v>
      </c>
      <c r="AK116" s="888" t="str">
        <f t="shared" si="4"/>
        <v>PP</v>
      </c>
      <c r="AL116" s="229" t="e">
        <f t="shared" si="5"/>
        <v>#NUM!</v>
      </c>
      <c r="AM116" s="229" t="e">
        <f t="shared" si="6"/>
        <v>#NUM!</v>
      </c>
      <c r="AN116" s="229" t="e">
        <f t="shared" si="7"/>
        <v>#NUM!</v>
      </c>
      <c r="AO116" s="229" t="e">
        <f t="shared" si="8"/>
        <v>#NUM!</v>
      </c>
      <c r="AQ116" s="427">
        <f t="shared" si="34"/>
        <v>10</v>
      </c>
      <c r="AR116" s="884">
        <f t="shared" si="35"/>
        <v>290</v>
      </c>
      <c r="AS116" s="121" t="b">
        <f>IF($K$36="Fixed",$K$42,IF($K$36="Variable",VLOOKUP(AR116,'Financing Constants'!$A$8:$L$148,$AR$179)+$K$41/10000))</f>
        <v>0</v>
      </c>
      <c r="AT116" s="229" t="e">
        <f t="shared" si="44"/>
        <v>#NUM!</v>
      </c>
      <c r="AU116" s="888" t="str">
        <f t="shared" si="9"/>
        <v>PP</v>
      </c>
      <c r="AV116" s="229" t="e">
        <f t="shared" si="10"/>
        <v>#NUM!</v>
      </c>
      <c r="AW116" s="229" t="e">
        <f t="shared" si="11"/>
        <v>#NUM!</v>
      </c>
      <c r="AX116" s="229" t="e">
        <f t="shared" si="12"/>
        <v>#NUM!</v>
      </c>
      <c r="AY116" s="229" t="e">
        <f t="shared" si="13"/>
        <v>#NUM!</v>
      </c>
      <c r="BA116" s="427">
        <f t="shared" si="36"/>
        <v>10</v>
      </c>
      <c r="BB116" s="884">
        <f t="shared" si="37"/>
        <v>290</v>
      </c>
      <c r="BC116" s="121" t="b">
        <f>IF($N$36="Fixed",$N$42,IF($N$36="Variable",VLOOKUP(BB116,'Financing Constants'!$A$8:$L$148,$BB$179)+$N$41/10000))</f>
        <v>0</v>
      </c>
      <c r="BD116" s="229" t="e">
        <f t="shared" si="45"/>
        <v>#NUM!</v>
      </c>
      <c r="BE116" s="888" t="str">
        <f t="shared" si="14"/>
        <v>PP</v>
      </c>
      <c r="BF116" s="229" t="e">
        <f t="shared" si="15"/>
        <v>#NUM!</v>
      </c>
      <c r="BG116" s="229" t="e">
        <f t="shared" si="16"/>
        <v>#NUM!</v>
      </c>
      <c r="BH116" s="229" t="e">
        <f t="shared" si="17"/>
        <v>#NUM!</v>
      </c>
      <c r="BI116" s="229" t="e">
        <f t="shared" si="18"/>
        <v>#NUM!</v>
      </c>
      <c r="BK116" s="427">
        <f t="shared" si="38"/>
        <v>10</v>
      </c>
      <c r="BL116" s="884">
        <f t="shared" si="39"/>
        <v>290</v>
      </c>
      <c r="BM116" s="121" t="b">
        <f>IF($Q$36="Fixed",$Q$42,IF($Q$36="Variable",VLOOKUP(BL116,'Financing Constants'!$A$8:$L$148,$BL$179)+$Q$41/10000))</f>
        <v>0</v>
      </c>
      <c r="BN116" s="229" t="e">
        <f t="shared" si="46"/>
        <v>#NUM!</v>
      </c>
      <c r="BO116" s="888" t="str">
        <f t="shared" si="19"/>
        <v>PP</v>
      </c>
      <c r="BP116" s="229" t="e">
        <f t="shared" si="20"/>
        <v>#NUM!</v>
      </c>
      <c r="BQ116" s="229" t="e">
        <f t="shared" si="21"/>
        <v>#NUM!</v>
      </c>
      <c r="BR116" s="229" t="e">
        <f t="shared" si="22"/>
        <v>#NUM!</v>
      </c>
      <c r="BS116" s="229" t="e">
        <f t="shared" si="23"/>
        <v>#NUM!</v>
      </c>
      <c r="BU116" s="427">
        <f t="shared" si="40"/>
        <v>10</v>
      </c>
      <c r="BV116" s="884">
        <f t="shared" si="41"/>
        <v>290</v>
      </c>
      <c r="BW116" s="121" t="b">
        <f>IF($T$36="Fixed",$T$42,IF($T$36="Variable",VLOOKUP(BV116,'Financing Constants'!$A$8:$L$148,$BV$179)+$T$41/10000))</f>
        <v>0</v>
      </c>
      <c r="BX116" s="229" t="e">
        <f t="shared" si="47"/>
        <v>#NUM!</v>
      </c>
      <c r="BY116" s="888" t="str">
        <f t="shared" si="24"/>
        <v>PP</v>
      </c>
      <c r="BZ116" s="229" t="e">
        <f t="shared" si="25"/>
        <v>#NUM!</v>
      </c>
      <c r="CA116" s="229" t="e">
        <f t="shared" si="26"/>
        <v>#NUM!</v>
      </c>
      <c r="CB116" s="229" t="e">
        <f t="shared" si="27"/>
        <v>#NUM!</v>
      </c>
      <c r="CC116" s="229" t="e">
        <f t="shared" si="28"/>
        <v>#NUM!</v>
      </c>
    </row>
    <row r="117" spans="1:81" ht="13.9" customHeight="1" x14ac:dyDescent="0.25">
      <c r="A117" s="468"/>
      <c r="E117" s="757"/>
      <c r="F117" s="757"/>
      <c r="G117" s="757"/>
      <c r="H117" s="835"/>
      <c r="I117" s="835"/>
      <c r="J117" s="835"/>
      <c r="K117" s="835"/>
      <c r="L117" s="835"/>
      <c r="M117" s="835"/>
      <c r="N117" s="846"/>
      <c r="O117" s="846"/>
      <c r="P117" s="846"/>
      <c r="Q117" s="846"/>
      <c r="R117" s="846"/>
      <c r="S117" s="846"/>
      <c r="T117" s="846"/>
      <c r="U117" s="846"/>
      <c r="W117" s="427">
        <f t="shared" si="29"/>
        <v>11</v>
      </c>
      <c r="X117" s="884">
        <f t="shared" si="30"/>
        <v>320</v>
      </c>
      <c r="Y117" s="121" t="b">
        <f>IF($E$36="Fixed",$E$42,IF($E$36="Variable",VLOOKUP(X117,'Financing Constants'!$A$8:$L$148,$X$179)+$E$41/10000))</f>
        <v>0</v>
      </c>
      <c r="Z117" s="229">
        <f t="shared" ref="Z117:Z148" si="48">+AE116</f>
        <v>11941295.138888881</v>
      </c>
      <c r="AA117" s="888" t="str">
        <f t="shared" si="31"/>
        <v>PP</v>
      </c>
      <c r="AB117" s="229">
        <f t="shared" si="0"/>
        <v>34117.986111111109</v>
      </c>
      <c r="AC117" s="229">
        <f t="shared" si="1"/>
        <v>34117.986111111109</v>
      </c>
      <c r="AD117" s="229">
        <f t="shared" si="2"/>
        <v>0</v>
      </c>
      <c r="AE117" s="229">
        <f t="shared" si="3"/>
        <v>11907177.152777769</v>
      </c>
      <c r="AG117" s="427">
        <f t="shared" si="32"/>
        <v>11</v>
      </c>
      <c r="AH117" s="884">
        <f t="shared" si="33"/>
        <v>320</v>
      </c>
      <c r="AI117" s="121" t="b">
        <f>IF($H$36="Fixed",$H$42,IF($H$36="Variable",VLOOKUP(AH117,'Financing Constants'!$A$8:$L$148,$AH$179)+$H$41/10000))</f>
        <v>0</v>
      </c>
      <c r="AJ117" s="229" t="e">
        <f t="shared" ref="AJ117:AJ148" si="49">+AO116</f>
        <v>#NUM!</v>
      </c>
      <c r="AK117" s="888" t="str">
        <f t="shared" si="4"/>
        <v>PP</v>
      </c>
      <c r="AL117" s="229" t="e">
        <f t="shared" si="5"/>
        <v>#NUM!</v>
      </c>
      <c r="AM117" s="229" t="e">
        <f t="shared" si="6"/>
        <v>#NUM!</v>
      </c>
      <c r="AN117" s="229" t="e">
        <f t="shared" si="7"/>
        <v>#NUM!</v>
      </c>
      <c r="AO117" s="229" t="e">
        <f t="shared" si="8"/>
        <v>#NUM!</v>
      </c>
      <c r="AQ117" s="427">
        <f t="shared" si="34"/>
        <v>11</v>
      </c>
      <c r="AR117" s="884">
        <f t="shared" si="35"/>
        <v>320</v>
      </c>
      <c r="AS117" s="121" t="b">
        <f>IF($K$36="Fixed",$K$42,IF($K$36="Variable",VLOOKUP(AR117,'Financing Constants'!$A$8:$L$148,$AR$179)+$K$41/10000))</f>
        <v>0</v>
      </c>
      <c r="AT117" s="229" t="e">
        <f t="shared" ref="AT117:AT148" si="50">+AY116</f>
        <v>#NUM!</v>
      </c>
      <c r="AU117" s="888" t="str">
        <f t="shared" si="9"/>
        <v>PP</v>
      </c>
      <c r="AV117" s="229" t="e">
        <f t="shared" si="10"/>
        <v>#NUM!</v>
      </c>
      <c r="AW117" s="229" t="e">
        <f t="shared" si="11"/>
        <v>#NUM!</v>
      </c>
      <c r="AX117" s="229" t="e">
        <f t="shared" si="12"/>
        <v>#NUM!</v>
      </c>
      <c r="AY117" s="229" t="e">
        <f t="shared" si="13"/>
        <v>#NUM!</v>
      </c>
      <c r="BA117" s="427">
        <f t="shared" si="36"/>
        <v>11</v>
      </c>
      <c r="BB117" s="884">
        <f t="shared" si="37"/>
        <v>320</v>
      </c>
      <c r="BC117" s="121" t="b">
        <f>IF($N$36="Fixed",$N$42,IF($N$36="Variable",VLOOKUP(BB117,'Financing Constants'!$A$8:$L$148,$BB$179)+$N$41/10000))</f>
        <v>0</v>
      </c>
      <c r="BD117" s="229" t="e">
        <f t="shared" ref="BD117:BD148" si="51">+BI116</f>
        <v>#NUM!</v>
      </c>
      <c r="BE117" s="888" t="str">
        <f t="shared" si="14"/>
        <v>PP</v>
      </c>
      <c r="BF117" s="229" t="e">
        <f t="shared" si="15"/>
        <v>#NUM!</v>
      </c>
      <c r="BG117" s="229" t="e">
        <f t="shared" si="16"/>
        <v>#NUM!</v>
      </c>
      <c r="BH117" s="229" t="e">
        <f t="shared" si="17"/>
        <v>#NUM!</v>
      </c>
      <c r="BI117" s="229" t="e">
        <f t="shared" si="18"/>
        <v>#NUM!</v>
      </c>
      <c r="BK117" s="427">
        <f t="shared" si="38"/>
        <v>11</v>
      </c>
      <c r="BL117" s="884">
        <f t="shared" si="39"/>
        <v>320</v>
      </c>
      <c r="BM117" s="121" t="b">
        <f>IF($Q$36="Fixed",$Q$42,IF($Q$36="Variable",VLOOKUP(BL117,'Financing Constants'!$A$8:$L$148,$BL$179)+$Q$41/10000))</f>
        <v>0</v>
      </c>
      <c r="BN117" s="229" t="e">
        <f t="shared" ref="BN117:BN148" si="52">+BS116</f>
        <v>#NUM!</v>
      </c>
      <c r="BO117" s="888" t="str">
        <f t="shared" si="19"/>
        <v>PP</v>
      </c>
      <c r="BP117" s="229" t="e">
        <f t="shared" si="20"/>
        <v>#NUM!</v>
      </c>
      <c r="BQ117" s="229" t="e">
        <f t="shared" si="21"/>
        <v>#NUM!</v>
      </c>
      <c r="BR117" s="229" t="e">
        <f t="shared" si="22"/>
        <v>#NUM!</v>
      </c>
      <c r="BS117" s="229" t="e">
        <f t="shared" si="23"/>
        <v>#NUM!</v>
      </c>
      <c r="BU117" s="427">
        <f t="shared" si="40"/>
        <v>11</v>
      </c>
      <c r="BV117" s="884">
        <f t="shared" si="41"/>
        <v>320</v>
      </c>
      <c r="BW117" s="121" t="b">
        <f>IF($T$36="Fixed",$T$42,IF($T$36="Variable",VLOOKUP(BV117,'Financing Constants'!$A$8:$L$148,$BV$179)+$T$41/10000))</f>
        <v>0</v>
      </c>
      <c r="BX117" s="229" t="e">
        <f t="shared" ref="BX117:BX148" si="53">+CC116</f>
        <v>#NUM!</v>
      </c>
      <c r="BY117" s="888" t="str">
        <f t="shared" si="24"/>
        <v>PP</v>
      </c>
      <c r="BZ117" s="229" t="e">
        <f t="shared" si="25"/>
        <v>#NUM!</v>
      </c>
      <c r="CA117" s="229" t="e">
        <f t="shared" si="26"/>
        <v>#NUM!</v>
      </c>
      <c r="CB117" s="229" t="e">
        <f t="shared" si="27"/>
        <v>#NUM!</v>
      </c>
      <c r="CC117" s="229" t="e">
        <f t="shared" si="28"/>
        <v>#NUM!</v>
      </c>
    </row>
    <row r="118" spans="1:81" ht="13.9" customHeight="1" x14ac:dyDescent="0.25">
      <c r="A118" s="468"/>
      <c r="E118" s="757"/>
      <c r="F118" s="757"/>
      <c r="G118" s="757"/>
      <c r="H118" s="835"/>
      <c r="I118" s="835"/>
      <c r="J118" s="835"/>
      <c r="K118" s="835"/>
      <c r="L118" s="835"/>
      <c r="M118" s="835"/>
      <c r="N118" s="846"/>
      <c r="O118" s="846"/>
      <c r="P118" s="846"/>
      <c r="Q118" s="846"/>
      <c r="R118" s="846"/>
      <c r="S118" s="846"/>
      <c r="T118" s="846"/>
      <c r="U118" s="846"/>
      <c r="W118" s="427">
        <f t="shared" si="29"/>
        <v>12</v>
      </c>
      <c r="X118" s="884">
        <f t="shared" si="30"/>
        <v>350</v>
      </c>
      <c r="Y118" s="121" t="b">
        <f>IF($E$36="Fixed",$E$42,IF($E$36="Variable",VLOOKUP(X118,'Financing Constants'!$A$8:$L$148,$X$179)+$E$41/10000))</f>
        <v>0</v>
      </c>
      <c r="Z118" s="229">
        <f t="shared" si="48"/>
        <v>11907177.152777769</v>
      </c>
      <c r="AA118" s="888" t="str">
        <f t="shared" si="31"/>
        <v>PP</v>
      </c>
      <c r="AB118" s="229">
        <f t="shared" si="0"/>
        <v>34117.986111111109</v>
      </c>
      <c r="AC118" s="229">
        <f t="shared" si="1"/>
        <v>34117.986111111109</v>
      </c>
      <c r="AD118" s="229">
        <f t="shared" si="2"/>
        <v>0</v>
      </c>
      <c r="AE118" s="229">
        <f t="shared" si="3"/>
        <v>11873059.166666657</v>
      </c>
      <c r="AG118" s="427">
        <f t="shared" si="32"/>
        <v>12</v>
      </c>
      <c r="AH118" s="884">
        <f t="shared" si="33"/>
        <v>350</v>
      </c>
      <c r="AI118" s="121" t="b">
        <f>IF($H$36="Fixed",$H$42,IF($H$36="Variable",VLOOKUP(AH118,'Financing Constants'!$A$8:$L$148,$AH$179)+$H$41/10000))</f>
        <v>0</v>
      </c>
      <c r="AJ118" s="229" t="e">
        <f t="shared" si="49"/>
        <v>#NUM!</v>
      </c>
      <c r="AK118" s="888" t="str">
        <f t="shared" si="4"/>
        <v>PP</v>
      </c>
      <c r="AL118" s="229" t="e">
        <f t="shared" si="5"/>
        <v>#NUM!</v>
      </c>
      <c r="AM118" s="229" t="e">
        <f t="shared" si="6"/>
        <v>#NUM!</v>
      </c>
      <c r="AN118" s="229" t="e">
        <f t="shared" si="7"/>
        <v>#NUM!</v>
      </c>
      <c r="AO118" s="229" t="e">
        <f t="shared" si="8"/>
        <v>#NUM!</v>
      </c>
      <c r="AQ118" s="427">
        <f t="shared" si="34"/>
        <v>12</v>
      </c>
      <c r="AR118" s="884">
        <f t="shared" si="35"/>
        <v>350</v>
      </c>
      <c r="AS118" s="121" t="b">
        <f>IF($K$36="Fixed",$K$42,IF($K$36="Variable",VLOOKUP(AR118,'Financing Constants'!$A$8:$L$148,$AR$179)+$K$41/10000))</f>
        <v>0</v>
      </c>
      <c r="AT118" s="229" t="e">
        <f t="shared" si="50"/>
        <v>#NUM!</v>
      </c>
      <c r="AU118" s="888" t="str">
        <f t="shared" si="9"/>
        <v>PP</v>
      </c>
      <c r="AV118" s="229" t="e">
        <f t="shared" si="10"/>
        <v>#NUM!</v>
      </c>
      <c r="AW118" s="229" t="e">
        <f t="shared" si="11"/>
        <v>#NUM!</v>
      </c>
      <c r="AX118" s="229" t="e">
        <f t="shared" si="12"/>
        <v>#NUM!</v>
      </c>
      <c r="AY118" s="229" t="e">
        <f t="shared" si="13"/>
        <v>#NUM!</v>
      </c>
      <c r="BA118" s="427">
        <f t="shared" si="36"/>
        <v>12</v>
      </c>
      <c r="BB118" s="884">
        <f t="shared" si="37"/>
        <v>350</v>
      </c>
      <c r="BC118" s="121" t="b">
        <f>IF($N$36="Fixed",$N$42,IF($N$36="Variable",VLOOKUP(BB118,'Financing Constants'!$A$8:$L$148,$BB$179)+$N$41/10000))</f>
        <v>0</v>
      </c>
      <c r="BD118" s="229" t="e">
        <f t="shared" si="51"/>
        <v>#NUM!</v>
      </c>
      <c r="BE118" s="888" t="str">
        <f t="shared" si="14"/>
        <v>PP</v>
      </c>
      <c r="BF118" s="229" t="e">
        <f t="shared" si="15"/>
        <v>#NUM!</v>
      </c>
      <c r="BG118" s="229" t="e">
        <f t="shared" si="16"/>
        <v>#NUM!</v>
      </c>
      <c r="BH118" s="229" t="e">
        <f t="shared" si="17"/>
        <v>#NUM!</v>
      </c>
      <c r="BI118" s="229" t="e">
        <f t="shared" si="18"/>
        <v>#NUM!</v>
      </c>
      <c r="BK118" s="427">
        <f t="shared" si="38"/>
        <v>12</v>
      </c>
      <c r="BL118" s="884">
        <f t="shared" si="39"/>
        <v>350</v>
      </c>
      <c r="BM118" s="121" t="b">
        <f>IF($Q$36="Fixed",$Q$42,IF($Q$36="Variable",VLOOKUP(BL118,'Financing Constants'!$A$8:$L$148,$BL$179)+$Q$41/10000))</f>
        <v>0</v>
      </c>
      <c r="BN118" s="229" t="e">
        <f t="shared" si="52"/>
        <v>#NUM!</v>
      </c>
      <c r="BO118" s="888" t="str">
        <f t="shared" si="19"/>
        <v>PP</v>
      </c>
      <c r="BP118" s="229" t="e">
        <f t="shared" si="20"/>
        <v>#NUM!</v>
      </c>
      <c r="BQ118" s="229" t="e">
        <f t="shared" si="21"/>
        <v>#NUM!</v>
      </c>
      <c r="BR118" s="229" t="e">
        <f t="shared" si="22"/>
        <v>#NUM!</v>
      </c>
      <c r="BS118" s="229" t="e">
        <f t="shared" si="23"/>
        <v>#NUM!</v>
      </c>
      <c r="BU118" s="427">
        <f t="shared" si="40"/>
        <v>12</v>
      </c>
      <c r="BV118" s="884">
        <f t="shared" si="41"/>
        <v>350</v>
      </c>
      <c r="BW118" s="121" t="b">
        <f>IF($T$36="Fixed",$T$42,IF($T$36="Variable",VLOOKUP(BV118,'Financing Constants'!$A$8:$L$148,$BV$179)+$T$41/10000))</f>
        <v>0</v>
      </c>
      <c r="BX118" s="229" t="e">
        <f t="shared" si="53"/>
        <v>#NUM!</v>
      </c>
      <c r="BY118" s="888" t="str">
        <f t="shared" si="24"/>
        <v>PP</v>
      </c>
      <c r="BZ118" s="229" t="e">
        <f t="shared" si="25"/>
        <v>#NUM!</v>
      </c>
      <c r="CA118" s="229" t="e">
        <f t="shared" si="26"/>
        <v>#NUM!</v>
      </c>
      <c r="CB118" s="229" t="e">
        <f t="shared" si="27"/>
        <v>#NUM!</v>
      </c>
      <c r="CC118" s="229" t="e">
        <f t="shared" si="28"/>
        <v>#NUM!</v>
      </c>
    </row>
    <row r="119" spans="1:81" ht="13.9" customHeight="1" x14ac:dyDescent="0.25">
      <c r="A119" s="468"/>
      <c r="E119" s="759"/>
      <c r="F119" s="759"/>
      <c r="G119" s="759"/>
      <c r="H119" s="837"/>
      <c r="I119" s="837"/>
      <c r="J119" s="837"/>
      <c r="K119" s="837"/>
      <c r="L119" s="837"/>
      <c r="M119" s="837"/>
      <c r="N119" s="846"/>
      <c r="O119" s="846"/>
      <c r="P119" s="846"/>
      <c r="Q119" s="846"/>
      <c r="R119" s="846"/>
      <c r="S119" s="846"/>
      <c r="T119" s="846"/>
      <c r="U119" s="846"/>
      <c r="W119" s="321">
        <f t="shared" si="29"/>
        <v>13</v>
      </c>
      <c r="X119" s="889">
        <f t="shared" si="30"/>
        <v>380</v>
      </c>
      <c r="Y119" s="890" t="b">
        <f>IF($E$36="Fixed",$E$42,IF($E$36="Variable",VLOOKUP(X119,'Financing Constants'!$A$8:$L$148,$X$179)+$E$41/10000))</f>
        <v>0</v>
      </c>
      <c r="Z119" s="891">
        <f t="shared" si="48"/>
        <v>11873059.166666657</v>
      </c>
      <c r="AA119" s="892" t="str">
        <f t="shared" si="31"/>
        <v>PP</v>
      </c>
      <c r="AB119" s="891">
        <f t="shared" si="0"/>
        <v>34117.986111111109</v>
      </c>
      <c r="AC119" s="891">
        <f t="shared" si="1"/>
        <v>34117.986111111109</v>
      </c>
      <c r="AD119" s="891">
        <f t="shared" si="2"/>
        <v>0</v>
      </c>
      <c r="AE119" s="891">
        <f t="shared" si="3"/>
        <v>11838941.180555545</v>
      </c>
      <c r="AG119" s="321">
        <f t="shared" si="32"/>
        <v>13</v>
      </c>
      <c r="AH119" s="889">
        <f t="shared" si="33"/>
        <v>380</v>
      </c>
      <c r="AI119" s="890" t="b">
        <f>IF($H$36="Fixed",$H$42,IF($H$36="Variable",VLOOKUP(AH119,'Financing Constants'!$A$8:$L$148,$AH$179)+$H$41/10000))</f>
        <v>0</v>
      </c>
      <c r="AJ119" s="891" t="e">
        <f t="shared" si="49"/>
        <v>#NUM!</v>
      </c>
      <c r="AK119" s="892" t="str">
        <f t="shared" si="4"/>
        <v>PP</v>
      </c>
      <c r="AL119" s="891" t="e">
        <f t="shared" si="5"/>
        <v>#NUM!</v>
      </c>
      <c r="AM119" s="891" t="e">
        <f t="shared" si="6"/>
        <v>#NUM!</v>
      </c>
      <c r="AN119" s="891" t="e">
        <f t="shared" si="7"/>
        <v>#NUM!</v>
      </c>
      <c r="AO119" s="891" t="e">
        <f t="shared" si="8"/>
        <v>#NUM!</v>
      </c>
      <c r="AQ119" s="321">
        <f t="shared" si="34"/>
        <v>13</v>
      </c>
      <c r="AR119" s="889">
        <f t="shared" si="35"/>
        <v>380</v>
      </c>
      <c r="AS119" s="890" t="b">
        <f>IF($K$36="Fixed",$K$42,IF($K$36="Variable",VLOOKUP(AR119,'Financing Constants'!$A$8:$L$148,$AR$179)+$K$41/10000))</f>
        <v>0</v>
      </c>
      <c r="AT119" s="891" t="e">
        <f t="shared" si="50"/>
        <v>#NUM!</v>
      </c>
      <c r="AU119" s="892" t="str">
        <f t="shared" si="9"/>
        <v>PP</v>
      </c>
      <c r="AV119" s="891" t="e">
        <f t="shared" si="10"/>
        <v>#NUM!</v>
      </c>
      <c r="AW119" s="891" t="e">
        <f t="shared" si="11"/>
        <v>#NUM!</v>
      </c>
      <c r="AX119" s="891" t="e">
        <f t="shared" si="12"/>
        <v>#NUM!</v>
      </c>
      <c r="AY119" s="891" t="e">
        <f t="shared" si="13"/>
        <v>#NUM!</v>
      </c>
      <c r="BA119" s="321">
        <f t="shared" si="36"/>
        <v>13</v>
      </c>
      <c r="BB119" s="889">
        <f t="shared" si="37"/>
        <v>380</v>
      </c>
      <c r="BC119" s="890" t="b">
        <f>IF($N$36="Fixed",$N$42,IF($N$36="Variable",VLOOKUP(BB119,'Financing Constants'!$A$8:$L$148,$BB$179)+$N$41/10000))</f>
        <v>0</v>
      </c>
      <c r="BD119" s="891" t="e">
        <f t="shared" si="51"/>
        <v>#NUM!</v>
      </c>
      <c r="BE119" s="892" t="str">
        <f t="shared" si="14"/>
        <v>PP</v>
      </c>
      <c r="BF119" s="891" t="e">
        <f t="shared" si="15"/>
        <v>#NUM!</v>
      </c>
      <c r="BG119" s="891" t="e">
        <f t="shared" si="16"/>
        <v>#NUM!</v>
      </c>
      <c r="BH119" s="891" t="e">
        <f t="shared" si="17"/>
        <v>#NUM!</v>
      </c>
      <c r="BI119" s="891" t="e">
        <f t="shared" si="18"/>
        <v>#NUM!</v>
      </c>
      <c r="BK119" s="321">
        <f t="shared" si="38"/>
        <v>13</v>
      </c>
      <c r="BL119" s="889">
        <f t="shared" si="39"/>
        <v>380</v>
      </c>
      <c r="BM119" s="890" t="b">
        <f>IF($Q$36="Fixed",$Q$42,IF($Q$36="Variable",VLOOKUP(BL119,'Financing Constants'!$A$8:$L$148,$BL$179)+$Q$41/10000))</f>
        <v>0</v>
      </c>
      <c r="BN119" s="891" t="e">
        <f t="shared" si="52"/>
        <v>#NUM!</v>
      </c>
      <c r="BO119" s="892" t="str">
        <f t="shared" si="19"/>
        <v>PP</v>
      </c>
      <c r="BP119" s="891" t="e">
        <f t="shared" si="20"/>
        <v>#NUM!</v>
      </c>
      <c r="BQ119" s="891" t="e">
        <f t="shared" si="21"/>
        <v>#NUM!</v>
      </c>
      <c r="BR119" s="891" t="e">
        <f t="shared" si="22"/>
        <v>#NUM!</v>
      </c>
      <c r="BS119" s="891" t="e">
        <f t="shared" si="23"/>
        <v>#NUM!</v>
      </c>
      <c r="BU119" s="321">
        <f t="shared" si="40"/>
        <v>13</v>
      </c>
      <c r="BV119" s="889">
        <f t="shared" si="41"/>
        <v>380</v>
      </c>
      <c r="BW119" s="890" t="b">
        <f>IF($T$36="Fixed",$T$42,IF($T$36="Variable",VLOOKUP(BV119,'Financing Constants'!$A$8:$L$148,$BV$179)+$T$41/10000))</f>
        <v>0</v>
      </c>
      <c r="BX119" s="891" t="e">
        <f t="shared" si="53"/>
        <v>#NUM!</v>
      </c>
      <c r="BY119" s="892" t="str">
        <f t="shared" si="24"/>
        <v>PP</v>
      </c>
      <c r="BZ119" s="891" t="e">
        <f t="shared" si="25"/>
        <v>#NUM!</v>
      </c>
      <c r="CA119" s="891" t="e">
        <f t="shared" si="26"/>
        <v>#NUM!</v>
      </c>
      <c r="CB119" s="891" t="e">
        <f t="shared" si="27"/>
        <v>#NUM!</v>
      </c>
      <c r="CC119" s="891" t="e">
        <f t="shared" si="28"/>
        <v>#NUM!</v>
      </c>
    </row>
    <row r="120" spans="1:81" ht="13.9" customHeight="1" x14ac:dyDescent="0.25">
      <c r="A120" s="468"/>
      <c r="E120" s="757"/>
      <c r="F120" s="757"/>
      <c r="G120" s="757"/>
      <c r="H120" s="835"/>
      <c r="I120" s="835"/>
      <c r="J120" s="835"/>
      <c r="K120" s="835"/>
      <c r="L120" s="835"/>
      <c r="M120" s="835"/>
      <c r="N120" s="846"/>
      <c r="O120" s="846"/>
      <c r="P120" s="846"/>
      <c r="Q120" s="846"/>
      <c r="R120" s="846"/>
      <c r="S120" s="846"/>
      <c r="T120" s="846"/>
      <c r="U120" s="846"/>
      <c r="W120" s="427">
        <f t="shared" si="29"/>
        <v>14</v>
      </c>
      <c r="X120" s="884">
        <f t="shared" si="30"/>
        <v>410</v>
      </c>
      <c r="Y120" s="121" t="b">
        <f>IF($E$36="Fixed",$E$42,IF($E$36="Variable",VLOOKUP(X120,'Financing Constants'!$A$8:$L$148,$X$179)+$E$41/10000))</f>
        <v>0</v>
      </c>
      <c r="Z120" s="229">
        <f t="shared" si="48"/>
        <v>11838941.180555545</v>
      </c>
      <c r="AA120" s="888" t="str">
        <f t="shared" si="31"/>
        <v>PP</v>
      </c>
      <c r="AB120" s="229">
        <f t="shared" si="0"/>
        <v>34117.986111111109</v>
      </c>
      <c r="AC120" s="229">
        <f t="shared" si="1"/>
        <v>34117.986111111109</v>
      </c>
      <c r="AD120" s="229">
        <f t="shared" si="2"/>
        <v>0</v>
      </c>
      <c r="AE120" s="229">
        <f t="shared" si="3"/>
        <v>11804823.194444433</v>
      </c>
      <c r="AG120" s="427">
        <f t="shared" si="32"/>
        <v>14</v>
      </c>
      <c r="AH120" s="884">
        <f t="shared" si="33"/>
        <v>410</v>
      </c>
      <c r="AI120" s="121" t="b">
        <f>IF($H$36="Fixed",$H$42,IF($H$36="Variable",VLOOKUP(AH120,'Financing Constants'!$A$8:$L$148,$AH$179)+$H$41/10000))</f>
        <v>0</v>
      </c>
      <c r="AJ120" s="229" t="e">
        <f t="shared" si="49"/>
        <v>#NUM!</v>
      </c>
      <c r="AK120" s="888" t="str">
        <f t="shared" si="4"/>
        <v>PP</v>
      </c>
      <c r="AL120" s="229" t="e">
        <f t="shared" si="5"/>
        <v>#NUM!</v>
      </c>
      <c r="AM120" s="229" t="e">
        <f t="shared" si="6"/>
        <v>#NUM!</v>
      </c>
      <c r="AN120" s="229" t="e">
        <f t="shared" si="7"/>
        <v>#NUM!</v>
      </c>
      <c r="AO120" s="229" t="e">
        <f t="shared" si="8"/>
        <v>#NUM!</v>
      </c>
      <c r="AQ120" s="427">
        <f t="shared" si="34"/>
        <v>14</v>
      </c>
      <c r="AR120" s="884">
        <f t="shared" si="35"/>
        <v>410</v>
      </c>
      <c r="AS120" s="121" t="b">
        <f>IF($K$36="Fixed",$K$42,IF($K$36="Variable",VLOOKUP(AR120,'Financing Constants'!$A$8:$L$148,$AR$179)+$K$41/10000))</f>
        <v>0</v>
      </c>
      <c r="AT120" s="229" t="e">
        <f t="shared" si="50"/>
        <v>#NUM!</v>
      </c>
      <c r="AU120" s="888" t="str">
        <f t="shared" si="9"/>
        <v>PP</v>
      </c>
      <c r="AV120" s="229" t="e">
        <f t="shared" si="10"/>
        <v>#NUM!</v>
      </c>
      <c r="AW120" s="229" t="e">
        <f t="shared" si="11"/>
        <v>#NUM!</v>
      </c>
      <c r="AX120" s="229" t="e">
        <f t="shared" si="12"/>
        <v>#NUM!</v>
      </c>
      <c r="AY120" s="229" t="e">
        <f t="shared" si="13"/>
        <v>#NUM!</v>
      </c>
      <c r="BA120" s="427">
        <f t="shared" si="36"/>
        <v>14</v>
      </c>
      <c r="BB120" s="884">
        <f t="shared" si="37"/>
        <v>410</v>
      </c>
      <c r="BC120" s="121" t="b">
        <f>IF($N$36="Fixed",$N$42,IF($N$36="Variable",VLOOKUP(BB120,'Financing Constants'!$A$8:$L$148,$BB$179)+$N$41/10000))</f>
        <v>0</v>
      </c>
      <c r="BD120" s="229" t="e">
        <f t="shared" si="51"/>
        <v>#NUM!</v>
      </c>
      <c r="BE120" s="888" t="str">
        <f t="shared" si="14"/>
        <v>PP</v>
      </c>
      <c r="BF120" s="229" t="e">
        <f t="shared" si="15"/>
        <v>#NUM!</v>
      </c>
      <c r="BG120" s="229" t="e">
        <f t="shared" si="16"/>
        <v>#NUM!</v>
      </c>
      <c r="BH120" s="229" t="e">
        <f t="shared" si="17"/>
        <v>#NUM!</v>
      </c>
      <c r="BI120" s="229" t="e">
        <f t="shared" si="18"/>
        <v>#NUM!</v>
      </c>
      <c r="BK120" s="427">
        <f t="shared" si="38"/>
        <v>14</v>
      </c>
      <c r="BL120" s="884">
        <f t="shared" si="39"/>
        <v>410</v>
      </c>
      <c r="BM120" s="121" t="b">
        <f>IF($Q$36="Fixed",$Q$42,IF($Q$36="Variable",VLOOKUP(BL120,'Financing Constants'!$A$8:$L$148,$BL$179)+$Q$41/10000))</f>
        <v>0</v>
      </c>
      <c r="BN120" s="229" t="e">
        <f t="shared" si="52"/>
        <v>#NUM!</v>
      </c>
      <c r="BO120" s="888" t="str">
        <f t="shared" si="19"/>
        <v>PP</v>
      </c>
      <c r="BP120" s="229" t="e">
        <f t="shared" si="20"/>
        <v>#NUM!</v>
      </c>
      <c r="BQ120" s="229" t="e">
        <f t="shared" si="21"/>
        <v>#NUM!</v>
      </c>
      <c r="BR120" s="229" t="e">
        <f t="shared" si="22"/>
        <v>#NUM!</v>
      </c>
      <c r="BS120" s="229" t="e">
        <f t="shared" si="23"/>
        <v>#NUM!</v>
      </c>
      <c r="BU120" s="427">
        <f t="shared" si="40"/>
        <v>14</v>
      </c>
      <c r="BV120" s="884">
        <f t="shared" si="41"/>
        <v>410</v>
      </c>
      <c r="BW120" s="121" t="b">
        <f>IF($T$36="Fixed",$T$42,IF($T$36="Variable",VLOOKUP(BV120,'Financing Constants'!$A$8:$L$148,$BV$179)+$T$41/10000))</f>
        <v>0</v>
      </c>
      <c r="BX120" s="229" t="e">
        <f t="shared" si="53"/>
        <v>#NUM!</v>
      </c>
      <c r="BY120" s="888" t="str">
        <f t="shared" si="24"/>
        <v>PP</v>
      </c>
      <c r="BZ120" s="229" t="e">
        <f t="shared" si="25"/>
        <v>#NUM!</v>
      </c>
      <c r="CA120" s="229" t="e">
        <f t="shared" si="26"/>
        <v>#NUM!</v>
      </c>
      <c r="CB120" s="229" t="e">
        <f t="shared" si="27"/>
        <v>#NUM!</v>
      </c>
      <c r="CC120" s="229" t="e">
        <f t="shared" si="28"/>
        <v>#NUM!</v>
      </c>
    </row>
    <row r="121" spans="1:81" ht="13.9" customHeight="1" x14ac:dyDescent="0.25">
      <c r="A121" s="468"/>
      <c r="E121" s="764"/>
      <c r="F121" s="760"/>
      <c r="G121" s="760"/>
      <c r="H121" s="764"/>
      <c r="I121" s="840"/>
      <c r="J121" s="840"/>
      <c r="K121" s="764"/>
      <c r="L121" s="840"/>
      <c r="M121" s="840"/>
      <c r="N121" s="846"/>
      <c r="O121" s="846"/>
      <c r="P121" s="846"/>
      <c r="Q121" s="846"/>
      <c r="R121" s="846"/>
      <c r="S121" s="846"/>
      <c r="T121" s="846"/>
      <c r="U121" s="846"/>
      <c r="W121" s="427">
        <f t="shared" si="29"/>
        <v>15</v>
      </c>
      <c r="X121" s="884">
        <f t="shared" si="30"/>
        <v>440</v>
      </c>
      <c r="Y121" s="121" t="b">
        <f>IF($E$36="Fixed",$E$42,IF($E$36="Variable",VLOOKUP(X121,'Financing Constants'!$A$8:$L$148,$X$179)+$E$41/10000))</f>
        <v>0</v>
      </c>
      <c r="Z121" s="229">
        <f t="shared" si="48"/>
        <v>11804823.194444433</v>
      </c>
      <c r="AA121" s="888" t="str">
        <f t="shared" si="31"/>
        <v>PP</v>
      </c>
      <c r="AB121" s="229">
        <f t="shared" si="0"/>
        <v>34117.986111111109</v>
      </c>
      <c r="AC121" s="229">
        <f t="shared" si="1"/>
        <v>34117.986111111109</v>
      </c>
      <c r="AD121" s="229">
        <f t="shared" si="2"/>
        <v>0</v>
      </c>
      <c r="AE121" s="229">
        <f t="shared" si="3"/>
        <v>11770705.208333321</v>
      </c>
      <c r="AG121" s="427">
        <f t="shared" si="32"/>
        <v>15</v>
      </c>
      <c r="AH121" s="884">
        <f t="shared" si="33"/>
        <v>440</v>
      </c>
      <c r="AI121" s="121" t="b">
        <f>IF($H$36="Fixed",$H$42,IF($H$36="Variable",VLOOKUP(AH121,'Financing Constants'!$A$8:$L$148,$AH$179)+$H$41/10000))</f>
        <v>0</v>
      </c>
      <c r="AJ121" s="229" t="e">
        <f t="shared" si="49"/>
        <v>#NUM!</v>
      </c>
      <c r="AK121" s="888" t="str">
        <f t="shared" si="4"/>
        <v>PP</v>
      </c>
      <c r="AL121" s="229" t="e">
        <f t="shared" si="5"/>
        <v>#NUM!</v>
      </c>
      <c r="AM121" s="229" t="e">
        <f t="shared" si="6"/>
        <v>#NUM!</v>
      </c>
      <c r="AN121" s="229" t="e">
        <f t="shared" si="7"/>
        <v>#NUM!</v>
      </c>
      <c r="AO121" s="229" t="e">
        <f t="shared" si="8"/>
        <v>#NUM!</v>
      </c>
      <c r="AQ121" s="427">
        <f t="shared" si="34"/>
        <v>15</v>
      </c>
      <c r="AR121" s="884">
        <f t="shared" si="35"/>
        <v>440</v>
      </c>
      <c r="AS121" s="121" t="b">
        <f>IF($K$36="Fixed",$K$42,IF($K$36="Variable",VLOOKUP(AR121,'Financing Constants'!$A$8:$L$148,$AR$179)+$K$41/10000))</f>
        <v>0</v>
      </c>
      <c r="AT121" s="229" t="e">
        <f t="shared" si="50"/>
        <v>#NUM!</v>
      </c>
      <c r="AU121" s="888" t="str">
        <f t="shared" si="9"/>
        <v>PP</v>
      </c>
      <c r="AV121" s="229" t="e">
        <f t="shared" si="10"/>
        <v>#NUM!</v>
      </c>
      <c r="AW121" s="229" t="e">
        <f t="shared" si="11"/>
        <v>#NUM!</v>
      </c>
      <c r="AX121" s="229" t="e">
        <f t="shared" si="12"/>
        <v>#NUM!</v>
      </c>
      <c r="AY121" s="229" t="e">
        <f t="shared" si="13"/>
        <v>#NUM!</v>
      </c>
      <c r="BA121" s="427">
        <f t="shared" si="36"/>
        <v>15</v>
      </c>
      <c r="BB121" s="884">
        <f t="shared" si="37"/>
        <v>440</v>
      </c>
      <c r="BC121" s="121" t="b">
        <f>IF($N$36="Fixed",$N$42,IF($N$36="Variable",VLOOKUP(BB121,'Financing Constants'!$A$8:$L$148,$BB$179)+$N$41/10000))</f>
        <v>0</v>
      </c>
      <c r="BD121" s="229" t="e">
        <f t="shared" si="51"/>
        <v>#NUM!</v>
      </c>
      <c r="BE121" s="888" t="str">
        <f t="shared" si="14"/>
        <v>PP</v>
      </c>
      <c r="BF121" s="229" t="e">
        <f t="shared" si="15"/>
        <v>#NUM!</v>
      </c>
      <c r="BG121" s="229" t="e">
        <f t="shared" si="16"/>
        <v>#NUM!</v>
      </c>
      <c r="BH121" s="229" t="e">
        <f t="shared" si="17"/>
        <v>#NUM!</v>
      </c>
      <c r="BI121" s="229" t="e">
        <f t="shared" si="18"/>
        <v>#NUM!</v>
      </c>
      <c r="BK121" s="427">
        <f t="shared" si="38"/>
        <v>15</v>
      </c>
      <c r="BL121" s="884">
        <f t="shared" si="39"/>
        <v>440</v>
      </c>
      <c r="BM121" s="121" t="b">
        <f>IF($Q$36="Fixed",$Q$42,IF($Q$36="Variable",VLOOKUP(BL121,'Financing Constants'!$A$8:$L$148,$BL$179)+$Q$41/10000))</f>
        <v>0</v>
      </c>
      <c r="BN121" s="229" t="e">
        <f t="shared" si="52"/>
        <v>#NUM!</v>
      </c>
      <c r="BO121" s="888" t="str">
        <f t="shared" si="19"/>
        <v>PP</v>
      </c>
      <c r="BP121" s="229" t="e">
        <f t="shared" si="20"/>
        <v>#NUM!</v>
      </c>
      <c r="BQ121" s="229" t="e">
        <f t="shared" si="21"/>
        <v>#NUM!</v>
      </c>
      <c r="BR121" s="229" t="e">
        <f t="shared" si="22"/>
        <v>#NUM!</v>
      </c>
      <c r="BS121" s="229" t="e">
        <f t="shared" si="23"/>
        <v>#NUM!</v>
      </c>
      <c r="BU121" s="427">
        <f t="shared" si="40"/>
        <v>15</v>
      </c>
      <c r="BV121" s="884">
        <f t="shared" si="41"/>
        <v>440</v>
      </c>
      <c r="BW121" s="121" t="b">
        <f>IF($T$36="Fixed",$T$42,IF($T$36="Variable",VLOOKUP(BV121,'Financing Constants'!$A$8:$L$148,$BV$179)+$T$41/10000))</f>
        <v>0</v>
      </c>
      <c r="BX121" s="229" t="e">
        <f t="shared" si="53"/>
        <v>#NUM!</v>
      </c>
      <c r="BY121" s="888" t="str">
        <f t="shared" si="24"/>
        <v>PP</v>
      </c>
      <c r="BZ121" s="229" t="e">
        <f t="shared" si="25"/>
        <v>#NUM!</v>
      </c>
      <c r="CA121" s="229" t="e">
        <f t="shared" si="26"/>
        <v>#NUM!</v>
      </c>
      <c r="CB121" s="229" t="e">
        <f t="shared" si="27"/>
        <v>#NUM!</v>
      </c>
      <c r="CC121" s="229" t="e">
        <f t="shared" si="28"/>
        <v>#NUM!</v>
      </c>
    </row>
    <row r="122" spans="1:81" ht="13.9" customHeight="1" x14ac:dyDescent="0.25">
      <c r="A122" s="468"/>
      <c r="E122" s="764"/>
      <c r="F122" s="760"/>
      <c r="G122" s="760"/>
      <c r="H122" s="764"/>
      <c r="I122" s="840"/>
      <c r="J122" s="840"/>
      <c r="K122" s="764"/>
      <c r="L122" s="840"/>
      <c r="M122" s="840"/>
      <c r="N122" s="846"/>
      <c r="O122" s="846"/>
      <c r="P122" s="846"/>
      <c r="Q122" s="846"/>
      <c r="R122" s="846"/>
      <c r="S122" s="846"/>
      <c r="T122" s="846"/>
      <c r="U122" s="846"/>
      <c r="W122" s="427">
        <f t="shared" si="29"/>
        <v>16</v>
      </c>
      <c r="X122" s="884">
        <f t="shared" si="30"/>
        <v>470</v>
      </c>
      <c r="Y122" s="121" t="b">
        <f>IF($E$36="Fixed",$E$42,IF($E$36="Variable",VLOOKUP(X122,'Financing Constants'!$A$8:$L$148,$X$179)+$E$41/10000))</f>
        <v>0</v>
      </c>
      <c r="Z122" s="229">
        <f t="shared" si="48"/>
        <v>11770705.208333321</v>
      </c>
      <c r="AA122" s="888" t="str">
        <f t="shared" si="31"/>
        <v>PP</v>
      </c>
      <c r="AB122" s="229">
        <f t="shared" si="0"/>
        <v>34117.986111111109</v>
      </c>
      <c r="AC122" s="229">
        <f t="shared" si="1"/>
        <v>34117.986111111109</v>
      </c>
      <c r="AD122" s="229">
        <f t="shared" si="2"/>
        <v>0</v>
      </c>
      <c r="AE122" s="229">
        <f t="shared" si="3"/>
        <v>11736587.222222209</v>
      </c>
      <c r="AG122" s="427">
        <f t="shared" si="32"/>
        <v>16</v>
      </c>
      <c r="AH122" s="884">
        <f t="shared" si="33"/>
        <v>470</v>
      </c>
      <c r="AI122" s="121" t="b">
        <f>IF($H$36="Fixed",$H$42,IF($H$36="Variable",VLOOKUP(AH122,'Financing Constants'!$A$8:$L$148,$AH$179)+$H$41/10000))</f>
        <v>0</v>
      </c>
      <c r="AJ122" s="229" t="e">
        <f t="shared" si="49"/>
        <v>#NUM!</v>
      </c>
      <c r="AK122" s="888" t="str">
        <f t="shared" si="4"/>
        <v>PP</v>
      </c>
      <c r="AL122" s="229" t="e">
        <f t="shared" si="5"/>
        <v>#NUM!</v>
      </c>
      <c r="AM122" s="229" t="e">
        <f t="shared" si="6"/>
        <v>#NUM!</v>
      </c>
      <c r="AN122" s="229" t="e">
        <f t="shared" si="7"/>
        <v>#NUM!</v>
      </c>
      <c r="AO122" s="229" t="e">
        <f t="shared" si="8"/>
        <v>#NUM!</v>
      </c>
      <c r="AQ122" s="427">
        <f t="shared" si="34"/>
        <v>16</v>
      </c>
      <c r="AR122" s="884">
        <f t="shared" si="35"/>
        <v>470</v>
      </c>
      <c r="AS122" s="121" t="b">
        <f>IF($K$36="Fixed",$K$42,IF($K$36="Variable",VLOOKUP(AR122,'Financing Constants'!$A$8:$L$148,$AR$179)+$K$41/10000))</f>
        <v>0</v>
      </c>
      <c r="AT122" s="229" t="e">
        <f t="shared" si="50"/>
        <v>#NUM!</v>
      </c>
      <c r="AU122" s="888" t="str">
        <f t="shared" si="9"/>
        <v>PP</v>
      </c>
      <c r="AV122" s="229" t="e">
        <f t="shared" si="10"/>
        <v>#NUM!</v>
      </c>
      <c r="AW122" s="229" t="e">
        <f t="shared" si="11"/>
        <v>#NUM!</v>
      </c>
      <c r="AX122" s="229" t="e">
        <f t="shared" si="12"/>
        <v>#NUM!</v>
      </c>
      <c r="AY122" s="229" t="e">
        <f t="shared" si="13"/>
        <v>#NUM!</v>
      </c>
      <c r="BA122" s="427">
        <f t="shared" si="36"/>
        <v>16</v>
      </c>
      <c r="BB122" s="884">
        <f t="shared" si="37"/>
        <v>470</v>
      </c>
      <c r="BC122" s="121" t="b">
        <f>IF($N$36="Fixed",$N$42,IF($N$36="Variable",VLOOKUP(BB122,'Financing Constants'!$A$8:$L$148,$BB$179)+$N$41/10000))</f>
        <v>0</v>
      </c>
      <c r="BD122" s="229" t="e">
        <f t="shared" si="51"/>
        <v>#NUM!</v>
      </c>
      <c r="BE122" s="888" t="str">
        <f t="shared" si="14"/>
        <v>PP</v>
      </c>
      <c r="BF122" s="229" t="e">
        <f t="shared" si="15"/>
        <v>#NUM!</v>
      </c>
      <c r="BG122" s="229" t="e">
        <f t="shared" si="16"/>
        <v>#NUM!</v>
      </c>
      <c r="BH122" s="229" t="e">
        <f t="shared" si="17"/>
        <v>#NUM!</v>
      </c>
      <c r="BI122" s="229" t="e">
        <f t="shared" si="18"/>
        <v>#NUM!</v>
      </c>
      <c r="BK122" s="427">
        <f t="shared" si="38"/>
        <v>16</v>
      </c>
      <c r="BL122" s="884">
        <f t="shared" si="39"/>
        <v>470</v>
      </c>
      <c r="BM122" s="121" t="b">
        <f>IF($Q$36="Fixed",$Q$42,IF($Q$36="Variable",VLOOKUP(BL122,'Financing Constants'!$A$8:$L$148,$BL$179)+$Q$41/10000))</f>
        <v>0</v>
      </c>
      <c r="BN122" s="229" t="e">
        <f t="shared" si="52"/>
        <v>#NUM!</v>
      </c>
      <c r="BO122" s="888" t="str">
        <f t="shared" si="19"/>
        <v>PP</v>
      </c>
      <c r="BP122" s="229" t="e">
        <f t="shared" si="20"/>
        <v>#NUM!</v>
      </c>
      <c r="BQ122" s="229" t="e">
        <f t="shared" si="21"/>
        <v>#NUM!</v>
      </c>
      <c r="BR122" s="229" t="e">
        <f t="shared" si="22"/>
        <v>#NUM!</v>
      </c>
      <c r="BS122" s="229" t="e">
        <f t="shared" si="23"/>
        <v>#NUM!</v>
      </c>
      <c r="BU122" s="427">
        <f t="shared" si="40"/>
        <v>16</v>
      </c>
      <c r="BV122" s="884">
        <f t="shared" si="41"/>
        <v>470</v>
      </c>
      <c r="BW122" s="121" t="b">
        <f>IF($T$36="Fixed",$T$42,IF($T$36="Variable",VLOOKUP(BV122,'Financing Constants'!$A$8:$L$148,$BV$179)+$T$41/10000))</f>
        <v>0</v>
      </c>
      <c r="BX122" s="229" t="e">
        <f t="shared" si="53"/>
        <v>#NUM!</v>
      </c>
      <c r="BY122" s="888" t="str">
        <f t="shared" si="24"/>
        <v>PP</v>
      </c>
      <c r="BZ122" s="229" t="e">
        <f t="shared" si="25"/>
        <v>#NUM!</v>
      </c>
      <c r="CA122" s="229" t="e">
        <f t="shared" si="26"/>
        <v>#NUM!</v>
      </c>
      <c r="CB122" s="229" t="e">
        <f t="shared" si="27"/>
        <v>#NUM!</v>
      </c>
      <c r="CC122" s="229" t="e">
        <f t="shared" si="28"/>
        <v>#NUM!</v>
      </c>
    </row>
    <row r="123" spans="1:81" ht="13.9" customHeight="1" x14ac:dyDescent="0.3">
      <c r="A123" s="215"/>
      <c r="E123" s="756"/>
      <c r="F123" s="756"/>
      <c r="G123" s="756"/>
      <c r="H123" s="832"/>
      <c r="I123" s="832"/>
      <c r="J123" s="832"/>
      <c r="K123" s="832"/>
      <c r="L123" s="832"/>
      <c r="M123" s="832"/>
      <c r="N123" s="846"/>
      <c r="O123" s="846"/>
      <c r="P123" s="846"/>
      <c r="Q123" s="846"/>
      <c r="R123" s="846"/>
      <c r="S123" s="846"/>
      <c r="T123" s="846"/>
      <c r="U123" s="846"/>
      <c r="W123" s="427">
        <f t="shared" si="29"/>
        <v>17</v>
      </c>
      <c r="X123" s="884">
        <f t="shared" si="30"/>
        <v>500</v>
      </c>
      <c r="Y123" s="121" t="b">
        <f>IF($E$36="Fixed",$E$42,IF($E$36="Variable",VLOOKUP(X123,'Financing Constants'!$A$8:$L$148,$X$179)+$E$41/10000))</f>
        <v>0</v>
      </c>
      <c r="Z123" s="229">
        <f t="shared" si="48"/>
        <v>11736587.222222209</v>
      </c>
      <c r="AA123" s="888" t="str">
        <f t="shared" si="31"/>
        <v>PP</v>
      </c>
      <c r="AB123" s="229">
        <f t="shared" si="0"/>
        <v>34117.986111111109</v>
      </c>
      <c r="AC123" s="229">
        <f t="shared" si="1"/>
        <v>34117.986111111109</v>
      </c>
      <c r="AD123" s="229">
        <f t="shared" si="2"/>
        <v>0</v>
      </c>
      <c r="AE123" s="229">
        <f t="shared" si="3"/>
        <v>11702469.236111097</v>
      </c>
      <c r="AG123" s="427">
        <f t="shared" si="32"/>
        <v>17</v>
      </c>
      <c r="AH123" s="884">
        <f t="shared" si="33"/>
        <v>500</v>
      </c>
      <c r="AI123" s="121" t="b">
        <f>IF($H$36="Fixed",$H$42,IF($H$36="Variable",VLOOKUP(AH123,'Financing Constants'!$A$8:$L$148,$AH$179)+$H$41/10000))</f>
        <v>0</v>
      </c>
      <c r="AJ123" s="229" t="e">
        <f t="shared" si="49"/>
        <v>#NUM!</v>
      </c>
      <c r="AK123" s="888" t="str">
        <f t="shared" si="4"/>
        <v>PP</v>
      </c>
      <c r="AL123" s="229" t="e">
        <f t="shared" si="5"/>
        <v>#NUM!</v>
      </c>
      <c r="AM123" s="229" t="e">
        <f t="shared" si="6"/>
        <v>#NUM!</v>
      </c>
      <c r="AN123" s="229" t="e">
        <f t="shared" si="7"/>
        <v>#NUM!</v>
      </c>
      <c r="AO123" s="229" t="e">
        <f t="shared" si="8"/>
        <v>#NUM!</v>
      </c>
      <c r="AQ123" s="427">
        <f t="shared" si="34"/>
        <v>17</v>
      </c>
      <c r="AR123" s="884">
        <f t="shared" si="35"/>
        <v>500</v>
      </c>
      <c r="AS123" s="121" t="b">
        <f>IF($K$36="Fixed",$K$42,IF($K$36="Variable",VLOOKUP(AR123,'Financing Constants'!$A$8:$L$148,$AR$179)+$K$41/10000))</f>
        <v>0</v>
      </c>
      <c r="AT123" s="229" t="e">
        <f t="shared" si="50"/>
        <v>#NUM!</v>
      </c>
      <c r="AU123" s="888" t="str">
        <f t="shared" si="9"/>
        <v>PP</v>
      </c>
      <c r="AV123" s="229" t="e">
        <f t="shared" si="10"/>
        <v>#NUM!</v>
      </c>
      <c r="AW123" s="229" t="e">
        <f t="shared" si="11"/>
        <v>#NUM!</v>
      </c>
      <c r="AX123" s="229" t="e">
        <f t="shared" si="12"/>
        <v>#NUM!</v>
      </c>
      <c r="AY123" s="229" t="e">
        <f t="shared" si="13"/>
        <v>#NUM!</v>
      </c>
      <c r="BA123" s="427">
        <f t="shared" si="36"/>
        <v>17</v>
      </c>
      <c r="BB123" s="884">
        <f t="shared" si="37"/>
        <v>500</v>
      </c>
      <c r="BC123" s="121" t="b">
        <f>IF($N$36="Fixed",$N$42,IF($N$36="Variable",VLOOKUP(BB123,'Financing Constants'!$A$8:$L$148,$BB$179)+$N$41/10000))</f>
        <v>0</v>
      </c>
      <c r="BD123" s="229" t="e">
        <f t="shared" si="51"/>
        <v>#NUM!</v>
      </c>
      <c r="BE123" s="888" t="str">
        <f t="shared" si="14"/>
        <v>PP</v>
      </c>
      <c r="BF123" s="229" t="e">
        <f t="shared" si="15"/>
        <v>#NUM!</v>
      </c>
      <c r="BG123" s="229" t="e">
        <f t="shared" si="16"/>
        <v>#NUM!</v>
      </c>
      <c r="BH123" s="229" t="e">
        <f t="shared" si="17"/>
        <v>#NUM!</v>
      </c>
      <c r="BI123" s="229" t="e">
        <f t="shared" si="18"/>
        <v>#NUM!</v>
      </c>
      <c r="BK123" s="427">
        <f t="shared" si="38"/>
        <v>17</v>
      </c>
      <c r="BL123" s="884">
        <f t="shared" si="39"/>
        <v>500</v>
      </c>
      <c r="BM123" s="121" t="b">
        <f>IF($Q$36="Fixed",$Q$42,IF($Q$36="Variable",VLOOKUP(BL123,'Financing Constants'!$A$8:$L$148,$BL$179)+$Q$41/10000))</f>
        <v>0</v>
      </c>
      <c r="BN123" s="229" t="e">
        <f t="shared" si="52"/>
        <v>#NUM!</v>
      </c>
      <c r="BO123" s="888" t="str">
        <f t="shared" si="19"/>
        <v>PP</v>
      </c>
      <c r="BP123" s="229" t="e">
        <f t="shared" si="20"/>
        <v>#NUM!</v>
      </c>
      <c r="BQ123" s="229" t="e">
        <f t="shared" si="21"/>
        <v>#NUM!</v>
      </c>
      <c r="BR123" s="229" t="e">
        <f t="shared" si="22"/>
        <v>#NUM!</v>
      </c>
      <c r="BS123" s="229" t="e">
        <f t="shared" si="23"/>
        <v>#NUM!</v>
      </c>
      <c r="BU123" s="427">
        <f t="shared" si="40"/>
        <v>17</v>
      </c>
      <c r="BV123" s="884">
        <f t="shared" si="41"/>
        <v>500</v>
      </c>
      <c r="BW123" s="121" t="b">
        <f>IF($T$36="Fixed",$T$42,IF($T$36="Variable",VLOOKUP(BV123,'Financing Constants'!$A$8:$L$148,$BV$179)+$T$41/10000))</f>
        <v>0</v>
      </c>
      <c r="BX123" s="229" t="e">
        <f t="shared" si="53"/>
        <v>#NUM!</v>
      </c>
      <c r="BY123" s="888" t="str">
        <f t="shared" si="24"/>
        <v>PP</v>
      </c>
      <c r="BZ123" s="229" t="e">
        <f t="shared" si="25"/>
        <v>#NUM!</v>
      </c>
      <c r="CA123" s="229" t="e">
        <f t="shared" si="26"/>
        <v>#NUM!</v>
      </c>
      <c r="CB123" s="229" t="e">
        <f t="shared" si="27"/>
        <v>#NUM!</v>
      </c>
      <c r="CC123" s="229" t="e">
        <f t="shared" si="28"/>
        <v>#NUM!</v>
      </c>
    </row>
    <row r="124" spans="1:81" ht="13.9" customHeight="1" x14ac:dyDescent="0.25">
      <c r="E124" s="756"/>
      <c r="F124" s="756"/>
      <c r="G124" s="756"/>
      <c r="H124" s="832"/>
      <c r="I124" s="832"/>
      <c r="J124" s="832"/>
      <c r="K124" s="832"/>
      <c r="L124" s="832"/>
      <c r="M124" s="832"/>
      <c r="N124" s="846"/>
      <c r="O124" s="846"/>
      <c r="P124" s="846"/>
      <c r="Q124" s="846"/>
      <c r="R124" s="846"/>
      <c r="S124" s="846"/>
      <c r="T124" s="846"/>
      <c r="U124" s="846"/>
      <c r="W124" s="427">
        <f t="shared" si="29"/>
        <v>18</v>
      </c>
      <c r="X124" s="884">
        <f t="shared" si="30"/>
        <v>530</v>
      </c>
      <c r="Y124" s="121" t="b">
        <f>IF($E$36="Fixed",$E$42,IF($E$36="Variable",VLOOKUP(X124,'Financing Constants'!$A$8:$L$148,$X$179)+$E$41/10000))</f>
        <v>0</v>
      </c>
      <c r="Z124" s="229">
        <f t="shared" si="48"/>
        <v>11702469.236111097</v>
      </c>
      <c r="AA124" s="888" t="str">
        <f t="shared" si="31"/>
        <v>PP</v>
      </c>
      <c r="AB124" s="229">
        <f t="shared" si="0"/>
        <v>34117.986111111109</v>
      </c>
      <c r="AC124" s="229">
        <f t="shared" si="1"/>
        <v>34117.986111111109</v>
      </c>
      <c r="AD124" s="229">
        <f t="shared" si="2"/>
        <v>0</v>
      </c>
      <c r="AE124" s="229">
        <f t="shared" si="3"/>
        <v>11668351.249999985</v>
      </c>
      <c r="AG124" s="427">
        <f t="shared" si="32"/>
        <v>18</v>
      </c>
      <c r="AH124" s="884">
        <f t="shared" si="33"/>
        <v>530</v>
      </c>
      <c r="AI124" s="121" t="b">
        <f>IF($H$36="Fixed",$H$42,IF($H$36="Variable",VLOOKUP(AH124,'Financing Constants'!$A$8:$L$148,$AH$179)+$H$41/10000))</f>
        <v>0</v>
      </c>
      <c r="AJ124" s="229" t="e">
        <f t="shared" si="49"/>
        <v>#NUM!</v>
      </c>
      <c r="AK124" s="888" t="str">
        <f t="shared" si="4"/>
        <v>PP</v>
      </c>
      <c r="AL124" s="229" t="e">
        <f t="shared" si="5"/>
        <v>#NUM!</v>
      </c>
      <c r="AM124" s="229" t="e">
        <f t="shared" si="6"/>
        <v>#NUM!</v>
      </c>
      <c r="AN124" s="229" t="e">
        <f t="shared" si="7"/>
        <v>#NUM!</v>
      </c>
      <c r="AO124" s="229" t="e">
        <f t="shared" si="8"/>
        <v>#NUM!</v>
      </c>
      <c r="AQ124" s="427">
        <f t="shared" si="34"/>
        <v>18</v>
      </c>
      <c r="AR124" s="884">
        <f t="shared" si="35"/>
        <v>530</v>
      </c>
      <c r="AS124" s="121" t="b">
        <f>IF($K$36="Fixed",$K$42,IF($K$36="Variable",VLOOKUP(AR124,'Financing Constants'!$A$8:$L$148,$AR$179)+$K$41/10000))</f>
        <v>0</v>
      </c>
      <c r="AT124" s="229" t="e">
        <f t="shared" si="50"/>
        <v>#NUM!</v>
      </c>
      <c r="AU124" s="888" t="str">
        <f t="shared" si="9"/>
        <v>PP</v>
      </c>
      <c r="AV124" s="229" t="e">
        <f t="shared" si="10"/>
        <v>#NUM!</v>
      </c>
      <c r="AW124" s="229" t="e">
        <f t="shared" si="11"/>
        <v>#NUM!</v>
      </c>
      <c r="AX124" s="229" t="e">
        <f t="shared" si="12"/>
        <v>#NUM!</v>
      </c>
      <c r="AY124" s="229" t="e">
        <f t="shared" si="13"/>
        <v>#NUM!</v>
      </c>
      <c r="BA124" s="427">
        <f t="shared" si="36"/>
        <v>18</v>
      </c>
      <c r="BB124" s="884">
        <f t="shared" si="37"/>
        <v>530</v>
      </c>
      <c r="BC124" s="121" t="b">
        <f>IF($N$36="Fixed",$N$42,IF($N$36="Variable",VLOOKUP(BB124,'Financing Constants'!$A$8:$L$148,$BB$179)+$N$41/10000))</f>
        <v>0</v>
      </c>
      <c r="BD124" s="229" t="e">
        <f t="shared" si="51"/>
        <v>#NUM!</v>
      </c>
      <c r="BE124" s="888" t="str">
        <f t="shared" si="14"/>
        <v>PP</v>
      </c>
      <c r="BF124" s="229" t="e">
        <f t="shared" si="15"/>
        <v>#NUM!</v>
      </c>
      <c r="BG124" s="229" t="e">
        <f t="shared" si="16"/>
        <v>#NUM!</v>
      </c>
      <c r="BH124" s="229" t="e">
        <f t="shared" si="17"/>
        <v>#NUM!</v>
      </c>
      <c r="BI124" s="229" t="e">
        <f t="shared" si="18"/>
        <v>#NUM!</v>
      </c>
      <c r="BK124" s="427">
        <f t="shared" si="38"/>
        <v>18</v>
      </c>
      <c r="BL124" s="884">
        <f t="shared" si="39"/>
        <v>530</v>
      </c>
      <c r="BM124" s="121" t="b">
        <f>IF($Q$36="Fixed",$Q$42,IF($Q$36="Variable",VLOOKUP(BL124,'Financing Constants'!$A$8:$L$148,$BL$179)+$Q$41/10000))</f>
        <v>0</v>
      </c>
      <c r="BN124" s="229" t="e">
        <f t="shared" si="52"/>
        <v>#NUM!</v>
      </c>
      <c r="BO124" s="888" t="str">
        <f t="shared" si="19"/>
        <v>PP</v>
      </c>
      <c r="BP124" s="229" t="e">
        <f t="shared" si="20"/>
        <v>#NUM!</v>
      </c>
      <c r="BQ124" s="229" t="e">
        <f t="shared" si="21"/>
        <v>#NUM!</v>
      </c>
      <c r="BR124" s="229" t="e">
        <f t="shared" si="22"/>
        <v>#NUM!</v>
      </c>
      <c r="BS124" s="229" t="e">
        <f t="shared" si="23"/>
        <v>#NUM!</v>
      </c>
      <c r="BU124" s="427">
        <f t="shared" si="40"/>
        <v>18</v>
      </c>
      <c r="BV124" s="884">
        <f t="shared" si="41"/>
        <v>530</v>
      </c>
      <c r="BW124" s="121" t="b">
        <f>IF($T$36="Fixed",$T$42,IF($T$36="Variable",VLOOKUP(BV124,'Financing Constants'!$A$8:$L$148,$BV$179)+$T$41/10000))</f>
        <v>0</v>
      </c>
      <c r="BX124" s="229" t="e">
        <f t="shared" si="53"/>
        <v>#NUM!</v>
      </c>
      <c r="BY124" s="888" t="str">
        <f t="shared" si="24"/>
        <v>PP</v>
      </c>
      <c r="BZ124" s="229" t="e">
        <f t="shared" si="25"/>
        <v>#NUM!</v>
      </c>
      <c r="CA124" s="229" t="e">
        <f t="shared" si="26"/>
        <v>#NUM!</v>
      </c>
      <c r="CB124" s="229" t="e">
        <f t="shared" si="27"/>
        <v>#NUM!</v>
      </c>
      <c r="CC124" s="229" t="e">
        <f t="shared" si="28"/>
        <v>#NUM!</v>
      </c>
    </row>
    <row r="125" spans="1:81" ht="13.9" customHeight="1" x14ac:dyDescent="0.25">
      <c r="A125" s="468"/>
      <c r="N125" s="846"/>
      <c r="O125" s="846"/>
      <c r="P125" s="846"/>
      <c r="Q125" s="846"/>
      <c r="R125" s="846"/>
      <c r="S125" s="846"/>
      <c r="T125" s="846"/>
      <c r="U125" s="846"/>
      <c r="W125" s="427">
        <f t="shared" si="29"/>
        <v>19</v>
      </c>
      <c r="X125" s="884">
        <f t="shared" si="30"/>
        <v>560</v>
      </c>
      <c r="Y125" s="121" t="b">
        <f>IF($E$36="Fixed",$E$42,IF($E$36="Variable",VLOOKUP(X125,'Financing Constants'!$A$8:$L$148,$X$179)+$E$41/10000))</f>
        <v>0</v>
      </c>
      <c r="Z125" s="229">
        <f t="shared" si="48"/>
        <v>11668351.249999985</v>
      </c>
      <c r="AA125" s="888" t="str">
        <f t="shared" si="31"/>
        <v>PP</v>
      </c>
      <c r="AB125" s="229">
        <f t="shared" si="0"/>
        <v>34117.986111111109</v>
      </c>
      <c r="AC125" s="229">
        <f t="shared" si="1"/>
        <v>34117.986111111109</v>
      </c>
      <c r="AD125" s="229">
        <f t="shared" si="2"/>
        <v>0</v>
      </c>
      <c r="AE125" s="229">
        <f t="shared" si="3"/>
        <v>11634233.263888873</v>
      </c>
      <c r="AG125" s="427">
        <f t="shared" si="32"/>
        <v>19</v>
      </c>
      <c r="AH125" s="884">
        <f t="shared" si="33"/>
        <v>560</v>
      </c>
      <c r="AI125" s="121" t="b">
        <f>IF($H$36="Fixed",$H$42,IF($H$36="Variable",VLOOKUP(AH125,'Financing Constants'!$A$8:$L$148,$AH$179)+$H$41/10000))</f>
        <v>0</v>
      </c>
      <c r="AJ125" s="229" t="e">
        <f t="shared" si="49"/>
        <v>#NUM!</v>
      </c>
      <c r="AK125" s="888" t="str">
        <f t="shared" si="4"/>
        <v>PP</v>
      </c>
      <c r="AL125" s="229" t="e">
        <f t="shared" si="5"/>
        <v>#NUM!</v>
      </c>
      <c r="AM125" s="229" t="e">
        <f t="shared" si="6"/>
        <v>#NUM!</v>
      </c>
      <c r="AN125" s="229" t="e">
        <f t="shared" si="7"/>
        <v>#NUM!</v>
      </c>
      <c r="AO125" s="229" t="e">
        <f t="shared" si="8"/>
        <v>#NUM!</v>
      </c>
      <c r="AQ125" s="427">
        <f t="shared" si="34"/>
        <v>19</v>
      </c>
      <c r="AR125" s="884">
        <f t="shared" si="35"/>
        <v>560</v>
      </c>
      <c r="AS125" s="121" t="b">
        <f>IF($K$36="Fixed",$K$42,IF($K$36="Variable",VLOOKUP(AR125,'Financing Constants'!$A$8:$L$148,$AR$179)+$K$41/10000))</f>
        <v>0</v>
      </c>
      <c r="AT125" s="229" t="e">
        <f t="shared" si="50"/>
        <v>#NUM!</v>
      </c>
      <c r="AU125" s="888" t="str">
        <f t="shared" si="9"/>
        <v>PP</v>
      </c>
      <c r="AV125" s="229" t="e">
        <f t="shared" si="10"/>
        <v>#NUM!</v>
      </c>
      <c r="AW125" s="229" t="e">
        <f t="shared" si="11"/>
        <v>#NUM!</v>
      </c>
      <c r="AX125" s="229" t="e">
        <f t="shared" si="12"/>
        <v>#NUM!</v>
      </c>
      <c r="AY125" s="229" t="e">
        <f t="shared" si="13"/>
        <v>#NUM!</v>
      </c>
      <c r="BA125" s="427">
        <f t="shared" si="36"/>
        <v>19</v>
      </c>
      <c r="BB125" s="884">
        <f t="shared" si="37"/>
        <v>560</v>
      </c>
      <c r="BC125" s="121" t="b">
        <f>IF($N$36="Fixed",$N$42,IF($N$36="Variable",VLOOKUP(BB125,'Financing Constants'!$A$8:$L$148,$BB$179)+$N$41/10000))</f>
        <v>0</v>
      </c>
      <c r="BD125" s="229" t="e">
        <f t="shared" si="51"/>
        <v>#NUM!</v>
      </c>
      <c r="BE125" s="888" t="str">
        <f t="shared" si="14"/>
        <v>PP</v>
      </c>
      <c r="BF125" s="229" t="e">
        <f t="shared" si="15"/>
        <v>#NUM!</v>
      </c>
      <c r="BG125" s="229" t="e">
        <f t="shared" si="16"/>
        <v>#NUM!</v>
      </c>
      <c r="BH125" s="229" t="e">
        <f t="shared" si="17"/>
        <v>#NUM!</v>
      </c>
      <c r="BI125" s="229" t="e">
        <f t="shared" si="18"/>
        <v>#NUM!</v>
      </c>
      <c r="BK125" s="427">
        <f t="shared" si="38"/>
        <v>19</v>
      </c>
      <c r="BL125" s="884">
        <f t="shared" si="39"/>
        <v>560</v>
      </c>
      <c r="BM125" s="121" t="b">
        <f>IF($Q$36="Fixed",$Q$42,IF($Q$36="Variable",VLOOKUP(BL125,'Financing Constants'!$A$8:$L$148,$BL$179)+$Q$41/10000))</f>
        <v>0</v>
      </c>
      <c r="BN125" s="229" t="e">
        <f t="shared" si="52"/>
        <v>#NUM!</v>
      </c>
      <c r="BO125" s="888" t="str">
        <f t="shared" si="19"/>
        <v>PP</v>
      </c>
      <c r="BP125" s="229" t="e">
        <f t="shared" si="20"/>
        <v>#NUM!</v>
      </c>
      <c r="BQ125" s="229" t="e">
        <f t="shared" si="21"/>
        <v>#NUM!</v>
      </c>
      <c r="BR125" s="229" t="e">
        <f t="shared" si="22"/>
        <v>#NUM!</v>
      </c>
      <c r="BS125" s="229" t="e">
        <f t="shared" si="23"/>
        <v>#NUM!</v>
      </c>
      <c r="BU125" s="427">
        <f t="shared" si="40"/>
        <v>19</v>
      </c>
      <c r="BV125" s="884">
        <f t="shared" si="41"/>
        <v>560</v>
      </c>
      <c r="BW125" s="121" t="b">
        <f>IF($T$36="Fixed",$T$42,IF($T$36="Variable",VLOOKUP(BV125,'Financing Constants'!$A$8:$L$148,$BV$179)+$T$41/10000))</f>
        <v>0</v>
      </c>
      <c r="BX125" s="229" t="e">
        <f t="shared" si="53"/>
        <v>#NUM!</v>
      </c>
      <c r="BY125" s="888" t="str">
        <f t="shared" si="24"/>
        <v>PP</v>
      </c>
      <c r="BZ125" s="229" t="e">
        <f t="shared" si="25"/>
        <v>#NUM!</v>
      </c>
      <c r="CA125" s="229" t="e">
        <f t="shared" si="26"/>
        <v>#NUM!</v>
      </c>
      <c r="CB125" s="229" t="e">
        <f t="shared" si="27"/>
        <v>#NUM!</v>
      </c>
      <c r="CC125" s="229" t="e">
        <f t="shared" si="28"/>
        <v>#NUM!</v>
      </c>
    </row>
    <row r="126" spans="1:81" ht="13.9" customHeight="1" x14ac:dyDescent="0.25">
      <c r="A126" s="468"/>
      <c r="E126" s="409"/>
      <c r="F126" s="409"/>
      <c r="G126" s="409"/>
      <c r="H126" s="409"/>
      <c r="I126" s="409"/>
      <c r="J126" s="409"/>
      <c r="K126" s="409"/>
      <c r="L126" s="409"/>
      <c r="M126" s="409"/>
      <c r="N126" s="846"/>
      <c r="O126" s="846"/>
      <c r="P126" s="846"/>
      <c r="Q126" s="846"/>
      <c r="R126" s="846"/>
      <c r="S126" s="846"/>
      <c r="T126" s="846"/>
      <c r="U126" s="846"/>
      <c r="W126" s="427">
        <f t="shared" si="29"/>
        <v>20</v>
      </c>
      <c r="X126" s="884">
        <f t="shared" si="30"/>
        <v>590</v>
      </c>
      <c r="Y126" s="121" t="b">
        <f>IF($E$36="Fixed",$E$42,IF($E$36="Variable",VLOOKUP(X126,'Financing Constants'!$A$8:$L$148,$X$179)+$E$41/10000))</f>
        <v>0</v>
      </c>
      <c r="Z126" s="229">
        <f t="shared" si="48"/>
        <v>11634233.263888873</v>
      </c>
      <c r="AA126" s="888" t="str">
        <f t="shared" si="31"/>
        <v>PP</v>
      </c>
      <c r="AB126" s="229">
        <f t="shared" si="0"/>
        <v>34117.986111111109</v>
      </c>
      <c r="AC126" s="229">
        <f t="shared" si="1"/>
        <v>34117.986111111109</v>
      </c>
      <c r="AD126" s="229">
        <f t="shared" si="2"/>
        <v>0</v>
      </c>
      <c r="AE126" s="229">
        <f t="shared" si="3"/>
        <v>11600115.277777761</v>
      </c>
      <c r="AG126" s="427">
        <f t="shared" si="32"/>
        <v>20</v>
      </c>
      <c r="AH126" s="884">
        <f t="shared" si="33"/>
        <v>590</v>
      </c>
      <c r="AI126" s="121" t="b">
        <f>IF($H$36="Fixed",$H$42,IF($H$36="Variable",VLOOKUP(AH126,'Financing Constants'!$A$8:$L$148,$AH$179)+$H$41/10000))</f>
        <v>0</v>
      </c>
      <c r="AJ126" s="229" t="e">
        <f t="shared" si="49"/>
        <v>#NUM!</v>
      </c>
      <c r="AK126" s="888" t="str">
        <f t="shared" si="4"/>
        <v>PP</v>
      </c>
      <c r="AL126" s="229" t="e">
        <f t="shared" si="5"/>
        <v>#NUM!</v>
      </c>
      <c r="AM126" s="229" t="e">
        <f t="shared" si="6"/>
        <v>#NUM!</v>
      </c>
      <c r="AN126" s="229" t="e">
        <f t="shared" si="7"/>
        <v>#NUM!</v>
      </c>
      <c r="AO126" s="229" t="e">
        <f t="shared" si="8"/>
        <v>#NUM!</v>
      </c>
      <c r="AQ126" s="427">
        <f t="shared" si="34"/>
        <v>20</v>
      </c>
      <c r="AR126" s="884">
        <f t="shared" si="35"/>
        <v>590</v>
      </c>
      <c r="AS126" s="121" t="b">
        <f>IF($K$36="Fixed",$K$42,IF($K$36="Variable",VLOOKUP(AR126,'Financing Constants'!$A$8:$L$148,$AR$179)+$K$41/10000))</f>
        <v>0</v>
      </c>
      <c r="AT126" s="229" t="e">
        <f t="shared" si="50"/>
        <v>#NUM!</v>
      </c>
      <c r="AU126" s="888" t="str">
        <f t="shared" si="9"/>
        <v>PP</v>
      </c>
      <c r="AV126" s="229" t="e">
        <f t="shared" si="10"/>
        <v>#NUM!</v>
      </c>
      <c r="AW126" s="229" t="e">
        <f t="shared" si="11"/>
        <v>#NUM!</v>
      </c>
      <c r="AX126" s="229" t="e">
        <f t="shared" si="12"/>
        <v>#NUM!</v>
      </c>
      <c r="AY126" s="229" t="e">
        <f t="shared" si="13"/>
        <v>#NUM!</v>
      </c>
      <c r="BA126" s="427">
        <f t="shared" si="36"/>
        <v>20</v>
      </c>
      <c r="BB126" s="884">
        <f t="shared" si="37"/>
        <v>590</v>
      </c>
      <c r="BC126" s="121" t="b">
        <f>IF($N$36="Fixed",$N$42,IF($N$36="Variable",VLOOKUP(BB126,'Financing Constants'!$A$8:$L$148,$BB$179)+$N$41/10000))</f>
        <v>0</v>
      </c>
      <c r="BD126" s="229" t="e">
        <f t="shared" si="51"/>
        <v>#NUM!</v>
      </c>
      <c r="BE126" s="888" t="str">
        <f t="shared" si="14"/>
        <v>PP</v>
      </c>
      <c r="BF126" s="229" t="e">
        <f t="shared" si="15"/>
        <v>#NUM!</v>
      </c>
      <c r="BG126" s="229" t="e">
        <f t="shared" si="16"/>
        <v>#NUM!</v>
      </c>
      <c r="BH126" s="229" t="e">
        <f t="shared" si="17"/>
        <v>#NUM!</v>
      </c>
      <c r="BI126" s="229" t="e">
        <f t="shared" si="18"/>
        <v>#NUM!</v>
      </c>
      <c r="BK126" s="427">
        <f t="shared" si="38"/>
        <v>20</v>
      </c>
      <c r="BL126" s="884">
        <f t="shared" si="39"/>
        <v>590</v>
      </c>
      <c r="BM126" s="121" t="b">
        <f>IF($Q$36="Fixed",$Q$42,IF($Q$36="Variable",VLOOKUP(BL126,'Financing Constants'!$A$8:$L$148,$BL$179)+$Q$41/10000))</f>
        <v>0</v>
      </c>
      <c r="BN126" s="229" t="e">
        <f t="shared" si="52"/>
        <v>#NUM!</v>
      </c>
      <c r="BO126" s="888" t="str">
        <f t="shared" si="19"/>
        <v>PP</v>
      </c>
      <c r="BP126" s="229" t="e">
        <f t="shared" si="20"/>
        <v>#NUM!</v>
      </c>
      <c r="BQ126" s="229" t="e">
        <f t="shared" si="21"/>
        <v>#NUM!</v>
      </c>
      <c r="BR126" s="229" t="e">
        <f t="shared" si="22"/>
        <v>#NUM!</v>
      </c>
      <c r="BS126" s="229" t="e">
        <f t="shared" si="23"/>
        <v>#NUM!</v>
      </c>
      <c r="BU126" s="427">
        <f t="shared" si="40"/>
        <v>20</v>
      </c>
      <c r="BV126" s="884">
        <f t="shared" si="41"/>
        <v>590</v>
      </c>
      <c r="BW126" s="121" t="b">
        <f>IF($T$36="Fixed",$T$42,IF($T$36="Variable",VLOOKUP(BV126,'Financing Constants'!$A$8:$L$148,$BV$179)+$T$41/10000))</f>
        <v>0</v>
      </c>
      <c r="BX126" s="229" t="e">
        <f t="shared" si="53"/>
        <v>#NUM!</v>
      </c>
      <c r="BY126" s="888" t="str">
        <f t="shared" si="24"/>
        <v>PP</v>
      </c>
      <c r="BZ126" s="229" t="e">
        <f t="shared" si="25"/>
        <v>#NUM!</v>
      </c>
      <c r="CA126" s="229" t="e">
        <f t="shared" si="26"/>
        <v>#NUM!</v>
      </c>
      <c r="CB126" s="229" t="e">
        <f t="shared" si="27"/>
        <v>#NUM!</v>
      </c>
      <c r="CC126" s="229" t="e">
        <f t="shared" si="28"/>
        <v>#NUM!</v>
      </c>
    </row>
    <row r="127" spans="1:81" ht="13.9" customHeight="1" x14ac:dyDescent="0.25">
      <c r="A127" s="468"/>
      <c r="E127" s="757"/>
      <c r="F127" s="757"/>
      <c r="G127" s="757"/>
      <c r="H127" s="835"/>
      <c r="I127" s="835"/>
      <c r="J127" s="835"/>
      <c r="K127" s="835"/>
      <c r="L127" s="835"/>
      <c r="M127" s="835"/>
      <c r="N127" s="835"/>
      <c r="O127" s="835"/>
      <c r="P127" s="835"/>
      <c r="Q127" s="847"/>
      <c r="R127" s="847"/>
      <c r="S127" s="847"/>
      <c r="T127" s="847"/>
      <c r="U127" s="847"/>
      <c r="W127" s="427">
        <f t="shared" si="29"/>
        <v>21</v>
      </c>
      <c r="X127" s="884">
        <f t="shared" si="30"/>
        <v>620</v>
      </c>
      <c r="Y127" s="121" t="b">
        <f>IF($E$36="Fixed",$E$42,IF($E$36="Variable",VLOOKUP(X127,'Financing Constants'!$A$8:$L$148,$X$179)+$E$41/10000))</f>
        <v>0</v>
      </c>
      <c r="Z127" s="229">
        <f t="shared" si="48"/>
        <v>11600115.277777761</v>
      </c>
      <c r="AA127" s="888" t="str">
        <f t="shared" si="31"/>
        <v>PP</v>
      </c>
      <c r="AB127" s="229">
        <f t="shared" si="0"/>
        <v>34117.986111111109</v>
      </c>
      <c r="AC127" s="229">
        <f t="shared" si="1"/>
        <v>34117.986111111109</v>
      </c>
      <c r="AD127" s="229">
        <f t="shared" si="2"/>
        <v>0</v>
      </c>
      <c r="AE127" s="229">
        <f t="shared" si="3"/>
        <v>11565997.291666649</v>
      </c>
      <c r="AG127" s="427">
        <f t="shared" si="32"/>
        <v>21</v>
      </c>
      <c r="AH127" s="884">
        <f t="shared" si="33"/>
        <v>620</v>
      </c>
      <c r="AI127" s="121" t="b">
        <f>IF($H$36="Fixed",$H$42,IF($H$36="Variable",VLOOKUP(AH127,'Financing Constants'!$A$8:$L$148,$AH$179)+$H$41/10000))</f>
        <v>0</v>
      </c>
      <c r="AJ127" s="229" t="e">
        <f t="shared" si="49"/>
        <v>#NUM!</v>
      </c>
      <c r="AK127" s="888" t="str">
        <f t="shared" si="4"/>
        <v>PP</v>
      </c>
      <c r="AL127" s="229" t="e">
        <f t="shared" si="5"/>
        <v>#NUM!</v>
      </c>
      <c r="AM127" s="229" t="e">
        <f t="shared" si="6"/>
        <v>#NUM!</v>
      </c>
      <c r="AN127" s="229" t="e">
        <f t="shared" si="7"/>
        <v>#NUM!</v>
      </c>
      <c r="AO127" s="229" t="e">
        <f t="shared" si="8"/>
        <v>#NUM!</v>
      </c>
      <c r="AQ127" s="427">
        <f t="shared" si="34"/>
        <v>21</v>
      </c>
      <c r="AR127" s="884">
        <f t="shared" si="35"/>
        <v>620</v>
      </c>
      <c r="AS127" s="121" t="b">
        <f>IF($K$36="Fixed",$K$42,IF($K$36="Variable",VLOOKUP(AR127,'Financing Constants'!$A$8:$L$148,$AR$179)+$K$41/10000))</f>
        <v>0</v>
      </c>
      <c r="AT127" s="229" t="e">
        <f t="shared" si="50"/>
        <v>#NUM!</v>
      </c>
      <c r="AU127" s="888" t="str">
        <f t="shared" si="9"/>
        <v>PP</v>
      </c>
      <c r="AV127" s="229" t="e">
        <f t="shared" si="10"/>
        <v>#NUM!</v>
      </c>
      <c r="AW127" s="229" t="e">
        <f t="shared" si="11"/>
        <v>#NUM!</v>
      </c>
      <c r="AX127" s="229" t="e">
        <f t="shared" si="12"/>
        <v>#NUM!</v>
      </c>
      <c r="AY127" s="229" t="e">
        <f t="shared" si="13"/>
        <v>#NUM!</v>
      </c>
      <c r="BA127" s="427">
        <f t="shared" si="36"/>
        <v>21</v>
      </c>
      <c r="BB127" s="884">
        <f t="shared" si="37"/>
        <v>620</v>
      </c>
      <c r="BC127" s="121" t="b">
        <f>IF($N$36="Fixed",$N$42,IF($N$36="Variable",VLOOKUP(BB127,'Financing Constants'!$A$8:$L$148,$BB$179)+$N$41/10000))</f>
        <v>0</v>
      </c>
      <c r="BD127" s="229" t="e">
        <f t="shared" si="51"/>
        <v>#NUM!</v>
      </c>
      <c r="BE127" s="888" t="str">
        <f t="shared" si="14"/>
        <v>PP</v>
      </c>
      <c r="BF127" s="229" t="e">
        <f t="shared" si="15"/>
        <v>#NUM!</v>
      </c>
      <c r="BG127" s="229" t="e">
        <f t="shared" si="16"/>
        <v>#NUM!</v>
      </c>
      <c r="BH127" s="229" t="e">
        <f t="shared" si="17"/>
        <v>#NUM!</v>
      </c>
      <c r="BI127" s="229" t="e">
        <f t="shared" si="18"/>
        <v>#NUM!</v>
      </c>
      <c r="BK127" s="427">
        <f t="shared" si="38"/>
        <v>21</v>
      </c>
      <c r="BL127" s="884">
        <f t="shared" si="39"/>
        <v>620</v>
      </c>
      <c r="BM127" s="121" t="b">
        <f>IF($Q$36="Fixed",$Q$42,IF($Q$36="Variable",VLOOKUP(BL127,'Financing Constants'!$A$8:$L$148,$BL$179)+$Q$41/10000))</f>
        <v>0</v>
      </c>
      <c r="BN127" s="229" t="e">
        <f t="shared" si="52"/>
        <v>#NUM!</v>
      </c>
      <c r="BO127" s="888" t="str">
        <f t="shared" si="19"/>
        <v>PP</v>
      </c>
      <c r="BP127" s="229" t="e">
        <f t="shared" si="20"/>
        <v>#NUM!</v>
      </c>
      <c r="BQ127" s="229" t="e">
        <f t="shared" si="21"/>
        <v>#NUM!</v>
      </c>
      <c r="BR127" s="229" t="e">
        <f t="shared" si="22"/>
        <v>#NUM!</v>
      </c>
      <c r="BS127" s="229" t="e">
        <f t="shared" si="23"/>
        <v>#NUM!</v>
      </c>
      <c r="BU127" s="427">
        <f t="shared" si="40"/>
        <v>21</v>
      </c>
      <c r="BV127" s="884">
        <f t="shared" si="41"/>
        <v>620</v>
      </c>
      <c r="BW127" s="121" t="b">
        <f>IF($T$36="Fixed",$T$42,IF($T$36="Variable",VLOOKUP(BV127,'Financing Constants'!$A$8:$L$148,$BV$179)+$T$41/10000))</f>
        <v>0</v>
      </c>
      <c r="BX127" s="229" t="e">
        <f t="shared" si="53"/>
        <v>#NUM!</v>
      </c>
      <c r="BY127" s="888" t="str">
        <f t="shared" si="24"/>
        <v>PP</v>
      </c>
      <c r="BZ127" s="229" t="e">
        <f t="shared" si="25"/>
        <v>#NUM!</v>
      </c>
      <c r="CA127" s="229" t="e">
        <f t="shared" si="26"/>
        <v>#NUM!</v>
      </c>
      <c r="CB127" s="229" t="e">
        <f t="shared" si="27"/>
        <v>#NUM!</v>
      </c>
      <c r="CC127" s="229" t="e">
        <f t="shared" si="28"/>
        <v>#NUM!</v>
      </c>
    </row>
    <row r="128" spans="1:81" ht="13.9" customHeight="1" x14ac:dyDescent="0.25">
      <c r="A128" s="468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09"/>
      <c r="P128" s="409"/>
      <c r="Q128" s="847"/>
      <c r="R128" s="847"/>
      <c r="S128" s="847"/>
      <c r="T128" s="847"/>
      <c r="U128" s="847"/>
      <c r="W128" s="427">
        <f t="shared" si="29"/>
        <v>22</v>
      </c>
      <c r="X128" s="884">
        <f t="shared" si="30"/>
        <v>650</v>
      </c>
      <c r="Y128" s="121" t="b">
        <f>IF($E$36="Fixed",$E$42,IF($E$36="Variable",VLOOKUP(X128,'Financing Constants'!$A$8:$L$148,$X$179)+$E$41/10000))</f>
        <v>0</v>
      </c>
      <c r="Z128" s="229">
        <f t="shared" si="48"/>
        <v>11565997.291666649</v>
      </c>
      <c r="AA128" s="888" t="str">
        <f t="shared" si="31"/>
        <v>PP</v>
      </c>
      <c r="AB128" s="229">
        <f t="shared" si="0"/>
        <v>34117.986111111109</v>
      </c>
      <c r="AC128" s="229">
        <f t="shared" si="1"/>
        <v>34117.986111111109</v>
      </c>
      <c r="AD128" s="229">
        <f t="shared" si="2"/>
        <v>0</v>
      </c>
      <c r="AE128" s="229">
        <f t="shared" si="3"/>
        <v>11531879.305555537</v>
      </c>
      <c r="AG128" s="427">
        <f t="shared" si="32"/>
        <v>22</v>
      </c>
      <c r="AH128" s="884">
        <f t="shared" si="33"/>
        <v>650</v>
      </c>
      <c r="AI128" s="121" t="b">
        <f>IF($H$36="Fixed",$H$42,IF($H$36="Variable",VLOOKUP(AH128,'Financing Constants'!$A$8:$L$148,$AH$179)+$H$41/10000))</f>
        <v>0</v>
      </c>
      <c r="AJ128" s="229" t="e">
        <f t="shared" si="49"/>
        <v>#NUM!</v>
      </c>
      <c r="AK128" s="888" t="str">
        <f t="shared" si="4"/>
        <v>PP</v>
      </c>
      <c r="AL128" s="229" t="e">
        <f t="shared" si="5"/>
        <v>#NUM!</v>
      </c>
      <c r="AM128" s="229" t="e">
        <f t="shared" si="6"/>
        <v>#NUM!</v>
      </c>
      <c r="AN128" s="229" t="e">
        <f t="shared" si="7"/>
        <v>#NUM!</v>
      </c>
      <c r="AO128" s="229" t="e">
        <f t="shared" si="8"/>
        <v>#NUM!</v>
      </c>
      <c r="AQ128" s="427">
        <f t="shared" si="34"/>
        <v>22</v>
      </c>
      <c r="AR128" s="884">
        <f t="shared" si="35"/>
        <v>650</v>
      </c>
      <c r="AS128" s="121" t="b">
        <f>IF($K$36="Fixed",$K$42,IF($K$36="Variable",VLOOKUP(AR128,'Financing Constants'!$A$8:$L$148,$AR$179)+$K$41/10000))</f>
        <v>0</v>
      </c>
      <c r="AT128" s="229" t="e">
        <f t="shared" si="50"/>
        <v>#NUM!</v>
      </c>
      <c r="AU128" s="888" t="str">
        <f t="shared" si="9"/>
        <v>PP</v>
      </c>
      <c r="AV128" s="229" t="e">
        <f t="shared" si="10"/>
        <v>#NUM!</v>
      </c>
      <c r="AW128" s="229" t="e">
        <f t="shared" si="11"/>
        <v>#NUM!</v>
      </c>
      <c r="AX128" s="229" t="e">
        <f t="shared" si="12"/>
        <v>#NUM!</v>
      </c>
      <c r="AY128" s="229" t="e">
        <f t="shared" si="13"/>
        <v>#NUM!</v>
      </c>
      <c r="BA128" s="427">
        <f t="shared" si="36"/>
        <v>22</v>
      </c>
      <c r="BB128" s="884">
        <f t="shared" si="37"/>
        <v>650</v>
      </c>
      <c r="BC128" s="121" t="b">
        <f>IF($N$36="Fixed",$N$42,IF($N$36="Variable",VLOOKUP(BB128,'Financing Constants'!$A$8:$L$148,$BB$179)+$N$41/10000))</f>
        <v>0</v>
      </c>
      <c r="BD128" s="229" t="e">
        <f t="shared" si="51"/>
        <v>#NUM!</v>
      </c>
      <c r="BE128" s="888" t="str">
        <f t="shared" si="14"/>
        <v>PP</v>
      </c>
      <c r="BF128" s="229" t="e">
        <f t="shared" si="15"/>
        <v>#NUM!</v>
      </c>
      <c r="BG128" s="229" t="e">
        <f t="shared" si="16"/>
        <v>#NUM!</v>
      </c>
      <c r="BH128" s="229" t="e">
        <f t="shared" si="17"/>
        <v>#NUM!</v>
      </c>
      <c r="BI128" s="229" t="e">
        <f t="shared" si="18"/>
        <v>#NUM!</v>
      </c>
      <c r="BK128" s="427">
        <f t="shared" si="38"/>
        <v>22</v>
      </c>
      <c r="BL128" s="884">
        <f t="shared" si="39"/>
        <v>650</v>
      </c>
      <c r="BM128" s="121" t="b">
        <f>IF($Q$36="Fixed",$Q$42,IF($Q$36="Variable",VLOOKUP(BL128,'Financing Constants'!$A$8:$L$148,$BL$179)+$Q$41/10000))</f>
        <v>0</v>
      </c>
      <c r="BN128" s="229" t="e">
        <f t="shared" si="52"/>
        <v>#NUM!</v>
      </c>
      <c r="BO128" s="888" t="str">
        <f t="shared" si="19"/>
        <v>PP</v>
      </c>
      <c r="BP128" s="229" t="e">
        <f t="shared" si="20"/>
        <v>#NUM!</v>
      </c>
      <c r="BQ128" s="229" t="e">
        <f t="shared" si="21"/>
        <v>#NUM!</v>
      </c>
      <c r="BR128" s="229" t="e">
        <f t="shared" si="22"/>
        <v>#NUM!</v>
      </c>
      <c r="BS128" s="229" t="e">
        <f t="shared" si="23"/>
        <v>#NUM!</v>
      </c>
      <c r="BU128" s="427">
        <f t="shared" si="40"/>
        <v>22</v>
      </c>
      <c r="BV128" s="884">
        <f t="shared" si="41"/>
        <v>650</v>
      </c>
      <c r="BW128" s="121" t="b">
        <f>IF($T$36="Fixed",$T$42,IF($T$36="Variable",VLOOKUP(BV128,'Financing Constants'!$A$8:$L$148,$BV$179)+$T$41/10000))</f>
        <v>0</v>
      </c>
      <c r="BX128" s="229" t="e">
        <f t="shared" si="53"/>
        <v>#NUM!</v>
      </c>
      <c r="BY128" s="888" t="str">
        <f t="shared" si="24"/>
        <v>PP</v>
      </c>
      <c r="BZ128" s="229" t="e">
        <f t="shared" si="25"/>
        <v>#NUM!</v>
      </c>
      <c r="CA128" s="229" t="e">
        <f t="shared" si="26"/>
        <v>#NUM!</v>
      </c>
      <c r="CB128" s="229" t="e">
        <f t="shared" si="27"/>
        <v>#NUM!</v>
      </c>
      <c r="CC128" s="229" t="e">
        <f t="shared" si="28"/>
        <v>#NUM!</v>
      </c>
    </row>
    <row r="129" spans="1:81" ht="13.9" customHeight="1" x14ac:dyDescent="0.25">
      <c r="A129" s="468"/>
      <c r="E129" s="757"/>
      <c r="F129" s="757"/>
      <c r="G129" s="757"/>
      <c r="H129" s="835"/>
      <c r="I129" s="835"/>
      <c r="J129" s="835"/>
      <c r="K129" s="835"/>
      <c r="L129" s="835"/>
      <c r="M129" s="835"/>
      <c r="N129" s="835"/>
      <c r="O129" s="835"/>
      <c r="P129" s="835"/>
      <c r="Q129" s="847"/>
      <c r="R129" s="847"/>
      <c r="S129" s="847"/>
      <c r="T129" s="847"/>
      <c r="U129" s="847"/>
      <c r="W129" s="427">
        <f t="shared" si="29"/>
        <v>23</v>
      </c>
      <c r="X129" s="884">
        <f t="shared" si="30"/>
        <v>680</v>
      </c>
      <c r="Y129" s="121" t="b">
        <f>IF($E$36="Fixed",$E$42,IF($E$36="Variable",VLOOKUP(X129,'Financing Constants'!$A$8:$L$148,$X$179)+$E$41/10000))</f>
        <v>0</v>
      </c>
      <c r="Z129" s="229">
        <f t="shared" si="48"/>
        <v>11531879.305555537</v>
      </c>
      <c r="AA129" s="888" t="str">
        <f t="shared" si="31"/>
        <v>PP</v>
      </c>
      <c r="AB129" s="229">
        <f t="shared" si="0"/>
        <v>34117.986111111109</v>
      </c>
      <c r="AC129" s="229">
        <f t="shared" si="1"/>
        <v>34117.986111111109</v>
      </c>
      <c r="AD129" s="229">
        <f t="shared" si="2"/>
        <v>0</v>
      </c>
      <c r="AE129" s="229">
        <f t="shared" si="3"/>
        <v>11497761.319444425</v>
      </c>
      <c r="AG129" s="427">
        <f t="shared" si="32"/>
        <v>23</v>
      </c>
      <c r="AH129" s="884">
        <f t="shared" si="33"/>
        <v>680</v>
      </c>
      <c r="AI129" s="121" t="b">
        <f>IF($H$36="Fixed",$H$42,IF($H$36="Variable",VLOOKUP(AH129,'Financing Constants'!$A$8:$L$148,$AH$179)+$H$41/10000))</f>
        <v>0</v>
      </c>
      <c r="AJ129" s="229" t="e">
        <f t="shared" si="49"/>
        <v>#NUM!</v>
      </c>
      <c r="AK129" s="888" t="str">
        <f t="shared" si="4"/>
        <v>PP</v>
      </c>
      <c r="AL129" s="229" t="e">
        <f t="shared" si="5"/>
        <v>#NUM!</v>
      </c>
      <c r="AM129" s="229" t="e">
        <f t="shared" si="6"/>
        <v>#NUM!</v>
      </c>
      <c r="AN129" s="229" t="e">
        <f t="shared" si="7"/>
        <v>#NUM!</v>
      </c>
      <c r="AO129" s="229" t="e">
        <f t="shared" si="8"/>
        <v>#NUM!</v>
      </c>
      <c r="AQ129" s="427">
        <f t="shared" si="34"/>
        <v>23</v>
      </c>
      <c r="AR129" s="884">
        <f t="shared" si="35"/>
        <v>680</v>
      </c>
      <c r="AS129" s="121" t="b">
        <f>IF($K$36="Fixed",$K$42,IF($K$36="Variable",VLOOKUP(AR129,'Financing Constants'!$A$8:$L$148,$AR$179)+$K$41/10000))</f>
        <v>0</v>
      </c>
      <c r="AT129" s="229" t="e">
        <f t="shared" si="50"/>
        <v>#NUM!</v>
      </c>
      <c r="AU129" s="888" t="str">
        <f t="shared" si="9"/>
        <v>PP</v>
      </c>
      <c r="AV129" s="229" t="e">
        <f t="shared" si="10"/>
        <v>#NUM!</v>
      </c>
      <c r="AW129" s="229" t="e">
        <f t="shared" si="11"/>
        <v>#NUM!</v>
      </c>
      <c r="AX129" s="229" t="e">
        <f t="shared" si="12"/>
        <v>#NUM!</v>
      </c>
      <c r="AY129" s="229" t="e">
        <f t="shared" si="13"/>
        <v>#NUM!</v>
      </c>
      <c r="BA129" s="427">
        <f t="shared" si="36"/>
        <v>23</v>
      </c>
      <c r="BB129" s="884">
        <f t="shared" si="37"/>
        <v>680</v>
      </c>
      <c r="BC129" s="121" t="b">
        <f>IF($N$36="Fixed",$N$42,IF($N$36="Variable",VLOOKUP(BB129,'Financing Constants'!$A$8:$L$148,$BB$179)+$N$41/10000))</f>
        <v>0</v>
      </c>
      <c r="BD129" s="229" t="e">
        <f t="shared" si="51"/>
        <v>#NUM!</v>
      </c>
      <c r="BE129" s="888" t="str">
        <f t="shared" si="14"/>
        <v>PP</v>
      </c>
      <c r="BF129" s="229" t="e">
        <f t="shared" si="15"/>
        <v>#NUM!</v>
      </c>
      <c r="BG129" s="229" t="e">
        <f t="shared" si="16"/>
        <v>#NUM!</v>
      </c>
      <c r="BH129" s="229" t="e">
        <f t="shared" si="17"/>
        <v>#NUM!</v>
      </c>
      <c r="BI129" s="229" t="e">
        <f t="shared" si="18"/>
        <v>#NUM!</v>
      </c>
      <c r="BK129" s="427">
        <f t="shared" si="38"/>
        <v>23</v>
      </c>
      <c r="BL129" s="884">
        <f t="shared" si="39"/>
        <v>680</v>
      </c>
      <c r="BM129" s="121" t="b">
        <f>IF($Q$36="Fixed",$Q$42,IF($Q$36="Variable",VLOOKUP(BL129,'Financing Constants'!$A$8:$L$148,$BL$179)+$Q$41/10000))</f>
        <v>0</v>
      </c>
      <c r="BN129" s="229" t="e">
        <f t="shared" si="52"/>
        <v>#NUM!</v>
      </c>
      <c r="BO129" s="888" t="str">
        <f t="shared" si="19"/>
        <v>PP</v>
      </c>
      <c r="BP129" s="229" t="e">
        <f t="shared" si="20"/>
        <v>#NUM!</v>
      </c>
      <c r="BQ129" s="229" t="e">
        <f t="shared" si="21"/>
        <v>#NUM!</v>
      </c>
      <c r="BR129" s="229" t="e">
        <f t="shared" si="22"/>
        <v>#NUM!</v>
      </c>
      <c r="BS129" s="229" t="e">
        <f t="shared" si="23"/>
        <v>#NUM!</v>
      </c>
      <c r="BU129" s="427">
        <f t="shared" si="40"/>
        <v>23</v>
      </c>
      <c r="BV129" s="884">
        <f t="shared" si="41"/>
        <v>680</v>
      </c>
      <c r="BW129" s="121" t="b">
        <f>IF($T$36="Fixed",$T$42,IF($T$36="Variable",VLOOKUP(BV129,'Financing Constants'!$A$8:$L$148,$BV$179)+$T$41/10000))</f>
        <v>0</v>
      </c>
      <c r="BX129" s="229" t="e">
        <f t="shared" si="53"/>
        <v>#NUM!</v>
      </c>
      <c r="BY129" s="888" t="str">
        <f t="shared" si="24"/>
        <v>PP</v>
      </c>
      <c r="BZ129" s="229" t="e">
        <f t="shared" si="25"/>
        <v>#NUM!</v>
      </c>
      <c r="CA129" s="229" t="e">
        <f t="shared" si="26"/>
        <v>#NUM!</v>
      </c>
      <c r="CB129" s="229" t="e">
        <f t="shared" si="27"/>
        <v>#NUM!</v>
      </c>
      <c r="CC129" s="229" t="e">
        <f t="shared" si="28"/>
        <v>#NUM!</v>
      </c>
    </row>
    <row r="130" spans="1:81" ht="13.9" customHeight="1" x14ac:dyDescent="0.25"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847"/>
      <c r="R130" s="847"/>
      <c r="S130" s="847"/>
      <c r="T130" s="847"/>
      <c r="U130" s="847"/>
      <c r="W130" s="427">
        <f t="shared" si="29"/>
        <v>24</v>
      </c>
      <c r="X130" s="884">
        <f t="shared" si="30"/>
        <v>710</v>
      </c>
      <c r="Y130" s="121" t="b">
        <f>IF($E$36="Fixed",$E$42,IF($E$36="Variable",VLOOKUP(X130,'Financing Constants'!$A$8:$L$148,$X$179)+$E$41/10000))</f>
        <v>0</v>
      </c>
      <c r="Z130" s="229">
        <f t="shared" si="48"/>
        <v>11497761.319444425</v>
      </c>
      <c r="AA130" s="888" t="str">
        <f t="shared" si="31"/>
        <v>PP</v>
      </c>
      <c r="AB130" s="229">
        <f t="shared" si="0"/>
        <v>34117.986111111109</v>
      </c>
      <c r="AC130" s="229">
        <f t="shared" si="1"/>
        <v>34117.986111111109</v>
      </c>
      <c r="AD130" s="229">
        <f t="shared" si="2"/>
        <v>0</v>
      </c>
      <c r="AE130" s="229">
        <f t="shared" si="3"/>
        <v>11463643.333333313</v>
      </c>
      <c r="AG130" s="427">
        <f t="shared" si="32"/>
        <v>24</v>
      </c>
      <c r="AH130" s="884">
        <f t="shared" si="33"/>
        <v>710</v>
      </c>
      <c r="AI130" s="121" t="b">
        <f>IF($H$36="Fixed",$H$42,IF($H$36="Variable",VLOOKUP(AH130,'Financing Constants'!$A$8:$L$148,$AH$179)+$H$41/10000))</f>
        <v>0</v>
      </c>
      <c r="AJ130" s="229" t="e">
        <f t="shared" si="49"/>
        <v>#NUM!</v>
      </c>
      <c r="AK130" s="888" t="str">
        <f t="shared" si="4"/>
        <v>PP</v>
      </c>
      <c r="AL130" s="229" t="e">
        <f t="shared" si="5"/>
        <v>#NUM!</v>
      </c>
      <c r="AM130" s="229" t="e">
        <f t="shared" si="6"/>
        <v>#NUM!</v>
      </c>
      <c r="AN130" s="229" t="e">
        <f t="shared" si="7"/>
        <v>#NUM!</v>
      </c>
      <c r="AO130" s="229" t="e">
        <f t="shared" si="8"/>
        <v>#NUM!</v>
      </c>
      <c r="AQ130" s="427">
        <f t="shared" si="34"/>
        <v>24</v>
      </c>
      <c r="AR130" s="884">
        <f t="shared" si="35"/>
        <v>710</v>
      </c>
      <c r="AS130" s="121" t="b">
        <f>IF($K$36="Fixed",$K$42,IF($K$36="Variable",VLOOKUP(AR130,'Financing Constants'!$A$8:$L$148,$AR$179)+$K$41/10000))</f>
        <v>0</v>
      </c>
      <c r="AT130" s="229" t="e">
        <f t="shared" si="50"/>
        <v>#NUM!</v>
      </c>
      <c r="AU130" s="888" t="str">
        <f t="shared" si="9"/>
        <v>PP</v>
      </c>
      <c r="AV130" s="229" t="e">
        <f t="shared" si="10"/>
        <v>#NUM!</v>
      </c>
      <c r="AW130" s="229" t="e">
        <f t="shared" si="11"/>
        <v>#NUM!</v>
      </c>
      <c r="AX130" s="229" t="e">
        <f t="shared" si="12"/>
        <v>#NUM!</v>
      </c>
      <c r="AY130" s="229" t="e">
        <f t="shared" si="13"/>
        <v>#NUM!</v>
      </c>
      <c r="BA130" s="427">
        <f t="shared" si="36"/>
        <v>24</v>
      </c>
      <c r="BB130" s="884">
        <f t="shared" si="37"/>
        <v>710</v>
      </c>
      <c r="BC130" s="121" t="b">
        <f>IF($N$36="Fixed",$N$42,IF($N$36="Variable",VLOOKUP(BB130,'Financing Constants'!$A$8:$L$148,$BB$179)+$N$41/10000))</f>
        <v>0</v>
      </c>
      <c r="BD130" s="229" t="e">
        <f t="shared" si="51"/>
        <v>#NUM!</v>
      </c>
      <c r="BE130" s="888" t="str">
        <f t="shared" si="14"/>
        <v>PP</v>
      </c>
      <c r="BF130" s="229" t="e">
        <f t="shared" si="15"/>
        <v>#NUM!</v>
      </c>
      <c r="BG130" s="229" t="e">
        <f t="shared" si="16"/>
        <v>#NUM!</v>
      </c>
      <c r="BH130" s="229" t="e">
        <f t="shared" si="17"/>
        <v>#NUM!</v>
      </c>
      <c r="BI130" s="229" t="e">
        <f t="shared" si="18"/>
        <v>#NUM!</v>
      </c>
      <c r="BK130" s="427">
        <f t="shared" si="38"/>
        <v>24</v>
      </c>
      <c r="BL130" s="884">
        <f t="shared" si="39"/>
        <v>710</v>
      </c>
      <c r="BM130" s="121" t="b">
        <f>IF($Q$36="Fixed",$Q$42,IF($Q$36="Variable",VLOOKUP(BL130,'Financing Constants'!$A$8:$L$148,$BL$179)+$Q$41/10000))</f>
        <v>0</v>
      </c>
      <c r="BN130" s="229" t="e">
        <f t="shared" si="52"/>
        <v>#NUM!</v>
      </c>
      <c r="BO130" s="888" t="str">
        <f t="shared" si="19"/>
        <v>PP</v>
      </c>
      <c r="BP130" s="229" t="e">
        <f t="shared" si="20"/>
        <v>#NUM!</v>
      </c>
      <c r="BQ130" s="229" t="e">
        <f t="shared" si="21"/>
        <v>#NUM!</v>
      </c>
      <c r="BR130" s="229" t="e">
        <f t="shared" si="22"/>
        <v>#NUM!</v>
      </c>
      <c r="BS130" s="229" t="e">
        <f t="shared" si="23"/>
        <v>#NUM!</v>
      </c>
      <c r="BU130" s="427">
        <f t="shared" si="40"/>
        <v>24</v>
      </c>
      <c r="BV130" s="884">
        <f t="shared" si="41"/>
        <v>710</v>
      </c>
      <c r="BW130" s="121" t="b">
        <f>IF($T$36="Fixed",$T$42,IF($T$36="Variable",VLOOKUP(BV130,'Financing Constants'!$A$8:$L$148,$BV$179)+$T$41/10000))</f>
        <v>0</v>
      </c>
      <c r="BX130" s="229" t="e">
        <f t="shared" si="53"/>
        <v>#NUM!</v>
      </c>
      <c r="BY130" s="888" t="str">
        <f t="shared" si="24"/>
        <v>PP</v>
      </c>
      <c r="BZ130" s="229" t="e">
        <f t="shared" si="25"/>
        <v>#NUM!</v>
      </c>
      <c r="CA130" s="229" t="e">
        <f t="shared" si="26"/>
        <v>#NUM!</v>
      </c>
      <c r="CB130" s="229" t="e">
        <f t="shared" si="27"/>
        <v>#NUM!</v>
      </c>
      <c r="CC130" s="229" t="e">
        <f t="shared" si="28"/>
        <v>#NUM!</v>
      </c>
    </row>
    <row r="131" spans="1:81" ht="13.9" customHeight="1" x14ac:dyDescent="0.25">
      <c r="A131" s="468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847"/>
      <c r="R131" s="847"/>
      <c r="S131" s="847"/>
      <c r="T131" s="847"/>
      <c r="U131" s="847"/>
      <c r="W131" s="321">
        <f t="shared" si="29"/>
        <v>25</v>
      </c>
      <c r="X131" s="889">
        <f t="shared" si="30"/>
        <v>740</v>
      </c>
      <c r="Y131" s="890" t="b">
        <f>IF($E$36="Fixed",$E$42,IF($E$36="Variable",VLOOKUP(X131,'Financing Constants'!$A$8:$L$148,$X$179)+$E$41/10000))</f>
        <v>0</v>
      </c>
      <c r="Z131" s="891">
        <f t="shared" si="48"/>
        <v>11463643.333333313</v>
      </c>
      <c r="AA131" s="892" t="str">
        <f t="shared" si="31"/>
        <v>PP</v>
      </c>
      <c r="AB131" s="891">
        <f t="shared" si="0"/>
        <v>34117.986111111109</v>
      </c>
      <c r="AC131" s="891">
        <f t="shared" si="1"/>
        <v>34117.986111111109</v>
      </c>
      <c r="AD131" s="891">
        <f t="shared" si="2"/>
        <v>0</v>
      </c>
      <c r="AE131" s="891">
        <f t="shared" si="3"/>
        <v>11429525.347222202</v>
      </c>
      <c r="AG131" s="321">
        <f t="shared" si="32"/>
        <v>25</v>
      </c>
      <c r="AH131" s="889">
        <f t="shared" si="33"/>
        <v>740</v>
      </c>
      <c r="AI131" s="890" t="b">
        <f>IF($H$36="Fixed",$H$42,IF($H$36="Variable",VLOOKUP(AH131,'Financing Constants'!$A$8:$L$148,$AH$179)+$H$41/10000))</f>
        <v>0</v>
      </c>
      <c r="AJ131" s="891" t="e">
        <f t="shared" si="49"/>
        <v>#NUM!</v>
      </c>
      <c r="AK131" s="892" t="str">
        <f t="shared" si="4"/>
        <v>PP</v>
      </c>
      <c r="AL131" s="891" t="e">
        <f t="shared" si="5"/>
        <v>#NUM!</v>
      </c>
      <c r="AM131" s="891" t="e">
        <f t="shared" si="6"/>
        <v>#NUM!</v>
      </c>
      <c r="AN131" s="891" t="e">
        <f t="shared" si="7"/>
        <v>#NUM!</v>
      </c>
      <c r="AO131" s="891" t="e">
        <f t="shared" si="8"/>
        <v>#NUM!</v>
      </c>
      <c r="AQ131" s="321">
        <f t="shared" si="34"/>
        <v>25</v>
      </c>
      <c r="AR131" s="889">
        <f t="shared" si="35"/>
        <v>740</v>
      </c>
      <c r="AS131" s="121" t="b">
        <f>IF($K$36="Fixed",$K$42,IF($K$36="Variable",VLOOKUP(AR131,'Financing Constants'!$A$8:$L$148,$AR$179)+$K$41/10000))</f>
        <v>0</v>
      </c>
      <c r="AT131" s="891" t="e">
        <f t="shared" si="50"/>
        <v>#NUM!</v>
      </c>
      <c r="AU131" s="892" t="str">
        <f t="shared" si="9"/>
        <v>PP</v>
      </c>
      <c r="AV131" s="891" t="e">
        <f t="shared" si="10"/>
        <v>#NUM!</v>
      </c>
      <c r="AW131" s="891" t="e">
        <f t="shared" si="11"/>
        <v>#NUM!</v>
      </c>
      <c r="AX131" s="891" t="e">
        <f t="shared" si="12"/>
        <v>#NUM!</v>
      </c>
      <c r="AY131" s="891" t="e">
        <f t="shared" si="13"/>
        <v>#NUM!</v>
      </c>
      <c r="BA131" s="321">
        <f t="shared" si="36"/>
        <v>25</v>
      </c>
      <c r="BB131" s="889">
        <f t="shared" si="37"/>
        <v>740</v>
      </c>
      <c r="BC131" s="121" t="b">
        <f>IF($N$36="Fixed",$N$42,IF($N$36="Variable",VLOOKUP(BB131,'Financing Constants'!$A$8:$L$148,$BB$179)+$N$41/10000))</f>
        <v>0</v>
      </c>
      <c r="BD131" s="891" t="e">
        <f t="shared" si="51"/>
        <v>#NUM!</v>
      </c>
      <c r="BE131" s="892" t="str">
        <f t="shared" si="14"/>
        <v>PP</v>
      </c>
      <c r="BF131" s="891" t="e">
        <f t="shared" si="15"/>
        <v>#NUM!</v>
      </c>
      <c r="BG131" s="891" t="e">
        <f t="shared" si="16"/>
        <v>#NUM!</v>
      </c>
      <c r="BH131" s="891" t="e">
        <f t="shared" si="17"/>
        <v>#NUM!</v>
      </c>
      <c r="BI131" s="891" t="e">
        <f t="shared" si="18"/>
        <v>#NUM!</v>
      </c>
      <c r="BK131" s="321">
        <f t="shared" si="38"/>
        <v>25</v>
      </c>
      <c r="BL131" s="889">
        <f t="shared" si="39"/>
        <v>740</v>
      </c>
      <c r="BM131" s="121" t="b">
        <f>IF($Q$36="Fixed",$Q$42,IF($Q$36="Variable",VLOOKUP(BL131,'Financing Constants'!$A$8:$L$148,$BL$179)+$Q$41/10000))</f>
        <v>0</v>
      </c>
      <c r="BN131" s="891" t="e">
        <f t="shared" si="52"/>
        <v>#NUM!</v>
      </c>
      <c r="BO131" s="892" t="str">
        <f t="shared" si="19"/>
        <v>PP</v>
      </c>
      <c r="BP131" s="891" t="e">
        <f t="shared" si="20"/>
        <v>#NUM!</v>
      </c>
      <c r="BQ131" s="891" t="e">
        <f t="shared" si="21"/>
        <v>#NUM!</v>
      </c>
      <c r="BR131" s="891" t="e">
        <f t="shared" si="22"/>
        <v>#NUM!</v>
      </c>
      <c r="BS131" s="891" t="e">
        <f t="shared" si="23"/>
        <v>#NUM!</v>
      </c>
      <c r="BU131" s="321">
        <f t="shared" si="40"/>
        <v>25</v>
      </c>
      <c r="BV131" s="889">
        <f t="shared" si="41"/>
        <v>740</v>
      </c>
      <c r="BW131" s="890" t="b">
        <f>IF($T$36="Fixed",$T$42,IF($T$36="Variable",VLOOKUP(BV131,'Financing Constants'!$A$8:$L$148,$BV$179)+$T$41/10000))</f>
        <v>0</v>
      </c>
      <c r="BX131" s="891" t="e">
        <f t="shared" si="53"/>
        <v>#NUM!</v>
      </c>
      <c r="BY131" s="892" t="str">
        <f t="shared" si="24"/>
        <v>PP</v>
      </c>
      <c r="BZ131" s="891" t="e">
        <f t="shared" si="25"/>
        <v>#NUM!</v>
      </c>
      <c r="CA131" s="891" t="e">
        <f t="shared" si="26"/>
        <v>#NUM!</v>
      </c>
      <c r="CB131" s="891" t="e">
        <f t="shared" si="27"/>
        <v>#NUM!</v>
      </c>
      <c r="CC131" s="891" t="e">
        <f t="shared" si="28"/>
        <v>#NUM!</v>
      </c>
    </row>
    <row r="132" spans="1:81" ht="13.9" customHeight="1" x14ac:dyDescent="0.25"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847"/>
      <c r="R132" s="847"/>
      <c r="S132" s="847"/>
      <c r="T132" s="847"/>
      <c r="U132" s="847"/>
      <c r="W132" s="427">
        <f t="shared" si="29"/>
        <v>26</v>
      </c>
      <c r="X132" s="884">
        <f t="shared" si="30"/>
        <v>770</v>
      </c>
      <c r="Y132" s="121" t="b">
        <f>IF($E$36="Fixed",$E$42,IF($E$36="Variable",VLOOKUP(X132,'Financing Constants'!$A$8:$L$148,$X$179)+$E$41/10000))</f>
        <v>0</v>
      </c>
      <c r="Z132" s="229">
        <f t="shared" si="48"/>
        <v>11429525.347222202</v>
      </c>
      <c r="AA132" s="888" t="str">
        <f t="shared" si="31"/>
        <v>PP</v>
      </c>
      <c r="AB132" s="229">
        <f t="shared" si="0"/>
        <v>34117.986111111109</v>
      </c>
      <c r="AC132" s="229">
        <f t="shared" si="1"/>
        <v>34117.986111111109</v>
      </c>
      <c r="AD132" s="229">
        <f t="shared" si="2"/>
        <v>0</v>
      </c>
      <c r="AE132" s="229">
        <f t="shared" si="3"/>
        <v>11395407.36111109</v>
      </c>
      <c r="AG132" s="427">
        <f t="shared" si="32"/>
        <v>26</v>
      </c>
      <c r="AH132" s="884">
        <f t="shared" si="33"/>
        <v>770</v>
      </c>
      <c r="AI132" s="121" t="b">
        <f>IF($H$36="Fixed",$H$42,IF($H$36="Variable",VLOOKUP(AH132,'Financing Constants'!$A$8:$L$148,$AH$179)+$H$41/10000))</f>
        <v>0</v>
      </c>
      <c r="AJ132" s="229" t="e">
        <f t="shared" si="49"/>
        <v>#NUM!</v>
      </c>
      <c r="AK132" s="888" t="str">
        <f t="shared" si="4"/>
        <v>PP</v>
      </c>
      <c r="AL132" s="229" t="e">
        <f t="shared" si="5"/>
        <v>#NUM!</v>
      </c>
      <c r="AM132" s="229" t="e">
        <f t="shared" si="6"/>
        <v>#NUM!</v>
      </c>
      <c r="AN132" s="229" t="e">
        <f t="shared" si="7"/>
        <v>#NUM!</v>
      </c>
      <c r="AO132" s="229" t="e">
        <f t="shared" si="8"/>
        <v>#NUM!</v>
      </c>
      <c r="AQ132" s="427">
        <f t="shared" si="34"/>
        <v>26</v>
      </c>
      <c r="AR132" s="884">
        <f t="shared" si="35"/>
        <v>770</v>
      </c>
      <c r="AS132" s="121" t="b">
        <f>IF($K$36="Fixed",$K$42,IF($K$36="Variable",VLOOKUP(AR132,'Financing Constants'!$A$8:$L$148,$AR$179)+$K$41/10000))</f>
        <v>0</v>
      </c>
      <c r="AT132" s="229" t="e">
        <f t="shared" si="50"/>
        <v>#NUM!</v>
      </c>
      <c r="AU132" s="888" t="str">
        <f t="shared" si="9"/>
        <v>PP</v>
      </c>
      <c r="AV132" s="229" t="e">
        <f t="shared" si="10"/>
        <v>#NUM!</v>
      </c>
      <c r="AW132" s="229" t="e">
        <f t="shared" si="11"/>
        <v>#NUM!</v>
      </c>
      <c r="AX132" s="229" t="e">
        <f t="shared" si="12"/>
        <v>#NUM!</v>
      </c>
      <c r="AY132" s="229" t="e">
        <f t="shared" si="13"/>
        <v>#NUM!</v>
      </c>
      <c r="BA132" s="427">
        <f t="shared" si="36"/>
        <v>26</v>
      </c>
      <c r="BB132" s="884">
        <f t="shared" si="37"/>
        <v>770</v>
      </c>
      <c r="BC132" s="121" t="b">
        <f>IF($N$36="Fixed",$N$42,IF($N$36="Variable",VLOOKUP(BB132,'Financing Constants'!$A$8:$L$148,$BB$179)+$N$41/10000))</f>
        <v>0</v>
      </c>
      <c r="BD132" s="229" t="e">
        <f t="shared" si="51"/>
        <v>#NUM!</v>
      </c>
      <c r="BE132" s="888" t="str">
        <f t="shared" si="14"/>
        <v>PP</v>
      </c>
      <c r="BF132" s="229" t="e">
        <f t="shared" si="15"/>
        <v>#NUM!</v>
      </c>
      <c r="BG132" s="229" t="e">
        <f t="shared" si="16"/>
        <v>#NUM!</v>
      </c>
      <c r="BH132" s="229" t="e">
        <f t="shared" si="17"/>
        <v>#NUM!</v>
      </c>
      <c r="BI132" s="229" t="e">
        <f t="shared" si="18"/>
        <v>#NUM!</v>
      </c>
      <c r="BK132" s="427">
        <f t="shared" si="38"/>
        <v>26</v>
      </c>
      <c r="BL132" s="884">
        <f t="shared" si="39"/>
        <v>770</v>
      </c>
      <c r="BM132" s="121" t="b">
        <f>IF($Q$36="Fixed",$Q$42,IF($Q$36="Variable",VLOOKUP(BL132,'Financing Constants'!$A$8:$L$148,$BL$179)+$Q$41/10000))</f>
        <v>0</v>
      </c>
      <c r="BN132" s="229" t="e">
        <f t="shared" si="52"/>
        <v>#NUM!</v>
      </c>
      <c r="BO132" s="888" t="str">
        <f t="shared" si="19"/>
        <v>PP</v>
      </c>
      <c r="BP132" s="229" t="e">
        <f t="shared" si="20"/>
        <v>#NUM!</v>
      </c>
      <c r="BQ132" s="229" t="e">
        <f t="shared" si="21"/>
        <v>#NUM!</v>
      </c>
      <c r="BR132" s="229" t="e">
        <f t="shared" si="22"/>
        <v>#NUM!</v>
      </c>
      <c r="BS132" s="229" t="e">
        <f t="shared" si="23"/>
        <v>#NUM!</v>
      </c>
      <c r="BU132" s="427">
        <f t="shared" si="40"/>
        <v>26</v>
      </c>
      <c r="BV132" s="884">
        <f t="shared" si="41"/>
        <v>770</v>
      </c>
      <c r="BW132" s="121" t="b">
        <f>IF($T$36="Fixed",$T$42,IF($T$36="Variable",VLOOKUP(BV132,'Financing Constants'!$A$8:$L$148,$BV$179)+$T$41/10000))</f>
        <v>0</v>
      </c>
      <c r="BX132" s="229" t="e">
        <f t="shared" si="53"/>
        <v>#NUM!</v>
      </c>
      <c r="BY132" s="888" t="str">
        <f t="shared" si="24"/>
        <v>PP</v>
      </c>
      <c r="BZ132" s="229" t="e">
        <f t="shared" si="25"/>
        <v>#NUM!</v>
      </c>
      <c r="CA132" s="229" t="e">
        <f t="shared" si="26"/>
        <v>#NUM!</v>
      </c>
      <c r="CB132" s="229" t="e">
        <f t="shared" si="27"/>
        <v>#NUM!</v>
      </c>
      <c r="CC132" s="229" t="e">
        <f t="shared" si="28"/>
        <v>#NUM!</v>
      </c>
    </row>
    <row r="133" spans="1:81" ht="13.9" customHeight="1" x14ac:dyDescent="0.25">
      <c r="A133" s="468"/>
      <c r="E133" s="758"/>
      <c r="F133" s="757"/>
      <c r="G133" s="757"/>
      <c r="H133" s="834"/>
      <c r="I133" s="835"/>
      <c r="J133" s="835"/>
      <c r="K133" s="834"/>
      <c r="L133" s="835"/>
      <c r="M133" s="835"/>
      <c r="N133" s="834"/>
      <c r="O133" s="835"/>
      <c r="P133" s="835"/>
      <c r="Q133" s="848"/>
      <c r="R133" s="847"/>
      <c r="S133" s="847"/>
      <c r="T133" s="848"/>
      <c r="U133" s="847"/>
      <c r="W133" s="427">
        <f t="shared" si="29"/>
        <v>27</v>
      </c>
      <c r="X133" s="884">
        <f t="shared" si="30"/>
        <v>800</v>
      </c>
      <c r="Y133" s="121" t="b">
        <f>IF($E$36="Fixed",$E$42,IF($E$36="Variable",VLOOKUP(X133,'Financing Constants'!$A$8:$L$148,$X$179)+$E$41/10000))</f>
        <v>0</v>
      </c>
      <c r="Z133" s="229">
        <f t="shared" si="48"/>
        <v>11395407.36111109</v>
      </c>
      <c r="AA133" s="888" t="str">
        <f t="shared" si="31"/>
        <v>PP</v>
      </c>
      <c r="AB133" s="229">
        <f t="shared" si="0"/>
        <v>34117.986111111109</v>
      </c>
      <c r="AC133" s="229">
        <f t="shared" si="1"/>
        <v>34117.986111111109</v>
      </c>
      <c r="AD133" s="229">
        <f t="shared" si="2"/>
        <v>0</v>
      </c>
      <c r="AE133" s="229">
        <f t="shared" si="3"/>
        <v>11361289.374999978</v>
      </c>
      <c r="AG133" s="427">
        <f t="shared" si="32"/>
        <v>27</v>
      </c>
      <c r="AH133" s="884">
        <f t="shared" si="33"/>
        <v>800</v>
      </c>
      <c r="AI133" s="121" t="b">
        <f>IF($H$36="Fixed",$H$42,IF($H$36="Variable",VLOOKUP(AH133,'Financing Constants'!$A$8:$L$148,$AH$179)+$H$41/10000))</f>
        <v>0</v>
      </c>
      <c r="AJ133" s="229" t="e">
        <f t="shared" si="49"/>
        <v>#NUM!</v>
      </c>
      <c r="AK133" s="888" t="str">
        <f t="shared" si="4"/>
        <v>PP</v>
      </c>
      <c r="AL133" s="229" t="e">
        <f t="shared" si="5"/>
        <v>#NUM!</v>
      </c>
      <c r="AM133" s="229" t="e">
        <f t="shared" si="6"/>
        <v>#NUM!</v>
      </c>
      <c r="AN133" s="229" t="e">
        <f t="shared" si="7"/>
        <v>#NUM!</v>
      </c>
      <c r="AO133" s="229" t="e">
        <f t="shared" si="8"/>
        <v>#NUM!</v>
      </c>
      <c r="AQ133" s="427">
        <f t="shared" si="34"/>
        <v>27</v>
      </c>
      <c r="AR133" s="884">
        <f t="shared" si="35"/>
        <v>800</v>
      </c>
      <c r="AS133" s="121" t="b">
        <f>IF($K$36="Fixed",$K$42,IF($K$36="Variable",VLOOKUP(AR133,'Financing Constants'!$A$8:$L$148,$AR$179)+$K$41/10000))</f>
        <v>0</v>
      </c>
      <c r="AT133" s="229" t="e">
        <f t="shared" si="50"/>
        <v>#NUM!</v>
      </c>
      <c r="AU133" s="888" t="str">
        <f t="shared" si="9"/>
        <v>PP</v>
      </c>
      <c r="AV133" s="229" t="e">
        <f t="shared" si="10"/>
        <v>#NUM!</v>
      </c>
      <c r="AW133" s="229" t="e">
        <f t="shared" si="11"/>
        <v>#NUM!</v>
      </c>
      <c r="AX133" s="229" t="e">
        <f t="shared" si="12"/>
        <v>#NUM!</v>
      </c>
      <c r="AY133" s="229" t="e">
        <f t="shared" si="13"/>
        <v>#NUM!</v>
      </c>
      <c r="BA133" s="427">
        <f t="shared" si="36"/>
        <v>27</v>
      </c>
      <c r="BB133" s="884">
        <f t="shared" si="37"/>
        <v>800</v>
      </c>
      <c r="BC133" s="121" t="b">
        <f>IF($N$36="Fixed",$N$42,IF($N$36="Variable",VLOOKUP(BB133,'Financing Constants'!$A$8:$L$148,$BB$179)+$N$41/10000))</f>
        <v>0</v>
      </c>
      <c r="BD133" s="229" t="e">
        <f t="shared" si="51"/>
        <v>#NUM!</v>
      </c>
      <c r="BE133" s="888" t="str">
        <f t="shared" si="14"/>
        <v>PP</v>
      </c>
      <c r="BF133" s="229" t="e">
        <f t="shared" si="15"/>
        <v>#NUM!</v>
      </c>
      <c r="BG133" s="229" t="e">
        <f t="shared" si="16"/>
        <v>#NUM!</v>
      </c>
      <c r="BH133" s="229" t="e">
        <f t="shared" si="17"/>
        <v>#NUM!</v>
      </c>
      <c r="BI133" s="229" t="e">
        <f t="shared" si="18"/>
        <v>#NUM!</v>
      </c>
      <c r="BK133" s="427">
        <f t="shared" si="38"/>
        <v>27</v>
      </c>
      <c r="BL133" s="884">
        <f t="shared" si="39"/>
        <v>800</v>
      </c>
      <c r="BM133" s="121" t="b">
        <f>IF($Q$36="Fixed",$Q$42,IF($Q$36="Variable",VLOOKUP(BL133,'Financing Constants'!$A$8:$L$148,$BL$179)+$Q$41/10000))</f>
        <v>0</v>
      </c>
      <c r="BN133" s="229" t="e">
        <f t="shared" si="52"/>
        <v>#NUM!</v>
      </c>
      <c r="BO133" s="888" t="str">
        <f t="shared" si="19"/>
        <v>PP</v>
      </c>
      <c r="BP133" s="229" t="e">
        <f t="shared" si="20"/>
        <v>#NUM!</v>
      </c>
      <c r="BQ133" s="229" t="e">
        <f t="shared" si="21"/>
        <v>#NUM!</v>
      </c>
      <c r="BR133" s="229" t="e">
        <f t="shared" si="22"/>
        <v>#NUM!</v>
      </c>
      <c r="BS133" s="229" t="e">
        <f t="shared" si="23"/>
        <v>#NUM!</v>
      </c>
      <c r="BU133" s="427">
        <f t="shared" si="40"/>
        <v>27</v>
      </c>
      <c r="BV133" s="884">
        <f t="shared" si="41"/>
        <v>800</v>
      </c>
      <c r="BW133" s="121" t="b">
        <f>IF($T$36="Fixed",$T$42,IF($T$36="Variable",VLOOKUP(BV133,'Financing Constants'!$A$8:$L$148,$BV$179)+$T$41/10000))</f>
        <v>0</v>
      </c>
      <c r="BX133" s="229" t="e">
        <f t="shared" si="53"/>
        <v>#NUM!</v>
      </c>
      <c r="BY133" s="888" t="str">
        <f t="shared" si="24"/>
        <v>PP</v>
      </c>
      <c r="BZ133" s="229" t="e">
        <f t="shared" si="25"/>
        <v>#NUM!</v>
      </c>
      <c r="CA133" s="229" t="e">
        <f t="shared" si="26"/>
        <v>#NUM!</v>
      </c>
      <c r="CB133" s="229" t="e">
        <f t="shared" si="27"/>
        <v>#NUM!</v>
      </c>
      <c r="CC133" s="229" t="e">
        <f t="shared" si="28"/>
        <v>#NUM!</v>
      </c>
    </row>
    <row r="134" spans="1:81" ht="13.9" customHeight="1" x14ac:dyDescent="0.25">
      <c r="A134" s="468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847"/>
      <c r="R134" s="847"/>
      <c r="S134" s="847"/>
      <c r="T134" s="847"/>
      <c r="U134" s="847"/>
      <c r="W134" s="427">
        <f t="shared" si="29"/>
        <v>28</v>
      </c>
      <c r="X134" s="884">
        <f t="shared" si="30"/>
        <v>830</v>
      </c>
      <c r="Y134" s="121" t="b">
        <f>IF($E$36="Fixed",$E$42,IF($E$36="Variable",VLOOKUP(X134,'Financing Constants'!$A$8:$L$148,$X$179)+$E$41/10000))</f>
        <v>0</v>
      </c>
      <c r="Z134" s="229">
        <f t="shared" si="48"/>
        <v>11361289.374999978</v>
      </c>
      <c r="AA134" s="888" t="str">
        <f t="shared" si="31"/>
        <v>PP</v>
      </c>
      <c r="AB134" s="229">
        <f t="shared" si="0"/>
        <v>34117.986111111109</v>
      </c>
      <c r="AC134" s="229">
        <f t="shared" si="1"/>
        <v>34117.986111111109</v>
      </c>
      <c r="AD134" s="229">
        <f t="shared" si="2"/>
        <v>0</v>
      </c>
      <c r="AE134" s="229">
        <f t="shared" si="3"/>
        <v>11327171.388888866</v>
      </c>
      <c r="AG134" s="427">
        <f t="shared" si="32"/>
        <v>28</v>
      </c>
      <c r="AH134" s="884">
        <f t="shared" si="33"/>
        <v>830</v>
      </c>
      <c r="AI134" s="121" t="b">
        <f>IF($H$36="Fixed",$H$42,IF($H$36="Variable",VLOOKUP(AH134,'Financing Constants'!$A$8:$L$148,$AH$179)+$H$41/10000))</f>
        <v>0</v>
      </c>
      <c r="AJ134" s="229" t="e">
        <f t="shared" si="49"/>
        <v>#NUM!</v>
      </c>
      <c r="AK134" s="888" t="str">
        <f t="shared" si="4"/>
        <v>PP</v>
      </c>
      <c r="AL134" s="229" t="e">
        <f t="shared" si="5"/>
        <v>#NUM!</v>
      </c>
      <c r="AM134" s="229" t="e">
        <f t="shared" si="6"/>
        <v>#NUM!</v>
      </c>
      <c r="AN134" s="229" t="e">
        <f t="shared" si="7"/>
        <v>#NUM!</v>
      </c>
      <c r="AO134" s="229" t="e">
        <f t="shared" si="8"/>
        <v>#NUM!</v>
      </c>
      <c r="AQ134" s="427">
        <f t="shared" si="34"/>
        <v>28</v>
      </c>
      <c r="AR134" s="884">
        <f t="shared" si="35"/>
        <v>830</v>
      </c>
      <c r="AS134" s="121" t="b">
        <f>IF($K$36="Fixed",$K$42,IF($K$36="Variable",VLOOKUP(AR134,'Financing Constants'!$A$8:$L$148,$AR$179)+$K$41/10000))</f>
        <v>0</v>
      </c>
      <c r="AT134" s="229" t="e">
        <f t="shared" si="50"/>
        <v>#NUM!</v>
      </c>
      <c r="AU134" s="888" t="str">
        <f t="shared" si="9"/>
        <v>PP</v>
      </c>
      <c r="AV134" s="229" t="e">
        <f t="shared" si="10"/>
        <v>#NUM!</v>
      </c>
      <c r="AW134" s="229" t="e">
        <f t="shared" si="11"/>
        <v>#NUM!</v>
      </c>
      <c r="AX134" s="229" t="e">
        <f t="shared" si="12"/>
        <v>#NUM!</v>
      </c>
      <c r="AY134" s="229" t="e">
        <f t="shared" si="13"/>
        <v>#NUM!</v>
      </c>
      <c r="BA134" s="427">
        <f t="shared" si="36"/>
        <v>28</v>
      </c>
      <c r="BB134" s="884">
        <f t="shared" si="37"/>
        <v>830</v>
      </c>
      <c r="BC134" s="121" t="b">
        <f>IF($N$36="Fixed",$N$42,IF($N$36="Variable",VLOOKUP(BB134,'Financing Constants'!$A$8:$L$148,$BB$179)+$N$41/10000))</f>
        <v>0</v>
      </c>
      <c r="BD134" s="229" t="e">
        <f t="shared" si="51"/>
        <v>#NUM!</v>
      </c>
      <c r="BE134" s="888" t="str">
        <f t="shared" si="14"/>
        <v>PP</v>
      </c>
      <c r="BF134" s="229" t="e">
        <f t="shared" si="15"/>
        <v>#NUM!</v>
      </c>
      <c r="BG134" s="229" t="e">
        <f t="shared" si="16"/>
        <v>#NUM!</v>
      </c>
      <c r="BH134" s="229" t="e">
        <f t="shared" si="17"/>
        <v>#NUM!</v>
      </c>
      <c r="BI134" s="229" t="e">
        <f t="shared" si="18"/>
        <v>#NUM!</v>
      </c>
      <c r="BK134" s="427">
        <f t="shared" si="38"/>
        <v>28</v>
      </c>
      <c r="BL134" s="884">
        <f t="shared" si="39"/>
        <v>830</v>
      </c>
      <c r="BM134" s="121" t="b">
        <f>IF($Q$36="Fixed",$Q$42,IF($Q$36="Variable",VLOOKUP(BL134,'Financing Constants'!$A$8:$L$148,$BL$179)+$Q$41/10000))</f>
        <v>0</v>
      </c>
      <c r="BN134" s="229" t="e">
        <f t="shared" si="52"/>
        <v>#NUM!</v>
      </c>
      <c r="BO134" s="888" t="str">
        <f t="shared" si="19"/>
        <v>PP</v>
      </c>
      <c r="BP134" s="229" t="e">
        <f t="shared" si="20"/>
        <v>#NUM!</v>
      </c>
      <c r="BQ134" s="229" t="e">
        <f t="shared" si="21"/>
        <v>#NUM!</v>
      </c>
      <c r="BR134" s="229" t="e">
        <f t="shared" si="22"/>
        <v>#NUM!</v>
      </c>
      <c r="BS134" s="229" t="e">
        <f t="shared" si="23"/>
        <v>#NUM!</v>
      </c>
      <c r="BU134" s="427">
        <f t="shared" si="40"/>
        <v>28</v>
      </c>
      <c r="BV134" s="884">
        <f t="shared" si="41"/>
        <v>830</v>
      </c>
      <c r="BW134" s="121" t="b">
        <f>IF($T$36="Fixed",$T$42,IF($T$36="Variable",VLOOKUP(BV134,'Financing Constants'!$A$8:$L$148,$BV$179)+$T$41/10000))</f>
        <v>0</v>
      </c>
      <c r="BX134" s="229" t="e">
        <f t="shared" si="53"/>
        <v>#NUM!</v>
      </c>
      <c r="BY134" s="888" t="str">
        <f t="shared" si="24"/>
        <v>PP</v>
      </c>
      <c r="BZ134" s="229" t="e">
        <f t="shared" si="25"/>
        <v>#NUM!</v>
      </c>
      <c r="CA134" s="229" t="e">
        <f t="shared" si="26"/>
        <v>#NUM!</v>
      </c>
      <c r="CB134" s="229" t="e">
        <f t="shared" si="27"/>
        <v>#NUM!</v>
      </c>
      <c r="CC134" s="229" t="e">
        <f t="shared" si="28"/>
        <v>#NUM!</v>
      </c>
    </row>
    <row r="135" spans="1:81" ht="13.9" customHeight="1" x14ac:dyDescent="0.25">
      <c r="A135" s="468"/>
      <c r="E135" s="758"/>
      <c r="F135" s="757"/>
      <c r="G135" s="757"/>
      <c r="H135" s="834"/>
      <c r="I135" s="835"/>
      <c r="J135" s="835"/>
      <c r="K135" s="834"/>
      <c r="L135" s="835"/>
      <c r="M135" s="835"/>
      <c r="N135" s="834"/>
      <c r="O135" s="835"/>
      <c r="P135" s="835"/>
      <c r="Q135" s="848"/>
      <c r="R135" s="847"/>
      <c r="S135" s="847"/>
      <c r="T135" s="848"/>
      <c r="U135" s="847"/>
      <c r="W135" s="427">
        <f t="shared" si="29"/>
        <v>29</v>
      </c>
      <c r="X135" s="884">
        <f t="shared" si="30"/>
        <v>860</v>
      </c>
      <c r="Y135" s="121" t="b">
        <f>IF($E$36="Fixed",$E$42,IF($E$36="Variable",VLOOKUP(X135,'Financing Constants'!$A$8:$L$148,$X$179)+$E$41/10000))</f>
        <v>0</v>
      </c>
      <c r="Z135" s="229">
        <f t="shared" si="48"/>
        <v>11327171.388888866</v>
      </c>
      <c r="AA135" s="888" t="str">
        <f t="shared" si="31"/>
        <v>PP</v>
      </c>
      <c r="AB135" s="229">
        <f t="shared" si="0"/>
        <v>34117.986111111109</v>
      </c>
      <c r="AC135" s="229">
        <f t="shared" si="1"/>
        <v>34117.986111111109</v>
      </c>
      <c r="AD135" s="229">
        <f t="shared" si="2"/>
        <v>0</v>
      </c>
      <c r="AE135" s="229">
        <f t="shared" si="3"/>
        <v>11293053.402777754</v>
      </c>
      <c r="AG135" s="427">
        <f t="shared" si="32"/>
        <v>29</v>
      </c>
      <c r="AH135" s="884">
        <f t="shared" si="33"/>
        <v>860</v>
      </c>
      <c r="AI135" s="121" t="b">
        <f>IF($H$36="Fixed",$H$42,IF($H$36="Variable",VLOOKUP(AH135,'Financing Constants'!$A$8:$L$148,$AH$179)+$H$41/10000))</f>
        <v>0</v>
      </c>
      <c r="AJ135" s="229" t="e">
        <f t="shared" si="49"/>
        <v>#NUM!</v>
      </c>
      <c r="AK135" s="888" t="str">
        <f t="shared" si="4"/>
        <v>PP</v>
      </c>
      <c r="AL135" s="229" t="e">
        <f t="shared" si="5"/>
        <v>#NUM!</v>
      </c>
      <c r="AM135" s="229" t="e">
        <f t="shared" si="6"/>
        <v>#NUM!</v>
      </c>
      <c r="AN135" s="229" t="e">
        <f t="shared" si="7"/>
        <v>#NUM!</v>
      </c>
      <c r="AO135" s="229" t="e">
        <f t="shared" si="8"/>
        <v>#NUM!</v>
      </c>
      <c r="AQ135" s="427">
        <f t="shared" si="34"/>
        <v>29</v>
      </c>
      <c r="AR135" s="884">
        <f t="shared" si="35"/>
        <v>860</v>
      </c>
      <c r="AS135" s="121" t="b">
        <f>IF($K$36="Fixed",$K$42,IF($K$36="Variable",VLOOKUP(AR135,'Financing Constants'!$A$8:$L$148,$AR$179)+$K$41/10000))</f>
        <v>0</v>
      </c>
      <c r="AT135" s="229" t="e">
        <f t="shared" si="50"/>
        <v>#NUM!</v>
      </c>
      <c r="AU135" s="888" t="str">
        <f t="shared" si="9"/>
        <v>PP</v>
      </c>
      <c r="AV135" s="229" t="e">
        <f t="shared" si="10"/>
        <v>#NUM!</v>
      </c>
      <c r="AW135" s="229" t="e">
        <f t="shared" si="11"/>
        <v>#NUM!</v>
      </c>
      <c r="AX135" s="229" t="e">
        <f t="shared" si="12"/>
        <v>#NUM!</v>
      </c>
      <c r="AY135" s="229" t="e">
        <f t="shared" si="13"/>
        <v>#NUM!</v>
      </c>
      <c r="BA135" s="427">
        <f t="shared" si="36"/>
        <v>29</v>
      </c>
      <c r="BB135" s="884">
        <f t="shared" si="37"/>
        <v>860</v>
      </c>
      <c r="BC135" s="121" t="b">
        <f>IF($N$36="Fixed",$N$42,IF($N$36="Variable",VLOOKUP(BB135,'Financing Constants'!$A$8:$L$148,$BB$179)+$N$41/10000))</f>
        <v>0</v>
      </c>
      <c r="BD135" s="229" t="e">
        <f t="shared" si="51"/>
        <v>#NUM!</v>
      </c>
      <c r="BE135" s="888" t="str">
        <f t="shared" si="14"/>
        <v>PP</v>
      </c>
      <c r="BF135" s="229" t="e">
        <f t="shared" si="15"/>
        <v>#NUM!</v>
      </c>
      <c r="BG135" s="229" t="e">
        <f t="shared" si="16"/>
        <v>#NUM!</v>
      </c>
      <c r="BH135" s="229" t="e">
        <f t="shared" si="17"/>
        <v>#NUM!</v>
      </c>
      <c r="BI135" s="229" t="e">
        <f t="shared" si="18"/>
        <v>#NUM!</v>
      </c>
      <c r="BK135" s="427">
        <f t="shared" si="38"/>
        <v>29</v>
      </c>
      <c r="BL135" s="884">
        <f t="shared" si="39"/>
        <v>860</v>
      </c>
      <c r="BM135" s="121" t="b">
        <f>IF($Q$36="Fixed",$Q$42,IF($Q$36="Variable",VLOOKUP(BL135,'Financing Constants'!$A$8:$L$148,$BL$179)+$Q$41/10000))</f>
        <v>0</v>
      </c>
      <c r="BN135" s="229" t="e">
        <f t="shared" si="52"/>
        <v>#NUM!</v>
      </c>
      <c r="BO135" s="888" t="str">
        <f t="shared" si="19"/>
        <v>PP</v>
      </c>
      <c r="BP135" s="229" t="e">
        <f t="shared" si="20"/>
        <v>#NUM!</v>
      </c>
      <c r="BQ135" s="229" t="e">
        <f t="shared" si="21"/>
        <v>#NUM!</v>
      </c>
      <c r="BR135" s="229" t="e">
        <f t="shared" si="22"/>
        <v>#NUM!</v>
      </c>
      <c r="BS135" s="229" t="e">
        <f t="shared" si="23"/>
        <v>#NUM!</v>
      </c>
      <c r="BU135" s="427">
        <f t="shared" si="40"/>
        <v>29</v>
      </c>
      <c r="BV135" s="884">
        <f t="shared" si="41"/>
        <v>860</v>
      </c>
      <c r="BW135" s="121" t="b">
        <f>IF($T$36="Fixed",$T$42,IF($T$36="Variable",VLOOKUP(BV135,'Financing Constants'!$A$8:$L$148,$BV$179)+$T$41/10000))</f>
        <v>0</v>
      </c>
      <c r="BX135" s="229" t="e">
        <f t="shared" si="53"/>
        <v>#NUM!</v>
      </c>
      <c r="BY135" s="888" t="str">
        <f t="shared" si="24"/>
        <v>PP</v>
      </c>
      <c r="BZ135" s="229" t="e">
        <f t="shared" si="25"/>
        <v>#NUM!</v>
      </c>
      <c r="CA135" s="229" t="e">
        <f t="shared" si="26"/>
        <v>#NUM!</v>
      </c>
      <c r="CB135" s="229" t="e">
        <f t="shared" si="27"/>
        <v>#NUM!</v>
      </c>
      <c r="CC135" s="229" t="e">
        <f t="shared" si="28"/>
        <v>#NUM!</v>
      </c>
    </row>
    <row r="136" spans="1:81" ht="13.9" customHeight="1" x14ac:dyDescent="0.25">
      <c r="Q136" s="271"/>
      <c r="R136" s="271"/>
      <c r="S136" s="271"/>
      <c r="T136" s="271"/>
      <c r="U136" s="271"/>
      <c r="W136" s="427">
        <f t="shared" si="29"/>
        <v>30</v>
      </c>
      <c r="X136" s="884">
        <f t="shared" si="30"/>
        <v>890</v>
      </c>
      <c r="Y136" s="121" t="b">
        <f>IF($E$36="Fixed",$E$42,IF($E$36="Variable",VLOOKUP(X136,'Financing Constants'!$A$8:$L$148,$X$179)+$E$41/10000))</f>
        <v>0</v>
      </c>
      <c r="Z136" s="229">
        <f t="shared" si="48"/>
        <v>11293053.402777754</v>
      </c>
      <c r="AA136" s="888" t="str">
        <f t="shared" si="31"/>
        <v>PP</v>
      </c>
      <c r="AB136" s="229">
        <f t="shared" si="0"/>
        <v>34117.986111111109</v>
      </c>
      <c r="AC136" s="229">
        <f t="shared" si="1"/>
        <v>34117.986111111109</v>
      </c>
      <c r="AD136" s="229">
        <f t="shared" si="2"/>
        <v>0</v>
      </c>
      <c r="AE136" s="229">
        <f t="shared" si="3"/>
        <v>11258935.416666642</v>
      </c>
      <c r="AG136" s="427">
        <f t="shared" si="32"/>
        <v>30</v>
      </c>
      <c r="AH136" s="884">
        <f t="shared" si="33"/>
        <v>890</v>
      </c>
      <c r="AI136" s="121" t="b">
        <f>IF($H$36="Fixed",$H$42,IF($H$36="Variable",VLOOKUP(AH136,'Financing Constants'!$A$8:$L$148,$AH$179)+$H$41/10000))</f>
        <v>0</v>
      </c>
      <c r="AJ136" s="229" t="e">
        <f t="shared" si="49"/>
        <v>#NUM!</v>
      </c>
      <c r="AK136" s="888" t="str">
        <f t="shared" si="4"/>
        <v>PP</v>
      </c>
      <c r="AL136" s="229" t="e">
        <f t="shared" si="5"/>
        <v>#NUM!</v>
      </c>
      <c r="AM136" s="229" t="e">
        <f t="shared" si="6"/>
        <v>#NUM!</v>
      </c>
      <c r="AN136" s="229" t="e">
        <f t="shared" si="7"/>
        <v>#NUM!</v>
      </c>
      <c r="AO136" s="229" t="e">
        <f t="shared" si="8"/>
        <v>#NUM!</v>
      </c>
      <c r="AQ136" s="427">
        <f t="shared" si="34"/>
        <v>30</v>
      </c>
      <c r="AR136" s="884">
        <f t="shared" si="35"/>
        <v>890</v>
      </c>
      <c r="AS136" s="121" t="b">
        <f>IF($K$36="Fixed",$K$42,IF($K$36="Variable",VLOOKUP(AR136,'Financing Constants'!$A$8:$L$148,$AR$179)+$K$41/10000))</f>
        <v>0</v>
      </c>
      <c r="AT136" s="229" t="e">
        <f t="shared" si="50"/>
        <v>#NUM!</v>
      </c>
      <c r="AU136" s="888" t="str">
        <f t="shared" si="9"/>
        <v>PP</v>
      </c>
      <c r="AV136" s="229" t="e">
        <f t="shared" si="10"/>
        <v>#NUM!</v>
      </c>
      <c r="AW136" s="229" t="e">
        <f t="shared" si="11"/>
        <v>#NUM!</v>
      </c>
      <c r="AX136" s="229" t="e">
        <f t="shared" si="12"/>
        <v>#NUM!</v>
      </c>
      <c r="AY136" s="229" t="e">
        <f t="shared" si="13"/>
        <v>#NUM!</v>
      </c>
      <c r="BA136" s="427">
        <f t="shared" si="36"/>
        <v>30</v>
      </c>
      <c r="BB136" s="884">
        <f t="shared" si="37"/>
        <v>890</v>
      </c>
      <c r="BC136" s="121" t="b">
        <f>IF($N$36="Fixed",$N$42,IF($N$36="Variable",VLOOKUP(BB136,'Financing Constants'!$A$8:$L$148,$BB$179)+$N$41/10000))</f>
        <v>0</v>
      </c>
      <c r="BD136" s="229" t="e">
        <f t="shared" si="51"/>
        <v>#NUM!</v>
      </c>
      <c r="BE136" s="888" t="str">
        <f t="shared" si="14"/>
        <v>PP</v>
      </c>
      <c r="BF136" s="229" t="e">
        <f t="shared" si="15"/>
        <v>#NUM!</v>
      </c>
      <c r="BG136" s="229" t="e">
        <f t="shared" si="16"/>
        <v>#NUM!</v>
      </c>
      <c r="BH136" s="229" t="e">
        <f t="shared" si="17"/>
        <v>#NUM!</v>
      </c>
      <c r="BI136" s="229" t="e">
        <f t="shared" si="18"/>
        <v>#NUM!</v>
      </c>
      <c r="BK136" s="427">
        <f t="shared" si="38"/>
        <v>30</v>
      </c>
      <c r="BL136" s="884">
        <f t="shared" si="39"/>
        <v>890</v>
      </c>
      <c r="BM136" s="121" t="b">
        <f>IF($Q$36="Fixed",$Q$42,IF($Q$36="Variable",VLOOKUP(BL136,'Financing Constants'!$A$8:$L$148,$BL$179)+$Q$41/10000))</f>
        <v>0</v>
      </c>
      <c r="BN136" s="229" t="e">
        <f t="shared" si="52"/>
        <v>#NUM!</v>
      </c>
      <c r="BO136" s="888" t="str">
        <f t="shared" si="19"/>
        <v>PP</v>
      </c>
      <c r="BP136" s="229" t="e">
        <f t="shared" si="20"/>
        <v>#NUM!</v>
      </c>
      <c r="BQ136" s="229" t="e">
        <f t="shared" si="21"/>
        <v>#NUM!</v>
      </c>
      <c r="BR136" s="229" t="e">
        <f t="shared" si="22"/>
        <v>#NUM!</v>
      </c>
      <c r="BS136" s="229" t="e">
        <f t="shared" si="23"/>
        <v>#NUM!</v>
      </c>
      <c r="BU136" s="427">
        <f t="shared" si="40"/>
        <v>30</v>
      </c>
      <c r="BV136" s="884">
        <f t="shared" si="41"/>
        <v>890</v>
      </c>
      <c r="BW136" s="121" t="b">
        <f>IF($T$36="Fixed",$T$42,IF($T$36="Variable",VLOOKUP(BV136,'Financing Constants'!$A$8:$L$148,$BV$179)+$T$41/10000))</f>
        <v>0</v>
      </c>
      <c r="BX136" s="229" t="e">
        <f t="shared" si="53"/>
        <v>#NUM!</v>
      </c>
      <c r="BY136" s="888" t="str">
        <f t="shared" si="24"/>
        <v>PP</v>
      </c>
      <c r="BZ136" s="229" t="e">
        <f t="shared" si="25"/>
        <v>#NUM!</v>
      </c>
      <c r="CA136" s="229" t="e">
        <f t="shared" si="26"/>
        <v>#NUM!</v>
      </c>
      <c r="CB136" s="229" t="e">
        <f t="shared" si="27"/>
        <v>#NUM!</v>
      </c>
      <c r="CC136" s="229" t="e">
        <f t="shared" si="28"/>
        <v>#NUM!</v>
      </c>
    </row>
    <row r="137" spans="1:81" ht="13.9" customHeight="1" x14ac:dyDescent="0.25">
      <c r="W137" s="427">
        <f t="shared" si="29"/>
        <v>31</v>
      </c>
      <c r="X137" s="884">
        <f t="shared" si="30"/>
        <v>920</v>
      </c>
      <c r="Y137" s="121" t="b">
        <f>IF($E$36="Fixed",$E$42,IF($E$36="Variable",VLOOKUP(X137,'Financing Constants'!$A$8:$L$148,$X$179)+$E$41/10000))</f>
        <v>0</v>
      </c>
      <c r="Z137" s="229">
        <f t="shared" si="48"/>
        <v>11258935.416666642</v>
      </c>
      <c r="AA137" s="888" t="str">
        <f t="shared" si="31"/>
        <v>PP</v>
      </c>
      <c r="AB137" s="229">
        <f t="shared" si="0"/>
        <v>34117.986111111109</v>
      </c>
      <c r="AC137" s="229">
        <f t="shared" si="1"/>
        <v>34117.986111111109</v>
      </c>
      <c r="AD137" s="229">
        <f t="shared" si="2"/>
        <v>0</v>
      </c>
      <c r="AE137" s="229">
        <f t="shared" si="3"/>
        <v>11224817.43055553</v>
      </c>
      <c r="AG137" s="427">
        <f t="shared" si="32"/>
        <v>31</v>
      </c>
      <c r="AH137" s="884">
        <f t="shared" si="33"/>
        <v>920</v>
      </c>
      <c r="AI137" s="121" t="b">
        <f>IF($H$36="Fixed",$H$42,IF($H$36="Variable",VLOOKUP(AH137,'Financing Constants'!$A$8:$L$148,$AH$179)+$H$41/10000))</f>
        <v>0</v>
      </c>
      <c r="AJ137" s="229" t="e">
        <f t="shared" si="49"/>
        <v>#NUM!</v>
      </c>
      <c r="AK137" s="888" t="str">
        <f t="shared" si="4"/>
        <v>PP</v>
      </c>
      <c r="AL137" s="229" t="e">
        <f t="shared" si="5"/>
        <v>#NUM!</v>
      </c>
      <c r="AM137" s="229" t="e">
        <f t="shared" si="6"/>
        <v>#NUM!</v>
      </c>
      <c r="AN137" s="229" t="e">
        <f t="shared" si="7"/>
        <v>#NUM!</v>
      </c>
      <c r="AO137" s="229" t="e">
        <f t="shared" si="8"/>
        <v>#NUM!</v>
      </c>
      <c r="AQ137" s="427">
        <f t="shared" si="34"/>
        <v>31</v>
      </c>
      <c r="AR137" s="884">
        <f t="shared" si="35"/>
        <v>920</v>
      </c>
      <c r="AS137" s="121" t="b">
        <f>IF($K$36="Fixed",$K$42,IF($K$36="Variable",VLOOKUP(AR137,'Financing Constants'!$A$8:$L$148,$AR$179)+$K$41/10000))</f>
        <v>0</v>
      </c>
      <c r="AT137" s="229" t="e">
        <f t="shared" si="50"/>
        <v>#NUM!</v>
      </c>
      <c r="AU137" s="888" t="str">
        <f t="shared" si="9"/>
        <v>PP</v>
      </c>
      <c r="AV137" s="229" t="e">
        <f t="shared" si="10"/>
        <v>#NUM!</v>
      </c>
      <c r="AW137" s="229" t="e">
        <f t="shared" si="11"/>
        <v>#NUM!</v>
      </c>
      <c r="AX137" s="229" t="e">
        <f t="shared" si="12"/>
        <v>#NUM!</v>
      </c>
      <c r="AY137" s="229" t="e">
        <f t="shared" si="13"/>
        <v>#NUM!</v>
      </c>
      <c r="BA137" s="427">
        <f t="shared" si="36"/>
        <v>31</v>
      </c>
      <c r="BB137" s="884">
        <f t="shared" si="37"/>
        <v>920</v>
      </c>
      <c r="BC137" s="121" t="b">
        <f>IF($N$36="Fixed",$N$42,IF($N$36="Variable",VLOOKUP(BB137,'Financing Constants'!$A$8:$L$148,$BB$179)+$N$41/10000))</f>
        <v>0</v>
      </c>
      <c r="BD137" s="229" t="e">
        <f t="shared" si="51"/>
        <v>#NUM!</v>
      </c>
      <c r="BE137" s="888" t="str">
        <f t="shared" si="14"/>
        <v>PP</v>
      </c>
      <c r="BF137" s="229" t="e">
        <f t="shared" si="15"/>
        <v>#NUM!</v>
      </c>
      <c r="BG137" s="229" t="e">
        <f t="shared" si="16"/>
        <v>#NUM!</v>
      </c>
      <c r="BH137" s="229" t="e">
        <f t="shared" si="17"/>
        <v>#NUM!</v>
      </c>
      <c r="BI137" s="229" t="e">
        <f t="shared" si="18"/>
        <v>#NUM!</v>
      </c>
      <c r="BK137" s="427">
        <f t="shared" si="38"/>
        <v>31</v>
      </c>
      <c r="BL137" s="884">
        <f t="shared" si="39"/>
        <v>920</v>
      </c>
      <c r="BM137" s="121" t="b">
        <f>IF($Q$36="Fixed",$Q$42,IF($Q$36="Variable",VLOOKUP(BL137,'Financing Constants'!$A$8:$L$148,$BL$179)+$Q$41/10000))</f>
        <v>0</v>
      </c>
      <c r="BN137" s="229" t="e">
        <f t="shared" si="52"/>
        <v>#NUM!</v>
      </c>
      <c r="BO137" s="888" t="str">
        <f t="shared" si="19"/>
        <v>PP</v>
      </c>
      <c r="BP137" s="229" t="e">
        <f t="shared" si="20"/>
        <v>#NUM!</v>
      </c>
      <c r="BQ137" s="229" t="e">
        <f t="shared" si="21"/>
        <v>#NUM!</v>
      </c>
      <c r="BR137" s="229" t="e">
        <f t="shared" si="22"/>
        <v>#NUM!</v>
      </c>
      <c r="BS137" s="229" t="e">
        <f t="shared" si="23"/>
        <v>#NUM!</v>
      </c>
      <c r="BU137" s="427">
        <f t="shared" si="40"/>
        <v>31</v>
      </c>
      <c r="BV137" s="884">
        <f t="shared" si="41"/>
        <v>920</v>
      </c>
      <c r="BW137" s="121" t="b">
        <f>IF($T$36="Fixed",$T$42,IF($T$36="Variable",VLOOKUP(BV137,'Financing Constants'!$A$8:$L$148,$BV$179)+$T$41/10000))</f>
        <v>0</v>
      </c>
      <c r="BX137" s="229" t="e">
        <f t="shared" si="53"/>
        <v>#NUM!</v>
      </c>
      <c r="BY137" s="888" t="str">
        <f t="shared" si="24"/>
        <v>PP</v>
      </c>
      <c r="BZ137" s="229" t="e">
        <f t="shared" si="25"/>
        <v>#NUM!</v>
      </c>
      <c r="CA137" s="229" t="e">
        <f t="shared" si="26"/>
        <v>#NUM!</v>
      </c>
      <c r="CB137" s="229" t="e">
        <f t="shared" si="27"/>
        <v>#NUM!</v>
      </c>
      <c r="CC137" s="229" t="e">
        <f t="shared" si="28"/>
        <v>#NUM!</v>
      </c>
    </row>
    <row r="138" spans="1:81" ht="13.9" customHeight="1" x14ac:dyDescent="0.25">
      <c r="W138" s="427">
        <f t="shared" si="29"/>
        <v>32</v>
      </c>
      <c r="X138" s="884">
        <f t="shared" si="30"/>
        <v>950</v>
      </c>
      <c r="Y138" s="121" t="b">
        <f>IF($E$36="Fixed",$E$42,IF($E$36="Variable",VLOOKUP(X138,'Financing Constants'!$A$8:$L$148,$X$179)+$E$41/10000))</f>
        <v>0</v>
      </c>
      <c r="Z138" s="229">
        <f t="shared" si="48"/>
        <v>11224817.43055553</v>
      </c>
      <c r="AA138" s="888" t="str">
        <f t="shared" si="31"/>
        <v>PP</v>
      </c>
      <c r="AB138" s="229">
        <f t="shared" si="0"/>
        <v>34117.986111111109</v>
      </c>
      <c r="AC138" s="229">
        <f t="shared" si="1"/>
        <v>34117.986111111109</v>
      </c>
      <c r="AD138" s="229">
        <f t="shared" si="2"/>
        <v>0</v>
      </c>
      <c r="AE138" s="229">
        <f t="shared" si="3"/>
        <v>11190699.444444418</v>
      </c>
      <c r="AG138" s="427">
        <f t="shared" si="32"/>
        <v>32</v>
      </c>
      <c r="AH138" s="884">
        <f t="shared" si="33"/>
        <v>950</v>
      </c>
      <c r="AI138" s="121" t="b">
        <f>IF($H$36="Fixed",$H$42,IF($H$36="Variable",VLOOKUP(AH138,'Financing Constants'!$A$8:$L$148,$AH$179)+$H$41/10000))</f>
        <v>0</v>
      </c>
      <c r="AJ138" s="229" t="e">
        <f t="shared" si="49"/>
        <v>#NUM!</v>
      </c>
      <c r="AK138" s="888" t="str">
        <f t="shared" si="4"/>
        <v>PP</v>
      </c>
      <c r="AL138" s="229" t="e">
        <f t="shared" si="5"/>
        <v>#NUM!</v>
      </c>
      <c r="AM138" s="229" t="e">
        <f t="shared" si="6"/>
        <v>#NUM!</v>
      </c>
      <c r="AN138" s="229" t="e">
        <f t="shared" si="7"/>
        <v>#NUM!</v>
      </c>
      <c r="AO138" s="229" t="e">
        <f t="shared" si="8"/>
        <v>#NUM!</v>
      </c>
      <c r="AQ138" s="427">
        <f t="shared" si="34"/>
        <v>32</v>
      </c>
      <c r="AR138" s="884">
        <f t="shared" si="35"/>
        <v>950</v>
      </c>
      <c r="AS138" s="121" t="b">
        <f>IF($K$36="Fixed",$K$42,IF($K$36="Variable",VLOOKUP(AR138,'Financing Constants'!$A$8:$L$148,$AR$179)+$K$41/10000))</f>
        <v>0</v>
      </c>
      <c r="AT138" s="229" t="e">
        <f t="shared" si="50"/>
        <v>#NUM!</v>
      </c>
      <c r="AU138" s="888" t="str">
        <f t="shared" si="9"/>
        <v>PP</v>
      </c>
      <c r="AV138" s="229" t="e">
        <f t="shared" si="10"/>
        <v>#NUM!</v>
      </c>
      <c r="AW138" s="229" t="e">
        <f t="shared" si="11"/>
        <v>#NUM!</v>
      </c>
      <c r="AX138" s="229" t="e">
        <f t="shared" si="12"/>
        <v>#NUM!</v>
      </c>
      <c r="AY138" s="229" t="e">
        <f t="shared" si="13"/>
        <v>#NUM!</v>
      </c>
      <c r="BA138" s="427">
        <f t="shared" si="36"/>
        <v>32</v>
      </c>
      <c r="BB138" s="884">
        <f t="shared" si="37"/>
        <v>950</v>
      </c>
      <c r="BC138" s="121" t="b">
        <f>IF($N$36="Fixed",$N$42,IF($N$36="Variable",VLOOKUP(BB138,'Financing Constants'!$A$8:$L$148,$BB$179)+$N$41/10000))</f>
        <v>0</v>
      </c>
      <c r="BD138" s="229" t="e">
        <f t="shared" si="51"/>
        <v>#NUM!</v>
      </c>
      <c r="BE138" s="888" t="str">
        <f t="shared" si="14"/>
        <v>PP</v>
      </c>
      <c r="BF138" s="229" t="e">
        <f t="shared" si="15"/>
        <v>#NUM!</v>
      </c>
      <c r="BG138" s="229" t="e">
        <f t="shared" si="16"/>
        <v>#NUM!</v>
      </c>
      <c r="BH138" s="229" t="e">
        <f t="shared" si="17"/>
        <v>#NUM!</v>
      </c>
      <c r="BI138" s="229" t="e">
        <f t="shared" si="18"/>
        <v>#NUM!</v>
      </c>
      <c r="BK138" s="427">
        <f t="shared" si="38"/>
        <v>32</v>
      </c>
      <c r="BL138" s="884">
        <f t="shared" si="39"/>
        <v>950</v>
      </c>
      <c r="BM138" s="121" t="b">
        <f>IF($Q$36="Fixed",$Q$42,IF($Q$36="Variable",VLOOKUP(BL138,'Financing Constants'!$A$8:$L$148,$BL$179)+$Q$41/10000))</f>
        <v>0</v>
      </c>
      <c r="BN138" s="229" t="e">
        <f t="shared" si="52"/>
        <v>#NUM!</v>
      </c>
      <c r="BO138" s="888" t="str">
        <f t="shared" si="19"/>
        <v>PP</v>
      </c>
      <c r="BP138" s="229" t="e">
        <f t="shared" si="20"/>
        <v>#NUM!</v>
      </c>
      <c r="BQ138" s="229" t="e">
        <f t="shared" si="21"/>
        <v>#NUM!</v>
      </c>
      <c r="BR138" s="229" t="e">
        <f t="shared" si="22"/>
        <v>#NUM!</v>
      </c>
      <c r="BS138" s="229" t="e">
        <f t="shared" si="23"/>
        <v>#NUM!</v>
      </c>
      <c r="BU138" s="427">
        <f t="shared" si="40"/>
        <v>32</v>
      </c>
      <c r="BV138" s="884">
        <f t="shared" si="41"/>
        <v>950</v>
      </c>
      <c r="BW138" s="121" t="b">
        <f>IF($T$36="Fixed",$T$42,IF($T$36="Variable",VLOOKUP(BV138,'Financing Constants'!$A$8:$L$148,$BV$179)+$T$41/10000))</f>
        <v>0</v>
      </c>
      <c r="BX138" s="229" t="e">
        <f t="shared" si="53"/>
        <v>#NUM!</v>
      </c>
      <c r="BY138" s="888" t="str">
        <f t="shared" si="24"/>
        <v>PP</v>
      </c>
      <c r="BZ138" s="229" t="e">
        <f t="shared" si="25"/>
        <v>#NUM!</v>
      </c>
      <c r="CA138" s="229" t="e">
        <f t="shared" si="26"/>
        <v>#NUM!</v>
      </c>
      <c r="CB138" s="229" t="e">
        <f t="shared" si="27"/>
        <v>#NUM!</v>
      </c>
      <c r="CC138" s="229" t="e">
        <f t="shared" si="28"/>
        <v>#NUM!</v>
      </c>
    </row>
    <row r="139" spans="1:81" ht="13.9" customHeight="1" x14ac:dyDescent="0.25">
      <c r="W139" s="427">
        <f t="shared" si="29"/>
        <v>33</v>
      </c>
      <c r="X139" s="884">
        <f t="shared" si="30"/>
        <v>980</v>
      </c>
      <c r="Y139" s="121" t="b">
        <f>IF($E$36="Fixed",$E$42,IF($E$36="Variable",VLOOKUP(X139,'Financing Constants'!$A$8:$L$148,$X$179)+$E$41/10000))</f>
        <v>0</v>
      </c>
      <c r="Z139" s="229">
        <f t="shared" si="48"/>
        <v>11190699.444444418</v>
      </c>
      <c r="AA139" s="888" t="str">
        <f t="shared" si="31"/>
        <v>PP</v>
      </c>
      <c r="AB139" s="229">
        <f t="shared" ref="AB139:AB166" si="54">IF(AA139="IO",AD139,PMT(Y139/12,$E$44*12-$E$45,-$Z$107))</f>
        <v>34117.986111111109</v>
      </c>
      <c r="AC139" s="229">
        <f t="shared" ref="AC139:AC166" si="55">IF(AA139="IO",0,AB139-AD139)</f>
        <v>34117.986111111109</v>
      </c>
      <c r="AD139" s="229">
        <f t="shared" ref="AD139:AD166" si="56">IF(AA139="PP",IPMT(Y139/12,W139-$E$45,$E$44*12-$E$45,-$E$32),Z139*Y139/12)</f>
        <v>0</v>
      </c>
      <c r="AE139" s="229">
        <f t="shared" ref="AE139:AE166" si="57">+Z139-AC139</f>
        <v>11156581.458333306</v>
      </c>
      <c r="AG139" s="427">
        <f t="shared" si="32"/>
        <v>33</v>
      </c>
      <c r="AH139" s="884">
        <f t="shared" si="33"/>
        <v>980</v>
      </c>
      <c r="AI139" s="121" t="b">
        <f>IF($H$36="Fixed",$H$42,IF($H$36="Variable",VLOOKUP(AH139,'Financing Constants'!$A$8:$L$148,$AH$179)+$H$41/10000))</f>
        <v>0</v>
      </c>
      <c r="AJ139" s="229" t="e">
        <f t="shared" si="49"/>
        <v>#NUM!</v>
      </c>
      <c r="AK139" s="888" t="str">
        <f t="shared" ref="AK139:AK166" si="58">IF(AG139&lt;=$H$45,"IO","PP")</f>
        <v>PP</v>
      </c>
      <c r="AL139" s="229" t="e">
        <f t="shared" ref="AL139:AL166" si="59">IF(AK139="IO",AN139,PMT(AI139/12,$H$44*12-$H$45,-$Z$107))</f>
        <v>#NUM!</v>
      </c>
      <c r="AM139" s="229" t="e">
        <f t="shared" ref="AM139:AM166" si="60">IF(AK139="IO",0,AL139-AN139)</f>
        <v>#NUM!</v>
      </c>
      <c r="AN139" s="229" t="e">
        <f t="shared" ref="AN139:AN166" si="61">IF(AK139="PP",IPMT(AI139/12,AG139-$H$45,$H$44*12-$H$45,-$H$32),AJ139*AI139/12)</f>
        <v>#NUM!</v>
      </c>
      <c r="AO139" s="229" t="e">
        <f t="shared" ref="AO139:AO166" si="62">+AJ139-AM139</f>
        <v>#NUM!</v>
      </c>
      <c r="AQ139" s="427">
        <f t="shared" si="34"/>
        <v>33</v>
      </c>
      <c r="AR139" s="884">
        <f t="shared" si="35"/>
        <v>980</v>
      </c>
      <c r="AS139" s="121" t="b">
        <f>IF($K$36="Fixed",$K$42,IF($K$36="Variable",VLOOKUP(AR139,'Financing Constants'!$A$8:$L$148,$AR$179)+$K$41/10000))</f>
        <v>0</v>
      </c>
      <c r="AT139" s="229" t="e">
        <f t="shared" si="50"/>
        <v>#NUM!</v>
      </c>
      <c r="AU139" s="888" t="str">
        <f t="shared" ref="AU139:AU166" si="63">IF(AQ139&lt;=$K$45,"IO","PP")</f>
        <v>PP</v>
      </c>
      <c r="AV139" s="229" t="e">
        <f t="shared" ref="AV139:AV166" si="64">IF(AU139="IO",AX139,PMT(AS139/12,$K$44*12-$K$45,-$Z$107))</f>
        <v>#NUM!</v>
      </c>
      <c r="AW139" s="229" t="e">
        <f t="shared" ref="AW139:AW166" si="65">IF(AU139="IO",0,AV139-AX139)</f>
        <v>#NUM!</v>
      </c>
      <c r="AX139" s="229" t="e">
        <f t="shared" ref="AX139:AX166" si="66">IF(AU139="PP",IPMT(AS139/12,AQ139-$K$45,$K$44*12-$K$45,-$K$32),AT139*AS139/12)</f>
        <v>#NUM!</v>
      </c>
      <c r="AY139" s="229" t="e">
        <f t="shared" ref="AY139:AY166" si="67">+AT139-AW139</f>
        <v>#NUM!</v>
      </c>
      <c r="BA139" s="427">
        <f t="shared" si="36"/>
        <v>33</v>
      </c>
      <c r="BB139" s="884">
        <f t="shared" si="37"/>
        <v>980</v>
      </c>
      <c r="BC139" s="121" t="b">
        <f>IF($N$36="Fixed",$N$42,IF($N$36="Variable",VLOOKUP(BB139,'Financing Constants'!$A$8:$L$148,$BB$179)+$N$41/10000))</f>
        <v>0</v>
      </c>
      <c r="BD139" s="229" t="e">
        <f t="shared" si="51"/>
        <v>#NUM!</v>
      </c>
      <c r="BE139" s="888" t="str">
        <f t="shared" ref="BE139:BE166" si="68">IF(BA139&lt;=$N$45,"IO","PP")</f>
        <v>PP</v>
      </c>
      <c r="BF139" s="229" t="e">
        <f t="shared" ref="BF139:BF166" si="69">IF(BE139="IO",BH139,PMT(BC139/12,$N$44*12-$N$45,-$Z$107))</f>
        <v>#NUM!</v>
      </c>
      <c r="BG139" s="229" t="e">
        <f t="shared" ref="BG139:BG166" si="70">IF(BE139="IO",0,BF139-BH139)</f>
        <v>#NUM!</v>
      </c>
      <c r="BH139" s="229" t="e">
        <f t="shared" ref="BH139:BH166" si="71">IF(BE139="PP",IPMT(BC139/12,BA139-$N$45,$N$44*12-$N$45,-$N$32),BD139*BC139/12)</f>
        <v>#NUM!</v>
      </c>
      <c r="BI139" s="229" t="e">
        <f t="shared" ref="BI139:BI166" si="72">+BD139-BG139</f>
        <v>#NUM!</v>
      </c>
      <c r="BK139" s="427">
        <f t="shared" si="38"/>
        <v>33</v>
      </c>
      <c r="BL139" s="884">
        <f t="shared" si="39"/>
        <v>980</v>
      </c>
      <c r="BM139" s="121" t="b">
        <f>IF($Q$36="Fixed",$Q$42,IF($Q$36="Variable",VLOOKUP(BL139,'Financing Constants'!$A$8:$L$148,$BL$179)+$Q$41/10000))</f>
        <v>0</v>
      </c>
      <c r="BN139" s="229" t="e">
        <f t="shared" si="52"/>
        <v>#NUM!</v>
      </c>
      <c r="BO139" s="888" t="str">
        <f t="shared" ref="BO139:BO166" si="73">IF(BK139&lt;=$Q$45,"IO","PP")</f>
        <v>PP</v>
      </c>
      <c r="BP139" s="229" t="e">
        <f t="shared" ref="BP139:BP166" si="74">IF(BO139="IO",BR139,PMT(BM139/12,$Q$44*12-$Q$45,-$Z$107))</f>
        <v>#NUM!</v>
      </c>
      <c r="BQ139" s="229" t="e">
        <f t="shared" ref="BQ139:BQ166" si="75">IF(BO139="IO",0,BP139-BR139)</f>
        <v>#NUM!</v>
      </c>
      <c r="BR139" s="229" t="e">
        <f t="shared" ref="BR139:BR166" si="76">IF(BO139="PP",IPMT(BM139/12,BK139-$Q$45,$Q$44*12-$Q$45,-$Q$32),BN139*BM139/12)</f>
        <v>#NUM!</v>
      </c>
      <c r="BS139" s="229" t="e">
        <f t="shared" ref="BS139:BS166" si="77">+BN139-BQ139</f>
        <v>#NUM!</v>
      </c>
      <c r="BU139" s="427">
        <f t="shared" si="40"/>
        <v>33</v>
      </c>
      <c r="BV139" s="884">
        <f t="shared" si="41"/>
        <v>980</v>
      </c>
      <c r="BW139" s="121" t="b">
        <f>IF($T$36="Fixed",$T$42,IF($T$36="Variable",VLOOKUP(BV139,'Financing Constants'!$A$8:$L$148,$BV$179)+$T$41/10000))</f>
        <v>0</v>
      </c>
      <c r="BX139" s="229" t="e">
        <f t="shared" si="53"/>
        <v>#NUM!</v>
      </c>
      <c r="BY139" s="888" t="str">
        <f t="shared" ref="BY139:BY166" si="78">IF(BU139&lt;=$T$45,"IO","PP")</f>
        <v>PP</v>
      </c>
      <c r="BZ139" s="229" t="e">
        <f t="shared" ref="BZ139:BZ166" si="79">IF(BY139="IO",CB139,PMT(BW139/12,$T$44*12-$T$45,-$Z$107))</f>
        <v>#NUM!</v>
      </c>
      <c r="CA139" s="229" t="e">
        <f t="shared" ref="CA139:CA166" si="80">IF(BY139="IO",0,BZ139-CB139)</f>
        <v>#NUM!</v>
      </c>
      <c r="CB139" s="229" t="e">
        <f t="shared" ref="CB139:CB166" si="81">IF(BY139="PP",IPMT(BW139/12,BU139-$T$45,$T$44*12-$T$45,-$T$32),BX139*BW139/12)</f>
        <v>#NUM!</v>
      </c>
      <c r="CC139" s="229" t="e">
        <f t="shared" ref="CC139:CC166" si="82">+BX139-CA139</f>
        <v>#NUM!</v>
      </c>
    </row>
    <row r="140" spans="1:81" ht="13.9" customHeight="1" x14ac:dyDescent="0.25">
      <c r="W140" s="427">
        <f t="shared" ref="W140:W166" si="83">+W139+1</f>
        <v>34</v>
      </c>
      <c r="X140" s="884">
        <f t="shared" ref="X140:X166" si="84">+X139+30</f>
        <v>1010</v>
      </c>
      <c r="Y140" s="121" t="b">
        <f>IF($E$36="Fixed",$E$42,IF($E$36="Variable",VLOOKUP(X140,'Financing Constants'!$A$8:$L$148,$X$179)+$E$41/10000))</f>
        <v>0</v>
      </c>
      <c r="Z140" s="229">
        <f t="shared" si="48"/>
        <v>11156581.458333306</v>
      </c>
      <c r="AA140" s="888" t="str">
        <f t="shared" si="31"/>
        <v>PP</v>
      </c>
      <c r="AB140" s="229">
        <f t="shared" si="54"/>
        <v>34117.986111111109</v>
      </c>
      <c r="AC140" s="229">
        <f t="shared" si="55"/>
        <v>34117.986111111109</v>
      </c>
      <c r="AD140" s="229">
        <f t="shared" si="56"/>
        <v>0</v>
      </c>
      <c r="AE140" s="229">
        <f t="shared" si="57"/>
        <v>11122463.472222194</v>
      </c>
      <c r="AG140" s="427">
        <f t="shared" ref="AG140:AG166" si="85">+AG139+1</f>
        <v>34</v>
      </c>
      <c r="AH140" s="884">
        <f t="shared" ref="AH140:AH166" si="86">+AH139+30</f>
        <v>1010</v>
      </c>
      <c r="AI140" s="121" t="b">
        <f>IF($H$36="Fixed",$H$42,IF($H$36="Variable",VLOOKUP(AH140,'Financing Constants'!$A$8:$L$148,$AH$179)+$H$41/10000))</f>
        <v>0</v>
      </c>
      <c r="AJ140" s="229" t="e">
        <f t="shared" si="49"/>
        <v>#NUM!</v>
      </c>
      <c r="AK140" s="888" t="str">
        <f t="shared" si="58"/>
        <v>PP</v>
      </c>
      <c r="AL140" s="229" t="e">
        <f t="shared" si="59"/>
        <v>#NUM!</v>
      </c>
      <c r="AM140" s="229" t="e">
        <f t="shared" si="60"/>
        <v>#NUM!</v>
      </c>
      <c r="AN140" s="229" t="e">
        <f t="shared" si="61"/>
        <v>#NUM!</v>
      </c>
      <c r="AO140" s="229" t="e">
        <f t="shared" si="62"/>
        <v>#NUM!</v>
      </c>
      <c r="AQ140" s="427">
        <f t="shared" ref="AQ140:AQ166" si="87">+AQ139+1</f>
        <v>34</v>
      </c>
      <c r="AR140" s="884">
        <f t="shared" ref="AR140:AR166" si="88">+AR139+30</f>
        <v>1010</v>
      </c>
      <c r="AS140" s="121" t="b">
        <f>IF($K$36="Fixed",$K$42,IF($K$36="Variable",VLOOKUP(AR140,'Financing Constants'!$A$8:$L$148,$AR$179)+$K$41/10000))</f>
        <v>0</v>
      </c>
      <c r="AT140" s="229" t="e">
        <f t="shared" si="50"/>
        <v>#NUM!</v>
      </c>
      <c r="AU140" s="888" t="str">
        <f t="shared" si="63"/>
        <v>PP</v>
      </c>
      <c r="AV140" s="229" t="e">
        <f t="shared" si="64"/>
        <v>#NUM!</v>
      </c>
      <c r="AW140" s="229" t="e">
        <f t="shared" si="65"/>
        <v>#NUM!</v>
      </c>
      <c r="AX140" s="229" t="e">
        <f t="shared" si="66"/>
        <v>#NUM!</v>
      </c>
      <c r="AY140" s="229" t="e">
        <f t="shared" si="67"/>
        <v>#NUM!</v>
      </c>
      <c r="BA140" s="427">
        <f t="shared" ref="BA140:BA166" si="89">+BA139+1</f>
        <v>34</v>
      </c>
      <c r="BB140" s="884">
        <f t="shared" ref="BB140:BB166" si="90">+BB139+30</f>
        <v>1010</v>
      </c>
      <c r="BC140" s="121" t="b">
        <f>IF($N$36="Fixed",$N$42,IF($N$36="Variable",VLOOKUP(BB140,'Financing Constants'!$A$8:$L$148,$BB$179)+$N$41/10000))</f>
        <v>0</v>
      </c>
      <c r="BD140" s="229" t="e">
        <f t="shared" si="51"/>
        <v>#NUM!</v>
      </c>
      <c r="BE140" s="888" t="str">
        <f t="shared" si="68"/>
        <v>PP</v>
      </c>
      <c r="BF140" s="229" t="e">
        <f t="shared" si="69"/>
        <v>#NUM!</v>
      </c>
      <c r="BG140" s="229" t="e">
        <f t="shared" si="70"/>
        <v>#NUM!</v>
      </c>
      <c r="BH140" s="229" t="e">
        <f t="shared" si="71"/>
        <v>#NUM!</v>
      </c>
      <c r="BI140" s="229" t="e">
        <f t="shared" si="72"/>
        <v>#NUM!</v>
      </c>
      <c r="BK140" s="427">
        <f t="shared" ref="BK140:BK166" si="91">+BK139+1</f>
        <v>34</v>
      </c>
      <c r="BL140" s="884">
        <f t="shared" ref="BL140:BL166" si="92">+BL139+30</f>
        <v>1010</v>
      </c>
      <c r="BM140" s="121" t="b">
        <f>IF($Q$36="Fixed",$Q$42,IF($Q$36="Variable",VLOOKUP(BL140,'Financing Constants'!$A$8:$L$148,$BL$179)+$Q$41/10000))</f>
        <v>0</v>
      </c>
      <c r="BN140" s="229" t="e">
        <f t="shared" si="52"/>
        <v>#NUM!</v>
      </c>
      <c r="BO140" s="888" t="str">
        <f t="shared" si="73"/>
        <v>PP</v>
      </c>
      <c r="BP140" s="229" t="e">
        <f t="shared" si="74"/>
        <v>#NUM!</v>
      </c>
      <c r="BQ140" s="229" t="e">
        <f t="shared" si="75"/>
        <v>#NUM!</v>
      </c>
      <c r="BR140" s="229" t="e">
        <f t="shared" si="76"/>
        <v>#NUM!</v>
      </c>
      <c r="BS140" s="229" t="e">
        <f t="shared" si="77"/>
        <v>#NUM!</v>
      </c>
      <c r="BU140" s="427">
        <f t="shared" ref="BU140:BU166" si="93">+BU139+1</f>
        <v>34</v>
      </c>
      <c r="BV140" s="884">
        <f t="shared" ref="BV140:BV166" si="94">+BV139+30</f>
        <v>1010</v>
      </c>
      <c r="BW140" s="121" t="b">
        <f>IF($T$36="Fixed",$T$42,IF($T$36="Variable",VLOOKUP(BV140,'Financing Constants'!$A$8:$L$148,$BV$179)+$T$41/10000))</f>
        <v>0</v>
      </c>
      <c r="BX140" s="229" t="e">
        <f t="shared" si="53"/>
        <v>#NUM!</v>
      </c>
      <c r="BY140" s="888" t="str">
        <f t="shared" si="78"/>
        <v>PP</v>
      </c>
      <c r="BZ140" s="229" t="e">
        <f t="shared" si="79"/>
        <v>#NUM!</v>
      </c>
      <c r="CA140" s="229" t="e">
        <f t="shared" si="80"/>
        <v>#NUM!</v>
      </c>
      <c r="CB140" s="229" t="e">
        <f t="shared" si="81"/>
        <v>#NUM!</v>
      </c>
      <c r="CC140" s="229" t="e">
        <f t="shared" si="82"/>
        <v>#NUM!</v>
      </c>
    </row>
    <row r="141" spans="1:81" ht="13.9" customHeight="1" x14ac:dyDescent="0.25">
      <c r="W141" s="427">
        <f t="shared" si="83"/>
        <v>35</v>
      </c>
      <c r="X141" s="884">
        <f t="shared" si="84"/>
        <v>1040</v>
      </c>
      <c r="Y141" s="121" t="b">
        <f>IF($E$36="Fixed",$E$42,IF($E$36="Variable",VLOOKUP(X141,'Financing Constants'!$A$8:$L$148,$X$179)+$E$41/10000))</f>
        <v>0</v>
      </c>
      <c r="Z141" s="229">
        <f t="shared" si="48"/>
        <v>11122463.472222194</v>
      </c>
      <c r="AA141" s="888" t="str">
        <f t="shared" si="31"/>
        <v>PP</v>
      </c>
      <c r="AB141" s="229">
        <f t="shared" si="54"/>
        <v>34117.986111111109</v>
      </c>
      <c r="AC141" s="229">
        <f t="shared" si="55"/>
        <v>34117.986111111109</v>
      </c>
      <c r="AD141" s="229">
        <f t="shared" si="56"/>
        <v>0</v>
      </c>
      <c r="AE141" s="229">
        <f t="shared" si="57"/>
        <v>11088345.486111082</v>
      </c>
      <c r="AG141" s="427">
        <f t="shared" si="85"/>
        <v>35</v>
      </c>
      <c r="AH141" s="884">
        <f t="shared" si="86"/>
        <v>1040</v>
      </c>
      <c r="AI141" s="121" t="b">
        <f>IF($H$36="Fixed",$H$42,IF($H$36="Variable",VLOOKUP(AH141,'Financing Constants'!$A$8:$L$148,$AH$179)+$H$41/10000))</f>
        <v>0</v>
      </c>
      <c r="AJ141" s="229" t="e">
        <f t="shared" si="49"/>
        <v>#NUM!</v>
      </c>
      <c r="AK141" s="888" t="str">
        <f t="shared" si="58"/>
        <v>PP</v>
      </c>
      <c r="AL141" s="229" t="e">
        <f t="shared" si="59"/>
        <v>#NUM!</v>
      </c>
      <c r="AM141" s="229" t="e">
        <f t="shared" si="60"/>
        <v>#NUM!</v>
      </c>
      <c r="AN141" s="229" t="e">
        <f t="shared" si="61"/>
        <v>#NUM!</v>
      </c>
      <c r="AO141" s="229" t="e">
        <f t="shared" si="62"/>
        <v>#NUM!</v>
      </c>
      <c r="AQ141" s="427">
        <f t="shared" si="87"/>
        <v>35</v>
      </c>
      <c r="AR141" s="884">
        <f t="shared" si="88"/>
        <v>1040</v>
      </c>
      <c r="AS141" s="121" t="b">
        <f>IF($K$36="Fixed",$K$42,IF($K$36="Variable",VLOOKUP(AR141,'Financing Constants'!$A$8:$L$148,$AR$179)+$K$41/10000))</f>
        <v>0</v>
      </c>
      <c r="AT141" s="229" t="e">
        <f t="shared" si="50"/>
        <v>#NUM!</v>
      </c>
      <c r="AU141" s="888" t="str">
        <f t="shared" si="63"/>
        <v>PP</v>
      </c>
      <c r="AV141" s="229" t="e">
        <f t="shared" si="64"/>
        <v>#NUM!</v>
      </c>
      <c r="AW141" s="229" t="e">
        <f t="shared" si="65"/>
        <v>#NUM!</v>
      </c>
      <c r="AX141" s="229" t="e">
        <f t="shared" si="66"/>
        <v>#NUM!</v>
      </c>
      <c r="AY141" s="229" t="e">
        <f t="shared" si="67"/>
        <v>#NUM!</v>
      </c>
      <c r="BA141" s="427">
        <f t="shared" si="89"/>
        <v>35</v>
      </c>
      <c r="BB141" s="884">
        <f t="shared" si="90"/>
        <v>1040</v>
      </c>
      <c r="BC141" s="121" t="b">
        <f>IF($N$36="Fixed",$N$42,IF($N$36="Variable",VLOOKUP(BB141,'Financing Constants'!$A$8:$L$148,$BB$179)+$N$41/10000))</f>
        <v>0</v>
      </c>
      <c r="BD141" s="229" t="e">
        <f t="shared" si="51"/>
        <v>#NUM!</v>
      </c>
      <c r="BE141" s="888" t="str">
        <f t="shared" si="68"/>
        <v>PP</v>
      </c>
      <c r="BF141" s="229" t="e">
        <f t="shared" si="69"/>
        <v>#NUM!</v>
      </c>
      <c r="BG141" s="229" t="e">
        <f t="shared" si="70"/>
        <v>#NUM!</v>
      </c>
      <c r="BH141" s="229" t="e">
        <f t="shared" si="71"/>
        <v>#NUM!</v>
      </c>
      <c r="BI141" s="229" t="e">
        <f t="shared" si="72"/>
        <v>#NUM!</v>
      </c>
      <c r="BK141" s="427">
        <f t="shared" si="91"/>
        <v>35</v>
      </c>
      <c r="BL141" s="884">
        <f t="shared" si="92"/>
        <v>1040</v>
      </c>
      <c r="BM141" s="121" t="b">
        <f>IF($Q$36="Fixed",$Q$42,IF($Q$36="Variable",VLOOKUP(BL141,'Financing Constants'!$A$8:$L$148,$BL$179)+$Q$41/10000))</f>
        <v>0</v>
      </c>
      <c r="BN141" s="229" t="e">
        <f t="shared" si="52"/>
        <v>#NUM!</v>
      </c>
      <c r="BO141" s="888" t="str">
        <f t="shared" si="73"/>
        <v>PP</v>
      </c>
      <c r="BP141" s="229" t="e">
        <f t="shared" si="74"/>
        <v>#NUM!</v>
      </c>
      <c r="BQ141" s="229" t="e">
        <f t="shared" si="75"/>
        <v>#NUM!</v>
      </c>
      <c r="BR141" s="229" t="e">
        <f t="shared" si="76"/>
        <v>#NUM!</v>
      </c>
      <c r="BS141" s="229" t="e">
        <f t="shared" si="77"/>
        <v>#NUM!</v>
      </c>
      <c r="BU141" s="427">
        <f t="shared" si="93"/>
        <v>35</v>
      </c>
      <c r="BV141" s="884">
        <f t="shared" si="94"/>
        <v>1040</v>
      </c>
      <c r="BW141" s="121" t="b">
        <f>IF($T$36="Fixed",$T$42,IF($T$36="Variable",VLOOKUP(BV141,'Financing Constants'!$A$8:$L$148,$BV$179)+$T$41/10000))</f>
        <v>0</v>
      </c>
      <c r="BX141" s="229" t="e">
        <f t="shared" si="53"/>
        <v>#NUM!</v>
      </c>
      <c r="BY141" s="888" t="str">
        <f t="shared" si="78"/>
        <v>PP</v>
      </c>
      <c r="BZ141" s="229" t="e">
        <f t="shared" si="79"/>
        <v>#NUM!</v>
      </c>
      <c r="CA141" s="229" t="e">
        <f t="shared" si="80"/>
        <v>#NUM!</v>
      </c>
      <c r="CB141" s="229" t="e">
        <f t="shared" si="81"/>
        <v>#NUM!</v>
      </c>
      <c r="CC141" s="229" t="e">
        <f t="shared" si="82"/>
        <v>#NUM!</v>
      </c>
    </row>
    <row r="142" spans="1:81" ht="13.9" customHeight="1" x14ac:dyDescent="0.25">
      <c r="W142" s="427">
        <f t="shared" si="83"/>
        <v>36</v>
      </c>
      <c r="X142" s="884">
        <f t="shared" si="84"/>
        <v>1070</v>
      </c>
      <c r="Y142" s="121" t="b">
        <f>IF($E$36="Fixed",$E$42,IF($E$36="Variable",VLOOKUP(X142,'Financing Constants'!$A$8:$L$148,$X$179)+$E$41/10000))</f>
        <v>0</v>
      </c>
      <c r="Z142" s="229">
        <f t="shared" si="48"/>
        <v>11088345.486111082</v>
      </c>
      <c r="AA142" s="888" t="str">
        <f t="shared" si="31"/>
        <v>PP</v>
      </c>
      <c r="AB142" s="229">
        <f t="shared" si="54"/>
        <v>34117.986111111109</v>
      </c>
      <c r="AC142" s="229">
        <f t="shared" si="55"/>
        <v>34117.986111111109</v>
      </c>
      <c r="AD142" s="229">
        <f t="shared" si="56"/>
        <v>0</v>
      </c>
      <c r="AE142" s="229">
        <f t="shared" si="57"/>
        <v>11054227.49999997</v>
      </c>
      <c r="AG142" s="427">
        <f t="shared" si="85"/>
        <v>36</v>
      </c>
      <c r="AH142" s="884">
        <f t="shared" si="86"/>
        <v>1070</v>
      </c>
      <c r="AI142" s="121" t="b">
        <f>IF($H$36="Fixed",$H$42,IF($H$36="Variable",VLOOKUP(AH142,'Financing Constants'!$A$8:$L$148,$AH$179)+$H$41/10000))</f>
        <v>0</v>
      </c>
      <c r="AJ142" s="229" t="e">
        <f t="shared" si="49"/>
        <v>#NUM!</v>
      </c>
      <c r="AK142" s="888" t="str">
        <f t="shared" si="58"/>
        <v>PP</v>
      </c>
      <c r="AL142" s="229" t="e">
        <f t="shared" si="59"/>
        <v>#NUM!</v>
      </c>
      <c r="AM142" s="229" t="e">
        <f t="shared" si="60"/>
        <v>#NUM!</v>
      </c>
      <c r="AN142" s="229" t="e">
        <f t="shared" si="61"/>
        <v>#NUM!</v>
      </c>
      <c r="AO142" s="229" t="e">
        <f t="shared" si="62"/>
        <v>#NUM!</v>
      </c>
      <c r="AQ142" s="427">
        <f t="shared" si="87"/>
        <v>36</v>
      </c>
      <c r="AR142" s="884">
        <f t="shared" si="88"/>
        <v>1070</v>
      </c>
      <c r="AS142" s="121" t="b">
        <f>IF($K$36="Fixed",$K$42,IF($K$36="Variable",VLOOKUP(AR142,'Financing Constants'!$A$8:$L$148,$AR$179)+$K$41/10000))</f>
        <v>0</v>
      </c>
      <c r="AT142" s="229" t="e">
        <f t="shared" si="50"/>
        <v>#NUM!</v>
      </c>
      <c r="AU142" s="888" t="str">
        <f t="shared" si="63"/>
        <v>PP</v>
      </c>
      <c r="AV142" s="229" t="e">
        <f t="shared" si="64"/>
        <v>#NUM!</v>
      </c>
      <c r="AW142" s="229" t="e">
        <f t="shared" si="65"/>
        <v>#NUM!</v>
      </c>
      <c r="AX142" s="229" t="e">
        <f t="shared" si="66"/>
        <v>#NUM!</v>
      </c>
      <c r="AY142" s="229" t="e">
        <f t="shared" si="67"/>
        <v>#NUM!</v>
      </c>
      <c r="BA142" s="427">
        <f t="shared" si="89"/>
        <v>36</v>
      </c>
      <c r="BB142" s="884">
        <f t="shared" si="90"/>
        <v>1070</v>
      </c>
      <c r="BC142" s="121" t="b">
        <f>IF($N$36="Fixed",$N$42,IF($N$36="Variable",VLOOKUP(BB142,'Financing Constants'!$A$8:$L$148,$BB$179)+$N$41/10000))</f>
        <v>0</v>
      </c>
      <c r="BD142" s="229" t="e">
        <f t="shared" si="51"/>
        <v>#NUM!</v>
      </c>
      <c r="BE142" s="888" t="str">
        <f t="shared" si="68"/>
        <v>PP</v>
      </c>
      <c r="BF142" s="229" t="e">
        <f t="shared" si="69"/>
        <v>#NUM!</v>
      </c>
      <c r="BG142" s="229" t="e">
        <f t="shared" si="70"/>
        <v>#NUM!</v>
      </c>
      <c r="BH142" s="229" t="e">
        <f t="shared" si="71"/>
        <v>#NUM!</v>
      </c>
      <c r="BI142" s="229" t="e">
        <f t="shared" si="72"/>
        <v>#NUM!</v>
      </c>
      <c r="BK142" s="427">
        <f t="shared" si="91"/>
        <v>36</v>
      </c>
      <c r="BL142" s="884">
        <f t="shared" si="92"/>
        <v>1070</v>
      </c>
      <c r="BM142" s="121" t="b">
        <f>IF($Q$36="Fixed",$Q$42,IF($Q$36="Variable",VLOOKUP(BL142,'Financing Constants'!$A$8:$L$148,$BL$179)+$Q$41/10000))</f>
        <v>0</v>
      </c>
      <c r="BN142" s="229" t="e">
        <f t="shared" si="52"/>
        <v>#NUM!</v>
      </c>
      <c r="BO142" s="888" t="str">
        <f t="shared" si="73"/>
        <v>PP</v>
      </c>
      <c r="BP142" s="229" t="e">
        <f t="shared" si="74"/>
        <v>#NUM!</v>
      </c>
      <c r="BQ142" s="229" t="e">
        <f t="shared" si="75"/>
        <v>#NUM!</v>
      </c>
      <c r="BR142" s="229" t="e">
        <f t="shared" si="76"/>
        <v>#NUM!</v>
      </c>
      <c r="BS142" s="229" t="e">
        <f t="shared" si="77"/>
        <v>#NUM!</v>
      </c>
      <c r="BU142" s="427">
        <f t="shared" si="93"/>
        <v>36</v>
      </c>
      <c r="BV142" s="884">
        <f t="shared" si="94"/>
        <v>1070</v>
      </c>
      <c r="BW142" s="121" t="b">
        <f>IF($T$36="Fixed",$T$42,IF($T$36="Variable",VLOOKUP(BV142,'Financing Constants'!$A$8:$L$148,$BV$179)+$T$41/10000))</f>
        <v>0</v>
      </c>
      <c r="BX142" s="229" t="e">
        <f t="shared" si="53"/>
        <v>#NUM!</v>
      </c>
      <c r="BY142" s="888" t="str">
        <f t="shared" si="78"/>
        <v>PP</v>
      </c>
      <c r="BZ142" s="229" t="e">
        <f t="shared" si="79"/>
        <v>#NUM!</v>
      </c>
      <c r="CA142" s="229" t="e">
        <f t="shared" si="80"/>
        <v>#NUM!</v>
      </c>
      <c r="CB142" s="229" t="e">
        <f t="shared" si="81"/>
        <v>#NUM!</v>
      </c>
      <c r="CC142" s="229" t="e">
        <f t="shared" si="82"/>
        <v>#NUM!</v>
      </c>
    </row>
    <row r="143" spans="1:81" ht="13.9" customHeight="1" x14ac:dyDescent="0.25">
      <c r="W143" s="321">
        <f t="shared" si="83"/>
        <v>37</v>
      </c>
      <c r="X143" s="889">
        <f t="shared" si="84"/>
        <v>1100</v>
      </c>
      <c r="Y143" s="890" t="b">
        <f>IF($E$36="Fixed",$E$42,IF($E$36="Variable",VLOOKUP(X143,'Financing Constants'!$A$8:$L$148,$X$179)+$E$41/10000))</f>
        <v>0</v>
      </c>
      <c r="Z143" s="891">
        <f t="shared" si="48"/>
        <v>11054227.49999997</v>
      </c>
      <c r="AA143" s="892" t="str">
        <f t="shared" si="31"/>
        <v>PP</v>
      </c>
      <c r="AB143" s="891">
        <f t="shared" si="54"/>
        <v>34117.986111111109</v>
      </c>
      <c r="AC143" s="891">
        <f t="shared" si="55"/>
        <v>34117.986111111109</v>
      </c>
      <c r="AD143" s="891">
        <f t="shared" si="56"/>
        <v>0</v>
      </c>
      <c r="AE143" s="891">
        <f t="shared" si="57"/>
        <v>11020109.513888858</v>
      </c>
      <c r="AG143" s="321">
        <f t="shared" si="85"/>
        <v>37</v>
      </c>
      <c r="AH143" s="889">
        <f t="shared" si="86"/>
        <v>1100</v>
      </c>
      <c r="AI143" s="890" t="b">
        <f>IF($H$36="Fixed",$H$42,IF($H$36="Variable",VLOOKUP(AH143,'Financing Constants'!$A$8:$L$148,$AH$179)+$H$41/10000))</f>
        <v>0</v>
      </c>
      <c r="AJ143" s="891" t="e">
        <f t="shared" si="49"/>
        <v>#NUM!</v>
      </c>
      <c r="AK143" s="892" t="str">
        <f t="shared" si="58"/>
        <v>PP</v>
      </c>
      <c r="AL143" s="891" t="e">
        <f t="shared" si="59"/>
        <v>#NUM!</v>
      </c>
      <c r="AM143" s="891" t="e">
        <f t="shared" si="60"/>
        <v>#NUM!</v>
      </c>
      <c r="AN143" s="891" t="e">
        <f t="shared" si="61"/>
        <v>#NUM!</v>
      </c>
      <c r="AO143" s="891" t="e">
        <f t="shared" si="62"/>
        <v>#NUM!</v>
      </c>
      <c r="AQ143" s="321">
        <f t="shared" si="87"/>
        <v>37</v>
      </c>
      <c r="AR143" s="889">
        <f t="shared" si="88"/>
        <v>1100</v>
      </c>
      <c r="AS143" s="890" t="b">
        <f>IF($K$36="Fixed",$K$42,IF($K$36="Variable",VLOOKUP(AR143,'Financing Constants'!$A$8:$L$148,$AR$179)+$K$41/10000))</f>
        <v>0</v>
      </c>
      <c r="AT143" s="891" t="e">
        <f t="shared" si="50"/>
        <v>#NUM!</v>
      </c>
      <c r="AU143" s="892" t="str">
        <f t="shared" si="63"/>
        <v>PP</v>
      </c>
      <c r="AV143" s="891" t="e">
        <f t="shared" si="64"/>
        <v>#NUM!</v>
      </c>
      <c r="AW143" s="891" t="e">
        <f t="shared" si="65"/>
        <v>#NUM!</v>
      </c>
      <c r="AX143" s="891" t="e">
        <f t="shared" si="66"/>
        <v>#NUM!</v>
      </c>
      <c r="AY143" s="891" t="e">
        <f t="shared" si="67"/>
        <v>#NUM!</v>
      </c>
      <c r="BA143" s="321">
        <f t="shared" si="89"/>
        <v>37</v>
      </c>
      <c r="BB143" s="889">
        <f t="shared" si="90"/>
        <v>1100</v>
      </c>
      <c r="BC143" s="890" t="b">
        <f>IF($N$36="Fixed",$N$42,IF($N$36="Variable",VLOOKUP(BB143,'Financing Constants'!$A$8:$L$148,$BB$179)+$N$41/10000))</f>
        <v>0</v>
      </c>
      <c r="BD143" s="891" t="e">
        <f t="shared" si="51"/>
        <v>#NUM!</v>
      </c>
      <c r="BE143" s="892" t="str">
        <f t="shared" si="68"/>
        <v>PP</v>
      </c>
      <c r="BF143" s="891" t="e">
        <f t="shared" si="69"/>
        <v>#NUM!</v>
      </c>
      <c r="BG143" s="891" t="e">
        <f t="shared" si="70"/>
        <v>#NUM!</v>
      </c>
      <c r="BH143" s="891" t="e">
        <f t="shared" si="71"/>
        <v>#NUM!</v>
      </c>
      <c r="BI143" s="891" t="e">
        <f t="shared" si="72"/>
        <v>#NUM!</v>
      </c>
      <c r="BK143" s="321">
        <f t="shared" si="91"/>
        <v>37</v>
      </c>
      <c r="BL143" s="889">
        <f t="shared" si="92"/>
        <v>1100</v>
      </c>
      <c r="BM143" s="121" t="b">
        <f>IF($Q$36="Fixed",$Q$42,IF($Q$36="Variable",VLOOKUP(BL143,'Financing Constants'!$A$8:$L$148,$BL$179)+$Q$41/10000))</f>
        <v>0</v>
      </c>
      <c r="BN143" s="891" t="e">
        <f t="shared" si="52"/>
        <v>#NUM!</v>
      </c>
      <c r="BO143" s="892" t="str">
        <f t="shared" si="73"/>
        <v>PP</v>
      </c>
      <c r="BP143" s="891" t="e">
        <f t="shared" si="74"/>
        <v>#NUM!</v>
      </c>
      <c r="BQ143" s="891" t="e">
        <f t="shared" si="75"/>
        <v>#NUM!</v>
      </c>
      <c r="BR143" s="891" t="e">
        <f t="shared" si="76"/>
        <v>#NUM!</v>
      </c>
      <c r="BS143" s="891" t="e">
        <f t="shared" si="77"/>
        <v>#NUM!</v>
      </c>
      <c r="BU143" s="321">
        <f t="shared" si="93"/>
        <v>37</v>
      </c>
      <c r="BV143" s="889">
        <f t="shared" si="94"/>
        <v>1100</v>
      </c>
      <c r="BW143" s="890" t="b">
        <f>IF($T$36="Fixed",$T$42,IF($T$36="Variable",VLOOKUP(BV143,'Financing Constants'!$A$8:$L$148,$BV$179)+$T$41/10000))</f>
        <v>0</v>
      </c>
      <c r="BX143" s="891" t="e">
        <f t="shared" si="53"/>
        <v>#NUM!</v>
      </c>
      <c r="BY143" s="892" t="str">
        <f t="shared" si="78"/>
        <v>PP</v>
      </c>
      <c r="BZ143" s="891" t="e">
        <f t="shared" si="79"/>
        <v>#NUM!</v>
      </c>
      <c r="CA143" s="891" t="e">
        <f t="shared" si="80"/>
        <v>#NUM!</v>
      </c>
      <c r="CB143" s="891" t="e">
        <f t="shared" si="81"/>
        <v>#NUM!</v>
      </c>
      <c r="CC143" s="891" t="e">
        <f t="shared" si="82"/>
        <v>#NUM!</v>
      </c>
    </row>
    <row r="144" spans="1:81" ht="13.9" customHeight="1" x14ac:dyDescent="0.25">
      <c r="W144" s="427">
        <f t="shared" si="83"/>
        <v>38</v>
      </c>
      <c r="X144" s="884">
        <f t="shared" si="84"/>
        <v>1130</v>
      </c>
      <c r="Y144" s="121" t="b">
        <f>IF($E$36="Fixed",$E$42,IF($E$36="Variable",VLOOKUP(X144,'Financing Constants'!$A$8:$L$148,$X$179)+$E$41/10000))</f>
        <v>0</v>
      </c>
      <c r="Z144" s="229">
        <f t="shared" si="48"/>
        <v>11020109.513888858</v>
      </c>
      <c r="AA144" s="888" t="str">
        <f t="shared" si="31"/>
        <v>PP</v>
      </c>
      <c r="AB144" s="229">
        <f t="shared" si="54"/>
        <v>34117.986111111109</v>
      </c>
      <c r="AC144" s="229">
        <f t="shared" si="55"/>
        <v>34117.986111111109</v>
      </c>
      <c r="AD144" s="229">
        <f t="shared" si="56"/>
        <v>0</v>
      </c>
      <c r="AE144" s="229">
        <f t="shared" si="57"/>
        <v>10985991.527777746</v>
      </c>
      <c r="AG144" s="427">
        <f t="shared" si="85"/>
        <v>38</v>
      </c>
      <c r="AH144" s="884">
        <f t="shared" si="86"/>
        <v>1130</v>
      </c>
      <c r="AI144" s="121" t="b">
        <f>IF($H$36="Fixed",$H$42,IF($H$36="Variable",VLOOKUP(AH144,'Financing Constants'!$A$8:$L$148,$AH$179)+$H$41/10000))</f>
        <v>0</v>
      </c>
      <c r="AJ144" s="229" t="e">
        <f t="shared" si="49"/>
        <v>#NUM!</v>
      </c>
      <c r="AK144" s="888" t="str">
        <f t="shared" si="58"/>
        <v>PP</v>
      </c>
      <c r="AL144" s="229" t="e">
        <f t="shared" si="59"/>
        <v>#NUM!</v>
      </c>
      <c r="AM144" s="229" t="e">
        <f t="shared" si="60"/>
        <v>#NUM!</v>
      </c>
      <c r="AN144" s="229" t="e">
        <f t="shared" si="61"/>
        <v>#NUM!</v>
      </c>
      <c r="AO144" s="229" t="e">
        <f t="shared" si="62"/>
        <v>#NUM!</v>
      </c>
      <c r="AQ144" s="427">
        <f t="shared" si="87"/>
        <v>38</v>
      </c>
      <c r="AR144" s="884">
        <f t="shared" si="88"/>
        <v>1130</v>
      </c>
      <c r="AS144" s="121" t="b">
        <f>IF($K$36="Fixed",$K$42,IF($K$36="Variable",VLOOKUP(AR144,'Financing Constants'!$A$8:$L$148,$AR$179)+$K$41/10000))</f>
        <v>0</v>
      </c>
      <c r="AT144" s="229" t="e">
        <f t="shared" si="50"/>
        <v>#NUM!</v>
      </c>
      <c r="AU144" s="888" t="str">
        <f t="shared" si="63"/>
        <v>PP</v>
      </c>
      <c r="AV144" s="229" t="e">
        <f t="shared" si="64"/>
        <v>#NUM!</v>
      </c>
      <c r="AW144" s="229" t="e">
        <f t="shared" si="65"/>
        <v>#NUM!</v>
      </c>
      <c r="AX144" s="229" t="e">
        <f t="shared" si="66"/>
        <v>#NUM!</v>
      </c>
      <c r="AY144" s="229" t="e">
        <f t="shared" si="67"/>
        <v>#NUM!</v>
      </c>
      <c r="BA144" s="427">
        <f t="shared" si="89"/>
        <v>38</v>
      </c>
      <c r="BB144" s="884">
        <f t="shared" si="90"/>
        <v>1130</v>
      </c>
      <c r="BC144" s="121" t="b">
        <f>IF($N$36="Fixed",$N$42,IF($N$36="Variable",VLOOKUP(BB144,'Financing Constants'!$A$8:$L$148,$BB$179)+$N$41/10000))</f>
        <v>0</v>
      </c>
      <c r="BD144" s="229" t="e">
        <f t="shared" si="51"/>
        <v>#NUM!</v>
      </c>
      <c r="BE144" s="888" t="str">
        <f t="shared" si="68"/>
        <v>PP</v>
      </c>
      <c r="BF144" s="229" t="e">
        <f t="shared" si="69"/>
        <v>#NUM!</v>
      </c>
      <c r="BG144" s="229" t="e">
        <f t="shared" si="70"/>
        <v>#NUM!</v>
      </c>
      <c r="BH144" s="229" t="e">
        <f t="shared" si="71"/>
        <v>#NUM!</v>
      </c>
      <c r="BI144" s="229" t="e">
        <f t="shared" si="72"/>
        <v>#NUM!</v>
      </c>
      <c r="BK144" s="427">
        <f t="shared" si="91"/>
        <v>38</v>
      </c>
      <c r="BL144" s="884">
        <f t="shared" si="92"/>
        <v>1130</v>
      </c>
      <c r="BM144" s="121" t="b">
        <f>IF($Q$36="Fixed",$Q$42,IF($Q$36="Variable",VLOOKUP(BL144,'Financing Constants'!$A$8:$L$148,$BL$179)+$Q$41/10000))</f>
        <v>0</v>
      </c>
      <c r="BN144" s="229" t="e">
        <f t="shared" si="52"/>
        <v>#NUM!</v>
      </c>
      <c r="BO144" s="888" t="str">
        <f t="shared" si="73"/>
        <v>PP</v>
      </c>
      <c r="BP144" s="229" t="e">
        <f t="shared" si="74"/>
        <v>#NUM!</v>
      </c>
      <c r="BQ144" s="229" t="e">
        <f t="shared" si="75"/>
        <v>#NUM!</v>
      </c>
      <c r="BR144" s="229" t="e">
        <f t="shared" si="76"/>
        <v>#NUM!</v>
      </c>
      <c r="BS144" s="229" t="e">
        <f t="shared" si="77"/>
        <v>#NUM!</v>
      </c>
      <c r="BU144" s="427">
        <f t="shared" si="93"/>
        <v>38</v>
      </c>
      <c r="BV144" s="884">
        <f t="shared" si="94"/>
        <v>1130</v>
      </c>
      <c r="BW144" s="121" t="b">
        <f>IF($T$36="Fixed",$T$42,IF($T$36="Variable",VLOOKUP(BV144,'Financing Constants'!$A$8:$L$148,$BV$179)+$T$41/10000))</f>
        <v>0</v>
      </c>
      <c r="BX144" s="229" t="e">
        <f t="shared" si="53"/>
        <v>#NUM!</v>
      </c>
      <c r="BY144" s="888" t="str">
        <f t="shared" si="78"/>
        <v>PP</v>
      </c>
      <c r="BZ144" s="229" t="e">
        <f t="shared" si="79"/>
        <v>#NUM!</v>
      </c>
      <c r="CA144" s="229" t="e">
        <f t="shared" si="80"/>
        <v>#NUM!</v>
      </c>
      <c r="CB144" s="229" t="e">
        <f t="shared" si="81"/>
        <v>#NUM!</v>
      </c>
      <c r="CC144" s="229" t="e">
        <f t="shared" si="82"/>
        <v>#NUM!</v>
      </c>
    </row>
    <row r="145" spans="23:81" ht="13.9" customHeight="1" x14ac:dyDescent="0.25">
      <c r="W145" s="427">
        <f t="shared" si="83"/>
        <v>39</v>
      </c>
      <c r="X145" s="884">
        <f t="shared" si="84"/>
        <v>1160</v>
      </c>
      <c r="Y145" s="121" t="b">
        <f>IF($E$36="Fixed",$E$42,IF($E$36="Variable",VLOOKUP(X145,'Financing Constants'!$A$8:$L$148,$X$179)+$E$41/10000))</f>
        <v>0</v>
      </c>
      <c r="Z145" s="229">
        <f t="shared" si="48"/>
        <v>10985991.527777746</v>
      </c>
      <c r="AA145" s="888" t="str">
        <f t="shared" si="31"/>
        <v>PP</v>
      </c>
      <c r="AB145" s="229">
        <f t="shared" si="54"/>
        <v>34117.986111111109</v>
      </c>
      <c r="AC145" s="229">
        <f t="shared" si="55"/>
        <v>34117.986111111109</v>
      </c>
      <c r="AD145" s="229">
        <f t="shared" si="56"/>
        <v>0</v>
      </c>
      <c r="AE145" s="229">
        <f t="shared" si="57"/>
        <v>10951873.541666634</v>
      </c>
      <c r="AG145" s="427">
        <f t="shared" si="85"/>
        <v>39</v>
      </c>
      <c r="AH145" s="884">
        <f t="shared" si="86"/>
        <v>1160</v>
      </c>
      <c r="AI145" s="121" t="b">
        <f>IF($H$36="Fixed",$H$42,IF($H$36="Variable",VLOOKUP(AH145,'Financing Constants'!$A$8:$L$148,$AH$179)+$H$41/10000))</f>
        <v>0</v>
      </c>
      <c r="AJ145" s="229" t="e">
        <f t="shared" si="49"/>
        <v>#NUM!</v>
      </c>
      <c r="AK145" s="888" t="str">
        <f t="shared" si="58"/>
        <v>PP</v>
      </c>
      <c r="AL145" s="229" t="e">
        <f t="shared" si="59"/>
        <v>#NUM!</v>
      </c>
      <c r="AM145" s="229" t="e">
        <f t="shared" si="60"/>
        <v>#NUM!</v>
      </c>
      <c r="AN145" s="229" t="e">
        <f t="shared" si="61"/>
        <v>#NUM!</v>
      </c>
      <c r="AO145" s="229" t="e">
        <f t="shared" si="62"/>
        <v>#NUM!</v>
      </c>
      <c r="AQ145" s="427">
        <f t="shared" si="87"/>
        <v>39</v>
      </c>
      <c r="AR145" s="884">
        <f t="shared" si="88"/>
        <v>1160</v>
      </c>
      <c r="AS145" s="121" t="b">
        <f>IF($K$36="Fixed",$K$42,IF($K$36="Variable",VLOOKUP(AR145,'Financing Constants'!$A$8:$L$148,$AR$179)+$K$41/10000))</f>
        <v>0</v>
      </c>
      <c r="AT145" s="229" t="e">
        <f t="shared" si="50"/>
        <v>#NUM!</v>
      </c>
      <c r="AU145" s="888" t="str">
        <f t="shared" si="63"/>
        <v>PP</v>
      </c>
      <c r="AV145" s="229" t="e">
        <f t="shared" si="64"/>
        <v>#NUM!</v>
      </c>
      <c r="AW145" s="229" t="e">
        <f t="shared" si="65"/>
        <v>#NUM!</v>
      </c>
      <c r="AX145" s="229" t="e">
        <f t="shared" si="66"/>
        <v>#NUM!</v>
      </c>
      <c r="AY145" s="229" t="e">
        <f t="shared" si="67"/>
        <v>#NUM!</v>
      </c>
      <c r="BA145" s="427">
        <f t="shared" si="89"/>
        <v>39</v>
      </c>
      <c r="BB145" s="884">
        <f t="shared" si="90"/>
        <v>1160</v>
      </c>
      <c r="BC145" s="121" t="b">
        <f>IF($N$36="Fixed",$N$42,IF($N$36="Variable",VLOOKUP(BB145,'Financing Constants'!$A$8:$L$148,$BB$179)+$N$41/10000))</f>
        <v>0</v>
      </c>
      <c r="BD145" s="229" t="e">
        <f t="shared" si="51"/>
        <v>#NUM!</v>
      </c>
      <c r="BE145" s="888" t="str">
        <f t="shared" si="68"/>
        <v>PP</v>
      </c>
      <c r="BF145" s="229" t="e">
        <f t="shared" si="69"/>
        <v>#NUM!</v>
      </c>
      <c r="BG145" s="229" t="e">
        <f t="shared" si="70"/>
        <v>#NUM!</v>
      </c>
      <c r="BH145" s="229" t="e">
        <f t="shared" si="71"/>
        <v>#NUM!</v>
      </c>
      <c r="BI145" s="229" t="e">
        <f t="shared" si="72"/>
        <v>#NUM!</v>
      </c>
      <c r="BK145" s="427">
        <f t="shared" si="91"/>
        <v>39</v>
      </c>
      <c r="BL145" s="884">
        <f t="shared" si="92"/>
        <v>1160</v>
      </c>
      <c r="BM145" s="121" t="b">
        <f>IF($Q$36="Fixed",$Q$42,IF($Q$36="Variable",VLOOKUP(BL145,'Financing Constants'!$A$8:$L$148,$BL$179)+$Q$41/10000))</f>
        <v>0</v>
      </c>
      <c r="BN145" s="229" t="e">
        <f t="shared" si="52"/>
        <v>#NUM!</v>
      </c>
      <c r="BO145" s="888" t="str">
        <f t="shared" si="73"/>
        <v>PP</v>
      </c>
      <c r="BP145" s="229" t="e">
        <f t="shared" si="74"/>
        <v>#NUM!</v>
      </c>
      <c r="BQ145" s="229" t="e">
        <f t="shared" si="75"/>
        <v>#NUM!</v>
      </c>
      <c r="BR145" s="229" t="e">
        <f t="shared" si="76"/>
        <v>#NUM!</v>
      </c>
      <c r="BS145" s="229" t="e">
        <f t="shared" si="77"/>
        <v>#NUM!</v>
      </c>
      <c r="BU145" s="427">
        <f t="shared" si="93"/>
        <v>39</v>
      </c>
      <c r="BV145" s="884">
        <f t="shared" si="94"/>
        <v>1160</v>
      </c>
      <c r="BW145" s="121" t="b">
        <f>IF($T$36="Fixed",$T$42,IF($T$36="Variable",VLOOKUP(BV145,'Financing Constants'!$A$8:$L$148,$BV$179)+$T$41/10000))</f>
        <v>0</v>
      </c>
      <c r="BX145" s="229" t="e">
        <f t="shared" si="53"/>
        <v>#NUM!</v>
      </c>
      <c r="BY145" s="888" t="str">
        <f t="shared" si="78"/>
        <v>PP</v>
      </c>
      <c r="BZ145" s="229" t="e">
        <f t="shared" si="79"/>
        <v>#NUM!</v>
      </c>
      <c r="CA145" s="229" t="e">
        <f t="shared" si="80"/>
        <v>#NUM!</v>
      </c>
      <c r="CB145" s="229" t="e">
        <f t="shared" si="81"/>
        <v>#NUM!</v>
      </c>
      <c r="CC145" s="229" t="e">
        <f t="shared" si="82"/>
        <v>#NUM!</v>
      </c>
    </row>
    <row r="146" spans="23:81" ht="13.9" customHeight="1" x14ac:dyDescent="0.25">
      <c r="W146" s="427">
        <f t="shared" si="83"/>
        <v>40</v>
      </c>
      <c r="X146" s="884">
        <f t="shared" si="84"/>
        <v>1190</v>
      </c>
      <c r="Y146" s="121" t="b">
        <f>IF($E$36="Fixed",$E$42,IF($E$36="Variable",VLOOKUP(X146,'Financing Constants'!$A$8:$L$148,$X$179)+$E$41/10000))</f>
        <v>0</v>
      </c>
      <c r="Z146" s="229">
        <f t="shared" si="48"/>
        <v>10951873.541666634</v>
      </c>
      <c r="AA146" s="888" t="str">
        <f t="shared" si="31"/>
        <v>PP</v>
      </c>
      <c r="AB146" s="229">
        <f t="shared" si="54"/>
        <v>34117.986111111109</v>
      </c>
      <c r="AC146" s="229">
        <f t="shared" si="55"/>
        <v>34117.986111111109</v>
      </c>
      <c r="AD146" s="229">
        <f t="shared" si="56"/>
        <v>0</v>
      </c>
      <c r="AE146" s="229">
        <f t="shared" si="57"/>
        <v>10917755.555555522</v>
      </c>
      <c r="AG146" s="427">
        <f t="shared" si="85"/>
        <v>40</v>
      </c>
      <c r="AH146" s="884">
        <f t="shared" si="86"/>
        <v>1190</v>
      </c>
      <c r="AI146" s="121" t="b">
        <f>IF($H$36="Fixed",$H$42,IF($H$36="Variable",VLOOKUP(AH146,'Financing Constants'!$A$8:$L$148,$AH$179)+$H$41/10000))</f>
        <v>0</v>
      </c>
      <c r="AJ146" s="229" t="e">
        <f t="shared" si="49"/>
        <v>#NUM!</v>
      </c>
      <c r="AK146" s="888" t="str">
        <f t="shared" si="58"/>
        <v>PP</v>
      </c>
      <c r="AL146" s="229" t="e">
        <f t="shared" si="59"/>
        <v>#NUM!</v>
      </c>
      <c r="AM146" s="229" t="e">
        <f t="shared" si="60"/>
        <v>#NUM!</v>
      </c>
      <c r="AN146" s="229" t="e">
        <f t="shared" si="61"/>
        <v>#NUM!</v>
      </c>
      <c r="AO146" s="229" t="e">
        <f t="shared" si="62"/>
        <v>#NUM!</v>
      </c>
      <c r="AQ146" s="427">
        <f t="shared" si="87"/>
        <v>40</v>
      </c>
      <c r="AR146" s="884">
        <f t="shared" si="88"/>
        <v>1190</v>
      </c>
      <c r="AS146" s="121" t="b">
        <f>IF($K$36="Fixed",$K$42,IF($K$36="Variable",VLOOKUP(AR146,'Financing Constants'!$A$8:$L$148,$AR$179)+$K$41/10000))</f>
        <v>0</v>
      </c>
      <c r="AT146" s="229" t="e">
        <f t="shared" si="50"/>
        <v>#NUM!</v>
      </c>
      <c r="AU146" s="888" t="str">
        <f t="shared" si="63"/>
        <v>PP</v>
      </c>
      <c r="AV146" s="229" t="e">
        <f t="shared" si="64"/>
        <v>#NUM!</v>
      </c>
      <c r="AW146" s="229" t="e">
        <f t="shared" si="65"/>
        <v>#NUM!</v>
      </c>
      <c r="AX146" s="229" t="e">
        <f t="shared" si="66"/>
        <v>#NUM!</v>
      </c>
      <c r="AY146" s="229" t="e">
        <f t="shared" si="67"/>
        <v>#NUM!</v>
      </c>
      <c r="BA146" s="427">
        <f t="shared" si="89"/>
        <v>40</v>
      </c>
      <c r="BB146" s="884">
        <f t="shared" si="90"/>
        <v>1190</v>
      </c>
      <c r="BC146" s="121" t="b">
        <f>IF($N$36="Fixed",$N$42,IF($N$36="Variable",VLOOKUP(BB146,'Financing Constants'!$A$8:$L$148,$BB$179)+$N$41/10000))</f>
        <v>0</v>
      </c>
      <c r="BD146" s="229" t="e">
        <f t="shared" si="51"/>
        <v>#NUM!</v>
      </c>
      <c r="BE146" s="888" t="str">
        <f t="shared" si="68"/>
        <v>PP</v>
      </c>
      <c r="BF146" s="229" t="e">
        <f t="shared" si="69"/>
        <v>#NUM!</v>
      </c>
      <c r="BG146" s="229" t="e">
        <f t="shared" si="70"/>
        <v>#NUM!</v>
      </c>
      <c r="BH146" s="229" t="e">
        <f t="shared" si="71"/>
        <v>#NUM!</v>
      </c>
      <c r="BI146" s="229" t="e">
        <f t="shared" si="72"/>
        <v>#NUM!</v>
      </c>
      <c r="BK146" s="427">
        <f t="shared" si="91"/>
        <v>40</v>
      </c>
      <c r="BL146" s="884">
        <f t="shared" si="92"/>
        <v>1190</v>
      </c>
      <c r="BM146" s="121" t="b">
        <f>IF($Q$36="Fixed",$Q$42,IF($Q$36="Variable",VLOOKUP(BL146,'Financing Constants'!$A$8:$L$148,$BL$179)+$Q$41/10000))</f>
        <v>0</v>
      </c>
      <c r="BN146" s="229" t="e">
        <f t="shared" si="52"/>
        <v>#NUM!</v>
      </c>
      <c r="BO146" s="888" t="str">
        <f t="shared" si="73"/>
        <v>PP</v>
      </c>
      <c r="BP146" s="229" t="e">
        <f t="shared" si="74"/>
        <v>#NUM!</v>
      </c>
      <c r="BQ146" s="229" t="e">
        <f t="shared" si="75"/>
        <v>#NUM!</v>
      </c>
      <c r="BR146" s="229" t="e">
        <f t="shared" si="76"/>
        <v>#NUM!</v>
      </c>
      <c r="BS146" s="229" t="e">
        <f t="shared" si="77"/>
        <v>#NUM!</v>
      </c>
      <c r="BU146" s="427">
        <f t="shared" si="93"/>
        <v>40</v>
      </c>
      <c r="BV146" s="884">
        <f t="shared" si="94"/>
        <v>1190</v>
      </c>
      <c r="BW146" s="121" t="b">
        <f>IF($T$36="Fixed",$T$42,IF($T$36="Variable",VLOOKUP(BV146,'Financing Constants'!$A$8:$L$148,$BV$179)+$T$41/10000))</f>
        <v>0</v>
      </c>
      <c r="BX146" s="229" t="e">
        <f t="shared" si="53"/>
        <v>#NUM!</v>
      </c>
      <c r="BY146" s="888" t="str">
        <f t="shared" si="78"/>
        <v>PP</v>
      </c>
      <c r="BZ146" s="229" t="e">
        <f t="shared" si="79"/>
        <v>#NUM!</v>
      </c>
      <c r="CA146" s="229" t="e">
        <f t="shared" si="80"/>
        <v>#NUM!</v>
      </c>
      <c r="CB146" s="229" t="e">
        <f t="shared" si="81"/>
        <v>#NUM!</v>
      </c>
      <c r="CC146" s="229" t="e">
        <f t="shared" si="82"/>
        <v>#NUM!</v>
      </c>
    </row>
    <row r="147" spans="23:81" ht="13.9" customHeight="1" x14ac:dyDescent="0.25">
      <c r="W147" s="427">
        <f t="shared" si="83"/>
        <v>41</v>
      </c>
      <c r="X147" s="884">
        <f t="shared" si="84"/>
        <v>1220</v>
      </c>
      <c r="Y147" s="121" t="b">
        <f>IF($E$36="Fixed",$E$42,IF($E$36="Variable",VLOOKUP(X147,'Financing Constants'!$A$8:$L$148,$X$179)+$E$41/10000))</f>
        <v>0</v>
      </c>
      <c r="Z147" s="229">
        <f t="shared" si="48"/>
        <v>10917755.555555522</v>
      </c>
      <c r="AA147" s="888" t="str">
        <f t="shared" si="31"/>
        <v>PP</v>
      </c>
      <c r="AB147" s="229">
        <f t="shared" si="54"/>
        <v>34117.986111111109</v>
      </c>
      <c r="AC147" s="229">
        <f t="shared" si="55"/>
        <v>34117.986111111109</v>
      </c>
      <c r="AD147" s="229">
        <f t="shared" si="56"/>
        <v>0</v>
      </c>
      <c r="AE147" s="229">
        <f t="shared" si="57"/>
        <v>10883637.569444411</v>
      </c>
      <c r="AG147" s="427">
        <f t="shared" si="85"/>
        <v>41</v>
      </c>
      <c r="AH147" s="884">
        <f t="shared" si="86"/>
        <v>1220</v>
      </c>
      <c r="AI147" s="121" t="b">
        <f>IF($H$36="Fixed",$H$42,IF($H$36="Variable",VLOOKUP(AH147,'Financing Constants'!$A$8:$L$148,$AH$179)+$H$41/10000))</f>
        <v>0</v>
      </c>
      <c r="AJ147" s="229" t="e">
        <f t="shared" si="49"/>
        <v>#NUM!</v>
      </c>
      <c r="AK147" s="888" t="str">
        <f t="shared" si="58"/>
        <v>PP</v>
      </c>
      <c r="AL147" s="229" t="e">
        <f t="shared" si="59"/>
        <v>#NUM!</v>
      </c>
      <c r="AM147" s="229" t="e">
        <f t="shared" si="60"/>
        <v>#NUM!</v>
      </c>
      <c r="AN147" s="229" t="e">
        <f t="shared" si="61"/>
        <v>#NUM!</v>
      </c>
      <c r="AO147" s="229" t="e">
        <f t="shared" si="62"/>
        <v>#NUM!</v>
      </c>
      <c r="AQ147" s="427">
        <f t="shared" si="87"/>
        <v>41</v>
      </c>
      <c r="AR147" s="884">
        <f t="shared" si="88"/>
        <v>1220</v>
      </c>
      <c r="AS147" s="121" t="b">
        <f>IF($K$36="Fixed",$K$42,IF($K$36="Variable",VLOOKUP(AR147,'Financing Constants'!$A$8:$L$148,$AR$179)+$K$41/10000))</f>
        <v>0</v>
      </c>
      <c r="AT147" s="229" t="e">
        <f t="shared" si="50"/>
        <v>#NUM!</v>
      </c>
      <c r="AU147" s="888" t="str">
        <f t="shared" si="63"/>
        <v>PP</v>
      </c>
      <c r="AV147" s="229" t="e">
        <f t="shared" si="64"/>
        <v>#NUM!</v>
      </c>
      <c r="AW147" s="229" t="e">
        <f t="shared" si="65"/>
        <v>#NUM!</v>
      </c>
      <c r="AX147" s="229" t="e">
        <f t="shared" si="66"/>
        <v>#NUM!</v>
      </c>
      <c r="AY147" s="229" t="e">
        <f t="shared" si="67"/>
        <v>#NUM!</v>
      </c>
      <c r="BA147" s="427">
        <f t="shared" si="89"/>
        <v>41</v>
      </c>
      <c r="BB147" s="884">
        <f t="shared" si="90"/>
        <v>1220</v>
      </c>
      <c r="BC147" s="121" t="b">
        <f>IF($N$36="Fixed",$N$42,IF($N$36="Variable",VLOOKUP(BB147,'Financing Constants'!$A$8:$L$148,$BB$179)+$N$41/10000))</f>
        <v>0</v>
      </c>
      <c r="BD147" s="229" t="e">
        <f t="shared" si="51"/>
        <v>#NUM!</v>
      </c>
      <c r="BE147" s="888" t="str">
        <f t="shared" si="68"/>
        <v>PP</v>
      </c>
      <c r="BF147" s="229" t="e">
        <f t="shared" si="69"/>
        <v>#NUM!</v>
      </c>
      <c r="BG147" s="229" t="e">
        <f t="shared" si="70"/>
        <v>#NUM!</v>
      </c>
      <c r="BH147" s="229" t="e">
        <f t="shared" si="71"/>
        <v>#NUM!</v>
      </c>
      <c r="BI147" s="229" t="e">
        <f t="shared" si="72"/>
        <v>#NUM!</v>
      </c>
      <c r="BK147" s="427">
        <f t="shared" si="91"/>
        <v>41</v>
      </c>
      <c r="BL147" s="884">
        <f t="shared" si="92"/>
        <v>1220</v>
      </c>
      <c r="BM147" s="121" t="b">
        <f>IF($Q$36="Fixed",$Q$42,IF($Q$36="Variable",VLOOKUP(BL147,'Financing Constants'!$A$8:$L$148,$BL$179)+$Q$41/10000))</f>
        <v>0</v>
      </c>
      <c r="BN147" s="229" t="e">
        <f t="shared" si="52"/>
        <v>#NUM!</v>
      </c>
      <c r="BO147" s="888" t="str">
        <f t="shared" si="73"/>
        <v>PP</v>
      </c>
      <c r="BP147" s="229" t="e">
        <f t="shared" si="74"/>
        <v>#NUM!</v>
      </c>
      <c r="BQ147" s="229" t="e">
        <f t="shared" si="75"/>
        <v>#NUM!</v>
      </c>
      <c r="BR147" s="229" t="e">
        <f t="shared" si="76"/>
        <v>#NUM!</v>
      </c>
      <c r="BS147" s="229" t="e">
        <f t="shared" si="77"/>
        <v>#NUM!</v>
      </c>
      <c r="BU147" s="427">
        <f t="shared" si="93"/>
        <v>41</v>
      </c>
      <c r="BV147" s="884">
        <f t="shared" si="94"/>
        <v>1220</v>
      </c>
      <c r="BW147" s="121" t="b">
        <f>IF($T$36="Fixed",$T$42,IF($T$36="Variable",VLOOKUP(BV147,'Financing Constants'!$A$8:$L$148,$BV$179)+$T$41/10000))</f>
        <v>0</v>
      </c>
      <c r="BX147" s="229" t="e">
        <f t="shared" si="53"/>
        <v>#NUM!</v>
      </c>
      <c r="BY147" s="888" t="str">
        <f t="shared" si="78"/>
        <v>PP</v>
      </c>
      <c r="BZ147" s="229" t="e">
        <f t="shared" si="79"/>
        <v>#NUM!</v>
      </c>
      <c r="CA147" s="229" t="e">
        <f t="shared" si="80"/>
        <v>#NUM!</v>
      </c>
      <c r="CB147" s="229" t="e">
        <f t="shared" si="81"/>
        <v>#NUM!</v>
      </c>
      <c r="CC147" s="229" t="e">
        <f t="shared" si="82"/>
        <v>#NUM!</v>
      </c>
    </row>
    <row r="148" spans="23:81" ht="13.9" customHeight="1" x14ac:dyDescent="0.25">
      <c r="W148" s="427">
        <f t="shared" si="83"/>
        <v>42</v>
      </c>
      <c r="X148" s="884">
        <f t="shared" si="84"/>
        <v>1250</v>
      </c>
      <c r="Y148" s="121" t="b">
        <f>IF($E$36="Fixed",$E$42,IF($E$36="Variable",VLOOKUP(X148,'Financing Constants'!$A$8:$L$148,$X$179)+$E$41/10000))</f>
        <v>0</v>
      </c>
      <c r="Z148" s="229">
        <f t="shared" si="48"/>
        <v>10883637.569444411</v>
      </c>
      <c r="AA148" s="888" t="str">
        <f t="shared" si="31"/>
        <v>PP</v>
      </c>
      <c r="AB148" s="229">
        <f t="shared" si="54"/>
        <v>34117.986111111109</v>
      </c>
      <c r="AC148" s="229">
        <f t="shared" si="55"/>
        <v>34117.986111111109</v>
      </c>
      <c r="AD148" s="229">
        <f t="shared" si="56"/>
        <v>0</v>
      </c>
      <c r="AE148" s="229">
        <f t="shared" si="57"/>
        <v>10849519.583333299</v>
      </c>
      <c r="AG148" s="427">
        <f t="shared" si="85"/>
        <v>42</v>
      </c>
      <c r="AH148" s="884">
        <f t="shared" si="86"/>
        <v>1250</v>
      </c>
      <c r="AI148" s="121" t="b">
        <f>IF($H$36="Fixed",$H$42,IF($H$36="Variable",VLOOKUP(AH148,'Financing Constants'!$A$8:$L$148,$AH$179)+$H$41/10000))</f>
        <v>0</v>
      </c>
      <c r="AJ148" s="229" t="e">
        <f t="shared" si="49"/>
        <v>#NUM!</v>
      </c>
      <c r="AK148" s="888" t="str">
        <f t="shared" si="58"/>
        <v>PP</v>
      </c>
      <c r="AL148" s="229" t="e">
        <f t="shared" si="59"/>
        <v>#NUM!</v>
      </c>
      <c r="AM148" s="229" t="e">
        <f t="shared" si="60"/>
        <v>#NUM!</v>
      </c>
      <c r="AN148" s="229" t="e">
        <f t="shared" si="61"/>
        <v>#NUM!</v>
      </c>
      <c r="AO148" s="229" t="e">
        <f t="shared" si="62"/>
        <v>#NUM!</v>
      </c>
      <c r="AQ148" s="427">
        <f t="shared" si="87"/>
        <v>42</v>
      </c>
      <c r="AR148" s="884">
        <f t="shared" si="88"/>
        <v>1250</v>
      </c>
      <c r="AS148" s="121" t="b">
        <f>IF($K$36="Fixed",$K$42,IF($K$36="Variable",VLOOKUP(AR148,'Financing Constants'!$A$8:$L$148,$AR$179)+$K$41/10000))</f>
        <v>0</v>
      </c>
      <c r="AT148" s="229" t="e">
        <f t="shared" si="50"/>
        <v>#NUM!</v>
      </c>
      <c r="AU148" s="888" t="str">
        <f t="shared" si="63"/>
        <v>PP</v>
      </c>
      <c r="AV148" s="229" t="e">
        <f t="shared" si="64"/>
        <v>#NUM!</v>
      </c>
      <c r="AW148" s="229" t="e">
        <f t="shared" si="65"/>
        <v>#NUM!</v>
      </c>
      <c r="AX148" s="229" t="e">
        <f t="shared" si="66"/>
        <v>#NUM!</v>
      </c>
      <c r="AY148" s="229" t="e">
        <f t="shared" si="67"/>
        <v>#NUM!</v>
      </c>
      <c r="BA148" s="427">
        <f t="shared" si="89"/>
        <v>42</v>
      </c>
      <c r="BB148" s="884">
        <f t="shared" si="90"/>
        <v>1250</v>
      </c>
      <c r="BC148" s="121" t="b">
        <f>IF($N$36="Fixed",$N$42,IF($N$36="Variable",VLOOKUP(BB148,'Financing Constants'!$A$8:$L$148,$BB$179)+$N$41/10000))</f>
        <v>0</v>
      </c>
      <c r="BD148" s="229" t="e">
        <f t="shared" si="51"/>
        <v>#NUM!</v>
      </c>
      <c r="BE148" s="888" t="str">
        <f t="shared" si="68"/>
        <v>PP</v>
      </c>
      <c r="BF148" s="229" t="e">
        <f t="shared" si="69"/>
        <v>#NUM!</v>
      </c>
      <c r="BG148" s="229" t="e">
        <f t="shared" si="70"/>
        <v>#NUM!</v>
      </c>
      <c r="BH148" s="229" t="e">
        <f t="shared" si="71"/>
        <v>#NUM!</v>
      </c>
      <c r="BI148" s="229" t="e">
        <f t="shared" si="72"/>
        <v>#NUM!</v>
      </c>
      <c r="BK148" s="427">
        <f t="shared" si="91"/>
        <v>42</v>
      </c>
      <c r="BL148" s="884">
        <f t="shared" si="92"/>
        <v>1250</v>
      </c>
      <c r="BM148" s="121" t="b">
        <f>IF($Q$36="Fixed",$Q$42,IF($Q$36="Variable",VLOOKUP(BL148,'Financing Constants'!$A$8:$L$148,$BL$179)+$Q$41/10000))</f>
        <v>0</v>
      </c>
      <c r="BN148" s="229" t="e">
        <f t="shared" si="52"/>
        <v>#NUM!</v>
      </c>
      <c r="BO148" s="888" t="str">
        <f t="shared" si="73"/>
        <v>PP</v>
      </c>
      <c r="BP148" s="229" t="e">
        <f t="shared" si="74"/>
        <v>#NUM!</v>
      </c>
      <c r="BQ148" s="229" t="e">
        <f t="shared" si="75"/>
        <v>#NUM!</v>
      </c>
      <c r="BR148" s="229" t="e">
        <f t="shared" si="76"/>
        <v>#NUM!</v>
      </c>
      <c r="BS148" s="229" t="e">
        <f t="shared" si="77"/>
        <v>#NUM!</v>
      </c>
      <c r="BU148" s="427">
        <f t="shared" si="93"/>
        <v>42</v>
      </c>
      <c r="BV148" s="884">
        <f t="shared" si="94"/>
        <v>1250</v>
      </c>
      <c r="BW148" s="121" t="b">
        <f>IF($T$36="Fixed",$T$42,IF($T$36="Variable",VLOOKUP(BV148,'Financing Constants'!$A$8:$L$148,$BV$179)+$T$41/10000))</f>
        <v>0</v>
      </c>
      <c r="BX148" s="229" t="e">
        <f t="shared" si="53"/>
        <v>#NUM!</v>
      </c>
      <c r="BY148" s="888" t="str">
        <f t="shared" si="78"/>
        <v>PP</v>
      </c>
      <c r="BZ148" s="229" t="e">
        <f t="shared" si="79"/>
        <v>#NUM!</v>
      </c>
      <c r="CA148" s="229" t="e">
        <f t="shared" si="80"/>
        <v>#NUM!</v>
      </c>
      <c r="CB148" s="229" t="e">
        <f t="shared" si="81"/>
        <v>#NUM!</v>
      </c>
      <c r="CC148" s="229" t="e">
        <f t="shared" si="82"/>
        <v>#NUM!</v>
      </c>
    </row>
    <row r="149" spans="23:81" ht="13.9" customHeight="1" x14ac:dyDescent="0.25">
      <c r="W149" s="427">
        <f t="shared" si="83"/>
        <v>43</v>
      </c>
      <c r="X149" s="884">
        <f t="shared" si="84"/>
        <v>1280</v>
      </c>
      <c r="Y149" s="121" t="b">
        <f>IF($E$36="Fixed",$E$42,IF($E$36="Variable",VLOOKUP(X149,'Financing Constants'!$A$8:$L$148,$X$179)+$E$41/10000))</f>
        <v>0</v>
      </c>
      <c r="Z149" s="229">
        <f t="shared" ref="Z149:Z166" si="95">+AE148</f>
        <v>10849519.583333299</v>
      </c>
      <c r="AA149" s="888" t="str">
        <f t="shared" si="31"/>
        <v>PP</v>
      </c>
      <c r="AB149" s="229">
        <f t="shared" si="54"/>
        <v>34117.986111111109</v>
      </c>
      <c r="AC149" s="229">
        <f t="shared" si="55"/>
        <v>34117.986111111109</v>
      </c>
      <c r="AD149" s="229">
        <f t="shared" si="56"/>
        <v>0</v>
      </c>
      <c r="AE149" s="229">
        <f t="shared" si="57"/>
        <v>10815401.597222187</v>
      </c>
      <c r="AG149" s="427">
        <f t="shared" si="85"/>
        <v>43</v>
      </c>
      <c r="AH149" s="884">
        <f t="shared" si="86"/>
        <v>1280</v>
      </c>
      <c r="AI149" s="121" t="b">
        <f>IF($H$36="Fixed",$H$42,IF($H$36="Variable",VLOOKUP(AH149,'Financing Constants'!$A$8:$L$148,$AH$179)+$H$41/10000))</f>
        <v>0</v>
      </c>
      <c r="AJ149" s="229" t="e">
        <f t="shared" ref="AJ149:AJ166" si="96">+AO148</f>
        <v>#NUM!</v>
      </c>
      <c r="AK149" s="888" t="str">
        <f t="shared" si="58"/>
        <v>PP</v>
      </c>
      <c r="AL149" s="229" t="e">
        <f t="shared" si="59"/>
        <v>#NUM!</v>
      </c>
      <c r="AM149" s="229" t="e">
        <f t="shared" si="60"/>
        <v>#NUM!</v>
      </c>
      <c r="AN149" s="229" t="e">
        <f t="shared" si="61"/>
        <v>#NUM!</v>
      </c>
      <c r="AO149" s="229" t="e">
        <f t="shared" si="62"/>
        <v>#NUM!</v>
      </c>
      <c r="AQ149" s="427">
        <f t="shared" si="87"/>
        <v>43</v>
      </c>
      <c r="AR149" s="884">
        <f t="shared" si="88"/>
        <v>1280</v>
      </c>
      <c r="AS149" s="121" t="b">
        <f>IF($K$36="Fixed",$K$42,IF($K$36="Variable",VLOOKUP(AR149,'Financing Constants'!$A$8:$L$148,$AR$179)+$K$41/10000))</f>
        <v>0</v>
      </c>
      <c r="AT149" s="229" t="e">
        <f t="shared" ref="AT149:AT166" si="97">+AY148</f>
        <v>#NUM!</v>
      </c>
      <c r="AU149" s="888" t="str">
        <f t="shared" si="63"/>
        <v>PP</v>
      </c>
      <c r="AV149" s="229" t="e">
        <f t="shared" si="64"/>
        <v>#NUM!</v>
      </c>
      <c r="AW149" s="229" t="e">
        <f t="shared" si="65"/>
        <v>#NUM!</v>
      </c>
      <c r="AX149" s="229" t="e">
        <f t="shared" si="66"/>
        <v>#NUM!</v>
      </c>
      <c r="AY149" s="229" t="e">
        <f t="shared" si="67"/>
        <v>#NUM!</v>
      </c>
      <c r="BA149" s="427">
        <f t="shared" si="89"/>
        <v>43</v>
      </c>
      <c r="BB149" s="884">
        <f t="shared" si="90"/>
        <v>1280</v>
      </c>
      <c r="BC149" s="121" t="b">
        <f>IF($N$36="Fixed",$N$42,IF($N$36="Variable",VLOOKUP(BB149,'Financing Constants'!$A$8:$L$148,$BB$179)+$N$41/10000))</f>
        <v>0</v>
      </c>
      <c r="BD149" s="229" t="e">
        <f t="shared" ref="BD149:BD166" si="98">+BI148</f>
        <v>#NUM!</v>
      </c>
      <c r="BE149" s="888" t="str">
        <f t="shared" si="68"/>
        <v>PP</v>
      </c>
      <c r="BF149" s="229" t="e">
        <f t="shared" si="69"/>
        <v>#NUM!</v>
      </c>
      <c r="BG149" s="229" t="e">
        <f t="shared" si="70"/>
        <v>#NUM!</v>
      </c>
      <c r="BH149" s="229" t="e">
        <f t="shared" si="71"/>
        <v>#NUM!</v>
      </c>
      <c r="BI149" s="229" t="e">
        <f t="shared" si="72"/>
        <v>#NUM!</v>
      </c>
      <c r="BK149" s="427">
        <f t="shared" si="91"/>
        <v>43</v>
      </c>
      <c r="BL149" s="884">
        <f t="shared" si="92"/>
        <v>1280</v>
      </c>
      <c r="BM149" s="121" t="b">
        <f>IF($Q$36="Fixed",$Q$42,IF($Q$36="Variable",VLOOKUP(BL149,'Financing Constants'!$A$8:$L$148,$BL$179)+$Q$41/10000))</f>
        <v>0</v>
      </c>
      <c r="BN149" s="229" t="e">
        <f t="shared" ref="BN149:BN166" si="99">+BS148</f>
        <v>#NUM!</v>
      </c>
      <c r="BO149" s="888" t="str">
        <f t="shared" si="73"/>
        <v>PP</v>
      </c>
      <c r="BP149" s="229" t="e">
        <f t="shared" si="74"/>
        <v>#NUM!</v>
      </c>
      <c r="BQ149" s="229" t="e">
        <f t="shared" si="75"/>
        <v>#NUM!</v>
      </c>
      <c r="BR149" s="229" t="e">
        <f t="shared" si="76"/>
        <v>#NUM!</v>
      </c>
      <c r="BS149" s="229" t="e">
        <f t="shared" si="77"/>
        <v>#NUM!</v>
      </c>
      <c r="BU149" s="427">
        <f t="shared" si="93"/>
        <v>43</v>
      </c>
      <c r="BV149" s="884">
        <f t="shared" si="94"/>
        <v>1280</v>
      </c>
      <c r="BW149" s="121" t="b">
        <f>IF($T$36="Fixed",$T$42,IF($T$36="Variable",VLOOKUP(BV149,'Financing Constants'!$A$8:$L$148,$BV$179)+$T$41/10000))</f>
        <v>0</v>
      </c>
      <c r="BX149" s="229" t="e">
        <f t="shared" ref="BX149:BX166" si="100">+CC148</f>
        <v>#NUM!</v>
      </c>
      <c r="BY149" s="888" t="str">
        <f t="shared" si="78"/>
        <v>PP</v>
      </c>
      <c r="BZ149" s="229" t="e">
        <f t="shared" si="79"/>
        <v>#NUM!</v>
      </c>
      <c r="CA149" s="229" t="e">
        <f t="shared" si="80"/>
        <v>#NUM!</v>
      </c>
      <c r="CB149" s="229" t="e">
        <f t="shared" si="81"/>
        <v>#NUM!</v>
      </c>
      <c r="CC149" s="229" t="e">
        <f t="shared" si="82"/>
        <v>#NUM!</v>
      </c>
    </row>
    <row r="150" spans="23:81" ht="13.9" customHeight="1" x14ac:dyDescent="0.25">
      <c r="W150" s="427">
        <f t="shared" si="83"/>
        <v>44</v>
      </c>
      <c r="X150" s="884">
        <f t="shared" si="84"/>
        <v>1310</v>
      </c>
      <c r="Y150" s="121" t="b">
        <f>IF($E$36="Fixed",$E$42,IF($E$36="Variable",VLOOKUP(X150,'Financing Constants'!$A$8:$L$148,$X$179)+$E$41/10000))</f>
        <v>0</v>
      </c>
      <c r="Z150" s="229">
        <f t="shared" si="95"/>
        <v>10815401.597222187</v>
      </c>
      <c r="AA150" s="888" t="str">
        <f t="shared" si="31"/>
        <v>PP</v>
      </c>
      <c r="AB150" s="229">
        <f t="shared" si="54"/>
        <v>34117.986111111109</v>
      </c>
      <c r="AC150" s="229">
        <f t="shared" si="55"/>
        <v>34117.986111111109</v>
      </c>
      <c r="AD150" s="229">
        <f t="shared" si="56"/>
        <v>0</v>
      </c>
      <c r="AE150" s="229">
        <f t="shared" si="57"/>
        <v>10781283.611111075</v>
      </c>
      <c r="AG150" s="427">
        <f t="shared" si="85"/>
        <v>44</v>
      </c>
      <c r="AH150" s="884">
        <f t="shared" si="86"/>
        <v>1310</v>
      </c>
      <c r="AI150" s="121" t="b">
        <f>IF($H$36="Fixed",$H$42,IF($H$36="Variable",VLOOKUP(AH150,'Financing Constants'!$A$8:$L$148,$AH$179)+$H$41/10000))</f>
        <v>0</v>
      </c>
      <c r="AJ150" s="229" t="e">
        <f t="shared" si="96"/>
        <v>#NUM!</v>
      </c>
      <c r="AK150" s="888" t="str">
        <f t="shared" si="58"/>
        <v>PP</v>
      </c>
      <c r="AL150" s="229" t="e">
        <f t="shared" si="59"/>
        <v>#NUM!</v>
      </c>
      <c r="AM150" s="229" t="e">
        <f t="shared" si="60"/>
        <v>#NUM!</v>
      </c>
      <c r="AN150" s="229" t="e">
        <f t="shared" si="61"/>
        <v>#NUM!</v>
      </c>
      <c r="AO150" s="229" t="e">
        <f t="shared" si="62"/>
        <v>#NUM!</v>
      </c>
      <c r="AQ150" s="427">
        <f t="shared" si="87"/>
        <v>44</v>
      </c>
      <c r="AR150" s="884">
        <f t="shared" si="88"/>
        <v>1310</v>
      </c>
      <c r="AS150" s="121" t="b">
        <f>IF($K$36="Fixed",$K$42,IF($K$36="Variable",VLOOKUP(AR150,'Financing Constants'!$A$8:$L$148,$AR$179)+$K$41/10000))</f>
        <v>0</v>
      </c>
      <c r="AT150" s="229" t="e">
        <f t="shared" si="97"/>
        <v>#NUM!</v>
      </c>
      <c r="AU150" s="888" t="str">
        <f t="shared" si="63"/>
        <v>PP</v>
      </c>
      <c r="AV150" s="229" t="e">
        <f t="shared" si="64"/>
        <v>#NUM!</v>
      </c>
      <c r="AW150" s="229" t="e">
        <f t="shared" si="65"/>
        <v>#NUM!</v>
      </c>
      <c r="AX150" s="229" t="e">
        <f t="shared" si="66"/>
        <v>#NUM!</v>
      </c>
      <c r="AY150" s="229" t="e">
        <f t="shared" si="67"/>
        <v>#NUM!</v>
      </c>
      <c r="BA150" s="427">
        <f t="shared" si="89"/>
        <v>44</v>
      </c>
      <c r="BB150" s="884">
        <f t="shared" si="90"/>
        <v>1310</v>
      </c>
      <c r="BC150" s="121" t="b">
        <f>IF($N$36="Fixed",$N$42,IF($N$36="Variable",VLOOKUP(BB150,'Financing Constants'!$A$8:$L$148,$BB$179)+$N$41/10000))</f>
        <v>0</v>
      </c>
      <c r="BD150" s="229" t="e">
        <f t="shared" si="98"/>
        <v>#NUM!</v>
      </c>
      <c r="BE150" s="888" t="str">
        <f t="shared" si="68"/>
        <v>PP</v>
      </c>
      <c r="BF150" s="229" t="e">
        <f t="shared" si="69"/>
        <v>#NUM!</v>
      </c>
      <c r="BG150" s="229" t="e">
        <f t="shared" si="70"/>
        <v>#NUM!</v>
      </c>
      <c r="BH150" s="229" t="e">
        <f t="shared" si="71"/>
        <v>#NUM!</v>
      </c>
      <c r="BI150" s="229" t="e">
        <f t="shared" si="72"/>
        <v>#NUM!</v>
      </c>
      <c r="BK150" s="427">
        <f t="shared" si="91"/>
        <v>44</v>
      </c>
      <c r="BL150" s="884">
        <f t="shared" si="92"/>
        <v>1310</v>
      </c>
      <c r="BM150" s="121" t="b">
        <f>IF($Q$36="Fixed",$Q$42,IF($Q$36="Variable",VLOOKUP(BL150,'Financing Constants'!$A$8:$L$148,$BL$179)+$Q$41/10000))</f>
        <v>0</v>
      </c>
      <c r="BN150" s="229" t="e">
        <f t="shared" si="99"/>
        <v>#NUM!</v>
      </c>
      <c r="BO150" s="888" t="str">
        <f t="shared" si="73"/>
        <v>PP</v>
      </c>
      <c r="BP150" s="229" t="e">
        <f t="shared" si="74"/>
        <v>#NUM!</v>
      </c>
      <c r="BQ150" s="229" t="e">
        <f t="shared" si="75"/>
        <v>#NUM!</v>
      </c>
      <c r="BR150" s="229" t="e">
        <f t="shared" si="76"/>
        <v>#NUM!</v>
      </c>
      <c r="BS150" s="229" t="e">
        <f t="shared" si="77"/>
        <v>#NUM!</v>
      </c>
      <c r="BU150" s="427">
        <f t="shared" si="93"/>
        <v>44</v>
      </c>
      <c r="BV150" s="884">
        <f t="shared" si="94"/>
        <v>1310</v>
      </c>
      <c r="BW150" s="121" t="b">
        <f>IF($T$36="Fixed",$T$42,IF($T$36="Variable",VLOOKUP(BV150,'Financing Constants'!$A$8:$L$148,$BV$179)+$T$41/10000))</f>
        <v>0</v>
      </c>
      <c r="BX150" s="229" t="e">
        <f t="shared" si="100"/>
        <v>#NUM!</v>
      </c>
      <c r="BY150" s="888" t="str">
        <f t="shared" si="78"/>
        <v>PP</v>
      </c>
      <c r="BZ150" s="229" t="e">
        <f t="shared" si="79"/>
        <v>#NUM!</v>
      </c>
      <c r="CA150" s="229" t="e">
        <f t="shared" si="80"/>
        <v>#NUM!</v>
      </c>
      <c r="CB150" s="229" t="e">
        <f t="shared" si="81"/>
        <v>#NUM!</v>
      </c>
      <c r="CC150" s="229" t="e">
        <f t="shared" si="82"/>
        <v>#NUM!</v>
      </c>
    </row>
    <row r="151" spans="23:81" ht="13.9" customHeight="1" x14ac:dyDescent="0.25">
      <c r="W151" s="427">
        <f t="shared" si="83"/>
        <v>45</v>
      </c>
      <c r="X151" s="884">
        <f t="shared" si="84"/>
        <v>1340</v>
      </c>
      <c r="Y151" s="121" t="b">
        <f>IF($E$36="Fixed",$E$42,IF($E$36="Variable",VLOOKUP(X151,'Financing Constants'!$A$8:$L$148,$X$179)+$E$41/10000))</f>
        <v>0</v>
      </c>
      <c r="Z151" s="229">
        <f t="shared" si="95"/>
        <v>10781283.611111075</v>
      </c>
      <c r="AA151" s="888" t="str">
        <f t="shared" si="31"/>
        <v>PP</v>
      </c>
      <c r="AB151" s="229">
        <f t="shared" si="54"/>
        <v>34117.986111111109</v>
      </c>
      <c r="AC151" s="229">
        <f t="shared" si="55"/>
        <v>34117.986111111109</v>
      </c>
      <c r="AD151" s="229">
        <f t="shared" si="56"/>
        <v>0</v>
      </c>
      <c r="AE151" s="229">
        <f t="shared" si="57"/>
        <v>10747165.624999963</v>
      </c>
      <c r="AG151" s="427">
        <f t="shared" si="85"/>
        <v>45</v>
      </c>
      <c r="AH151" s="884">
        <f t="shared" si="86"/>
        <v>1340</v>
      </c>
      <c r="AI151" s="121" t="b">
        <f>IF($H$36="Fixed",$H$42,IF($H$36="Variable",VLOOKUP(AH151,'Financing Constants'!$A$8:$L$148,$AH$179)+$H$41/10000))</f>
        <v>0</v>
      </c>
      <c r="AJ151" s="229" t="e">
        <f t="shared" si="96"/>
        <v>#NUM!</v>
      </c>
      <c r="AK151" s="888" t="str">
        <f t="shared" si="58"/>
        <v>PP</v>
      </c>
      <c r="AL151" s="229" t="e">
        <f t="shared" si="59"/>
        <v>#NUM!</v>
      </c>
      <c r="AM151" s="229" t="e">
        <f t="shared" si="60"/>
        <v>#NUM!</v>
      </c>
      <c r="AN151" s="229" t="e">
        <f t="shared" si="61"/>
        <v>#NUM!</v>
      </c>
      <c r="AO151" s="229" t="e">
        <f t="shared" si="62"/>
        <v>#NUM!</v>
      </c>
      <c r="AQ151" s="427">
        <f t="shared" si="87"/>
        <v>45</v>
      </c>
      <c r="AR151" s="884">
        <f t="shared" si="88"/>
        <v>1340</v>
      </c>
      <c r="AS151" s="121" t="b">
        <f>IF($K$36="Fixed",$K$42,IF($K$36="Variable",VLOOKUP(AR151,'Financing Constants'!$A$8:$L$148,$AR$179)+$K$41/10000))</f>
        <v>0</v>
      </c>
      <c r="AT151" s="229" t="e">
        <f t="shared" si="97"/>
        <v>#NUM!</v>
      </c>
      <c r="AU151" s="888" t="str">
        <f t="shared" si="63"/>
        <v>PP</v>
      </c>
      <c r="AV151" s="229" t="e">
        <f t="shared" si="64"/>
        <v>#NUM!</v>
      </c>
      <c r="AW151" s="229" t="e">
        <f t="shared" si="65"/>
        <v>#NUM!</v>
      </c>
      <c r="AX151" s="229" t="e">
        <f t="shared" si="66"/>
        <v>#NUM!</v>
      </c>
      <c r="AY151" s="229" t="e">
        <f t="shared" si="67"/>
        <v>#NUM!</v>
      </c>
      <c r="BA151" s="427">
        <f t="shared" si="89"/>
        <v>45</v>
      </c>
      <c r="BB151" s="884">
        <f t="shared" si="90"/>
        <v>1340</v>
      </c>
      <c r="BC151" s="121" t="b">
        <f>IF($N$36="Fixed",$N$42,IF($N$36="Variable",VLOOKUP(BB151,'Financing Constants'!$A$8:$L$148,$BB$179)+$N$41/10000))</f>
        <v>0</v>
      </c>
      <c r="BD151" s="229" t="e">
        <f t="shared" si="98"/>
        <v>#NUM!</v>
      </c>
      <c r="BE151" s="888" t="str">
        <f t="shared" si="68"/>
        <v>PP</v>
      </c>
      <c r="BF151" s="229" t="e">
        <f t="shared" si="69"/>
        <v>#NUM!</v>
      </c>
      <c r="BG151" s="229" t="e">
        <f t="shared" si="70"/>
        <v>#NUM!</v>
      </c>
      <c r="BH151" s="229" t="e">
        <f t="shared" si="71"/>
        <v>#NUM!</v>
      </c>
      <c r="BI151" s="229" t="e">
        <f t="shared" si="72"/>
        <v>#NUM!</v>
      </c>
      <c r="BK151" s="427">
        <f t="shared" si="91"/>
        <v>45</v>
      </c>
      <c r="BL151" s="884">
        <f t="shared" si="92"/>
        <v>1340</v>
      </c>
      <c r="BM151" s="121" t="b">
        <f>IF($Q$36="Fixed",$Q$42,IF($Q$36="Variable",VLOOKUP(BL151,'Financing Constants'!$A$8:$L$148,$BL$179)+$Q$41/10000))</f>
        <v>0</v>
      </c>
      <c r="BN151" s="229" t="e">
        <f t="shared" si="99"/>
        <v>#NUM!</v>
      </c>
      <c r="BO151" s="888" t="str">
        <f t="shared" si="73"/>
        <v>PP</v>
      </c>
      <c r="BP151" s="229" t="e">
        <f t="shared" si="74"/>
        <v>#NUM!</v>
      </c>
      <c r="BQ151" s="229" t="e">
        <f t="shared" si="75"/>
        <v>#NUM!</v>
      </c>
      <c r="BR151" s="229" t="e">
        <f t="shared" si="76"/>
        <v>#NUM!</v>
      </c>
      <c r="BS151" s="229" t="e">
        <f t="shared" si="77"/>
        <v>#NUM!</v>
      </c>
      <c r="BU151" s="427">
        <f t="shared" si="93"/>
        <v>45</v>
      </c>
      <c r="BV151" s="884">
        <f t="shared" si="94"/>
        <v>1340</v>
      </c>
      <c r="BW151" s="121" t="b">
        <f>IF($T$36="Fixed",$T$42,IF($T$36="Variable",VLOOKUP(BV151,'Financing Constants'!$A$8:$L$148,$BV$179)+$T$41/10000))</f>
        <v>0</v>
      </c>
      <c r="BX151" s="229" t="e">
        <f t="shared" si="100"/>
        <v>#NUM!</v>
      </c>
      <c r="BY151" s="888" t="str">
        <f t="shared" si="78"/>
        <v>PP</v>
      </c>
      <c r="BZ151" s="229" t="e">
        <f t="shared" si="79"/>
        <v>#NUM!</v>
      </c>
      <c r="CA151" s="229" t="e">
        <f t="shared" si="80"/>
        <v>#NUM!</v>
      </c>
      <c r="CB151" s="229" t="e">
        <f t="shared" si="81"/>
        <v>#NUM!</v>
      </c>
      <c r="CC151" s="229" t="e">
        <f t="shared" si="82"/>
        <v>#NUM!</v>
      </c>
    </row>
    <row r="152" spans="23:81" ht="13.9" customHeight="1" x14ac:dyDescent="0.25">
      <c r="W152" s="427">
        <f t="shared" si="83"/>
        <v>46</v>
      </c>
      <c r="X152" s="884">
        <f t="shared" si="84"/>
        <v>1370</v>
      </c>
      <c r="Y152" s="121" t="b">
        <f>IF($E$36="Fixed",$E$42,IF($E$36="Variable",VLOOKUP(X152,'Financing Constants'!$A$8:$L$148,$X$179)+$E$41/10000))</f>
        <v>0</v>
      </c>
      <c r="Z152" s="229">
        <f t="shared" si="95"/>
        <v>10747165.624999963</v>
      </c>
      <c r="AA152" s="888" t="str">
        <f t="shared" si="31"/>
        <v>PP</v>
      </c>
      <c r="AB152" s="229">
        <f t="shared" si="54"/>
        <v>34117.986111111109</v>
      </c>
      <c r="AC152" s="229">
        <f t="shared" si="55"/>
        <v>34117.986111111109</v>
      </c>
      <c r="AD152" s="229">
        <f t="shared" si="56"/>
        <v>0</v>
      </c>
      <c r="AE152" s="229">
        <f t="shared" si="57"/>
        <v>10713047.638888851</v>
      </c>
      <c r="AG152" s="427">
        <f t="shared" si="85"/>
        <v>46</v>
      </c>
      <c r="AH152" s="884">
        <f t="shared" si="86"/>
        <v>1370</v>
      </c>
      <c r="AI152" s="121" t="b">
        <f>IF($H$36="Fixed",$H$42,IF($H$36="Variable",VLOOKUP(AH152,'Financing Constants'!$A$8:$L$148,$AH$179)+$H$41/10000))</f>
        <v>0</v>
      </c>
      <c r="AJ152" s="229" t="e">
        <f t="shared" si="96"/>
        <v>#NUM!</v>
      </c>
      <c r="AK152" s="888" t="str">
        <f t="shared" si="58"/>
        <v>PP</v>
      </c>
      <c r="AL152" s="229" t="e">
        <f t="shared" si="59"/>
        <v>#NUM!</v>
      </c>
      <c r="AM152" s="229" t="e">
        <f t="shared" si="60"/>
        <v>#NUM!</v>
      </c>
      <c r="AN152" s="229" t="e">
        <f t="shared" si="61"/>
        <v>#NUM!</v>
      </c>
      <c r="AO152" s="229" t="e">
        <f t="shared" si="62"/>
        <v>#NUM!</v>
      </c>
      <c r="AQ152" s="427">
        <f t="shared" si="87"/>
        <v>46</v>
      </c>
      <c r="AR152" s="884">
        <f t="shared" si="88"/>
        <v>1370</v>
      </c>
      <c r="AS152" s="121" t="b">
        <f>IF($K$36="Fixed",$K$42,IF($K$36="Variable",VLOOKUP(AR152,'Financing Constants'!$A$8:$L$148,$AR$179)+$K$41/10000))</f>
        <v>0</v>
      </c>
      <c r="AT152" s="229" t="e">
        <f t="shared" si="97"/>
        <v>#NUM!</v>
      </c>
      <c r="AU152" s="888" t="str">
        <f t="shared" si="63"/>
        <v>PP</v>
      </c>
      <c r="AV152" s="229" t="e">
        <f t="shared" si="64"/>
        <v>#NUM!</v>
      </c>
      <c r="AW152" s="229" t="e">
        <f t="shared" si="65"/>
        <v>#NUM!</v>
      </c>
      <c r="AX152" s="229" t="e">
        <f t="shared" si="66"/>
        <v>#NUM!</v>
      </c>
      <c r="AY152" s="229" t="e">
        <f t="shared" si="67"/>
        <v>#NUM!</v>
      </c>
      <c r="BA152" s="427">
        <f t="shared" si="89"/>
        <v>46</v>
      </c>
      <c r="BB152" s="884">
        <f t="shared" si="90"/>
        <v>1370</v>
      </c>
      <c r="BC152" s="121" t="b">
        <f>IF($N$36="Fixed",$N$42,IF($N$36="Variable",VLOOKUP(BB152,'Financing Constants'!$A$8:$L$148,$BB$179)+$N$41/10000))</f>
        <v>0</v>
      </c>
      <c r="BD152" s="229" t="e">
        <f t="shared" si="98"/>
        <v>#NUM!</v>
      </c>
      <c r="BE152" s="888" t="str">
        <f t="shared" si="68"/>
        <v>PP</v>
      </c>
      <c r="BF152" s="229" t="e">
        <f t="shared" si="69"/>
        <v>#NUM!</v>
      </c>
      <c r="BG152" s="229" t="e">
        <f t="shared" si="70"/>
        <v>#NUM!</v>
      </c>
      <c r="BH152" s="229" t="e">
        <f t="shared" si="71"/>
        <v>#NUM!</v>
      </c>
      <c r="BI152" s="229" t="e">
        <f t="shared" si="72"/>
        <v>#NUM!</v>
      </c>
      <c r="BK152" s="427">
        <f t="shared" si="91"/>
        <v>46</v>
      </c>
      <c r="BL152" s="884">
        <f t="shared" si="92"/>
        <v>1370</v>
      </c>
      <c r="BM152" s="121" t="b">
        <f>IF($Q$36="Fixed",$Q$42,IF($Q$36="Variable",VLOOKUP(BL152,'Financing Constants'!$A$8:$L$148,$BL$179)+$Q$41/10000))</f>
        <v>0</v>
      </c>
      <c r="BN152" s="229" t="e">
        <f t="shared" si="99"/>
        <v>#NUM!</v>
      </c>
      <c r="BO152" s="888" t="str">
        <f t="shared" si="73"/>
        <v>PP</v>
      </c>
      <c r="BP152" s="229" t="e">
        <f t="shared" si="74"/>
        <v>#NUM!</v>
      </c>
      <c r="BQ152" s="229" t="e">
        <f t="shared" si="75"/>
        <v>#NUM!</v>
      </c>
      <c r="BR152" s="229" t="e">
        <f t="shared" si="76"/>
        <v>#NUM!</v>
      </c>
      <c r="BS152" s="229" t="e">
        <f t="shared" si="77"/>
        <v>#NUM!</v>
      </c>
      <c r="BU152" s="427">
        <f t="shared" si="93"/>
        <v>46</v>
      </c>
      <c r="BV152" s="884">
        <f t="shared" si="94"/>
        <v>1370</v>
      </c>
      <c r="BW152" s="121" t="b">
        <f>IF($T$36="Fixed",$T$42,IF($T$36="Variable",VLOOKUP(BV152,'Financing Constants'!$A$8:$L$148,$BV$179)+$T$41/10000))</f>
        <v>0</v>
      </c>
      <c r="BX152" s="229" t="e">
        <f t="shared" si="100"/>
        <v>#NUM!</v>
      </c>
      <c r="BY152" s="888" t="str">
        <f t="shared" si="78"/>
        <v>PP</v>
      </c>
      <c r="BZ152" s="229" t="e">
        <f t="shared" si="79"/>
        <v>#NUM!</v>
      </c>
      <c r="CA152" s="229" t="e">
        <f t="shared" si="80"/>
        <v>#NUM!</v>
      </c>
      <c r="CB152" s="229" t="e">
        <f t="shared" si="81"/>
        <v>#NUM!</v>
      </c>
      <c r="CC152" s="229" t="e">
        <f t="shared" si="82"/>
        <v>#NUM!</v>
      </c>
    </row>
    <row r="153" spans="23:81" ht="13.9" customHeight="1" x14ac:dyDescent="0.25">
      <c r="W153" s="427">
        <f t="shared" si="83"/>
        <v>47</v>
      </c>
      <c r="X153" s="884">
        <f t="shared" si="84"/>
        <v>1400</v>
      </c>
      <c r="Y153" s="121" t="b">
        <f>IF($E$36="Fixed",$E$42,IF($E$36="Variable",VLOOKUP(X153,'Financing Constants'!$A$8:$L$148,$X$179)+$E$41/10000))</f>
        <v>0</v>
      </c>
      <c r="Z153" s="229">
        <f t="shared" si="95"/>
        <v>10713047.638888851</v>
      </c>
      <c r="AA153" s="888" t="str">
        <f t="shared" si="31"/>
        <v>PP</v>
      </c>
      <c r="AB153" s="229">
        <f t="shared" si="54"/>
        <v>34117.986111111109</v>
      </c>
      <c r="AC153" s="229">
        <f t="shared" si="55"/>
        <v>34117.986111111109</v>
      </c>
      <c r="AD153" s="229">
        <f t="shared" si="56"/>
        <v>0</v>
      </c>
      <c r="AE153" s="229">
        <f t="shared" si="57"/>
        <v>10678929.652777739</v>
      </c>
      <c r="AG153" s="427">
        <f t="shared" si="85"/>
        <v>47</v>
      </c>
      <c r="AH153" s="884">
        <f t="shared" si="86"/>
        <v>1400</v>
      </c>
      <c r="AI153" s="121" t="b">
        <f>IF($H$36="Fixed",$H$42,IF($H$36="Variable",VLOOKUP(AH153,'Financing Constants'!$A$8:$L$148,$AH$179)+$H$41/10000))</f>
        <v>0</v>
      </c>
      <c r="AJ153" s="229" t="e">
        <f t="shared" si="96"/>
        <v>#NUM!</v>
      </c>
      <c r="AK153" s="888" t="str">
        <f t="shared" si="58"/>
        <v>PP</v>
      </c>
      <c r="AL153" s="229" t="e">
        <f t="shared" si="59"/>
        <v>#NUM!</v>
      </c>
      <c r="AM153" s="229" t="e">
        <f t="shared" si="60"/>
        <v>#NUM!</v>
      </c>
      <c r="AN153" s="229" t="e">
        <f t="shared" si="61"/>
        <v>#NUM!</v>
      </c>
      <c r="AO153" s="229" t="e">
        <f t="shared" si="62"/>
        <v>#NUM!</v>
      </c>
      <c r="AQ153" s="427">
        <f t="shared" si="87"/>
        <v>47</v>
      </c>
      <c r="AR153" s="884">
        <f t="shared" si="88"/>
        <v>1400</v>
      </c>
      <c r="AS153" s="121" t="b">
        <f>IF($K$36="Fixed",$K$42,IF($K$36="Variable",VLOOKUP(AR153,'Financing Constants'!$A$8:$L$148,$AR$179)+$K$41/10000))</f>
        <v>0</v>
      </c>
      <c r="AT153" s="229" t="e">
        <f t="shared" si="97"/>
        <v>#NUM!</v>
      </c>
      <c r="AU153" s="888" t="str">
        <f t="shared" si="63"/>
        <v>PP</v>
      </c>
      <c r="AV153" s="229" t="e">
        <f t="shared" si="64"/>
        <v>#NUM!</v>
      </c>
      <c r="AW153" s="229" t="e">
        <f t="shared" si="65"/>
        <v>#NUM!</v>
      </c>
      <c r="AX153" s="229" t="e">
        <f t="shared" si="66"/>
        <v>#NUM!</v>
      </c>
      <c r="AY153" s="229" t="e">
        <f t="shared" si="67"/>
        <v>#NUM!</v>
      </c>
      <c r="BA153" s="427">
        <f t="shared" si="89"/>
        <v>47</v>
      </c>
      <c r="BB153" s="884">
        <f t="shared" si="90"/>
        <v>1400</v>
      </c>
      <c r="BC153" s="121" t="b">
        <f>IF($N$36="Fixed",$N$42,IF($N$36="Variable",VLOOKUP(BB153,'Financing Constants'!$A$8:$L$148,$BB$179)+$N$41/10000))</f>
        <v>0</v>
      </c>
      <c r="BD153" s="229" t="e">
        <f t="shared" si="98"/>
        <v>#NUM!</v>
      </c>
      <c r="BE153" s="888" t="str">
        <f t="shared" si="68"/>
        <v>PP</v>
      </c>
      <c r="BF153" s="229" t="e">
        <f t="shared" si="69"/>
        <v>#NUM!</v>
      </c>
      <c r="BG153" s="229" t="e">
        <f t="shared" si="70"/>
        <v>#NUM!</v>
      </c>
      <c r="BH153" s="229" t="e">
        <f t="shared" si="71"/>
        <v>#NUM!</v>
      </c>
      <c r="BI153" s="229" t="e">
        <f t="shared" si="72"/>
        <v>#NUM!</v>
      </c>
      <c r="BK153" s="427">
        <f t="shared" si="91"/>
        <v>47</v>
      </c>
      <c r="BL153" s="884">
        <f t="shared" si="92"/>
        <v>1400</v>
      </c>
      <c r="BM153" s="121" t="b">
        <f>IF($Q$36="Fixed",$Q$42,IF($Q$36="Variable",VLOOKUP(BL153,'Financing Constants'!$A$8:$L$148,$BL$179)+$Q$41/10000))</f>
        <v>0</v>
      </c>
      <c r="BN153" s="229" t="e">
        <f t="shared" si="99"/>
        <v>#NUM!</v>
      </c>
      <c r="BO153" s="888" t="str">
        <f t="shared" si="73"/>
        <v>PP</v>
      </c>
      <c r="BP153" s="229" t="e">
        <f t="shared" si="74"/>
        <v>#NUM!</v>
      </c>
      <c r="BQ153" s="229" t="e">
        <f t="shared" si="75"/>
        <v>#NUM!</v>
      </c>
      <c r="BR153" s="229" t="e">
        <f t="shared" si="76"/>
        <v>#NUM!</v>
      </c>
      <c r="BS153" s="229" t="e">
        <f t="shared" si="77"/>
        <v>#NUM!</v>
      </c>
      <c r="BU153" s="427">
        <f t="shared" si="93"/>
        <v>47</v>
      </c>
      <c r="BV153" s="884">
        <f t="shared" si="94"/>
        <v>1400</v>
      </c>
      <c r="BW153" s="121" t="b">
        <f>IF($T$36="Fixed",$T$42,IF($T$36="Variable",VLOOKUP(BV153,'Financing Constants'!$A$8:$L$148,$BV$179)+$T$41/10000))</f>
        <v>0</v>
      </c>
      <c r="BX153" s="229" t="e">
        <f t="shared" si="100"/>
        <v>#NUM!</v>
      </c>
      <c r="BY153" s="888" t="str">
        <f t="shared" si="78"/>
        <v>PP</v>
      </c>
      <c r="BZ153" s="229" t="e">
        <f t="shared" si="79"/>
        <v>#NUM!</v>
      </c>
      <c r="CA153" s="229" t="e">
        <f t="shared" si="80"/>
        <v>#NUM!</v>
      </c>
      <c r="CB153" s="229" t="e">
        <f t="shared" si="81"/>
        <v>#NUM!</v>
      </c>
      <c r="CC153" s="229" t="e">
        <f t="shared" si="82"/>
        <v>#NUM!</v>
      </c>
    </row>
    <row r="154" spans="23:81" ht="13.9" customHeight="1" x14ac:dyDescent="0.25">
      <c r="W154" s="427">
        <f t="shared" si="83"/>
        <v>48</v>
      </c>
      <c r="X154" s="884">
        <f t="shared" si="84"/>
        <v>1430</v>
      </c>
      <c r="Y154" s="121" t="b">
        <f>IF($E$36="Fixed",$E$42,IF($E$36="Variable",VLOOKUP(X154,'Financing Constants'!$A$8:$L$148,$X$179)+$E$41/10000))</f>
        <v>0</v>
      </c>
      <c r="Z154" s="229">
        <f t="shared" si="95"/>
        <v>10678929.652777739</v>
      </c>
      <c r="AA154" s="888" t="str">
        <f t="shared" si="31"/>
        <v>PP</v>
      </c>
      <c r="AB154" s="229">
        <f t="shared" si="54"/>
        <v>34117.986111111109</v>
      </c>
      <c r="AC154" s="229">
        <f t="shared" si="55"/>
        <v>34117.986111111109</v>
      </c>
      <c r="AD154" s="229">
        <f t="shared" si="56"/>
        <v>0</v>
      </c>
      <c r="AE154" s="229">
        <f t="shared" si="57"/>
        <v>10644811.666666627</v>
      </c>
      <c r="AG154" s="427">
        <f t="shared" si="85"/>
        <v>48</v>
      </c>
      <c r="AH154" s="884">
        <f t="shared" si="86"/>
        <v>1430</v>
      </c>
      <c r="AI154" s="121" t="b">
        <f>IF($H$36="Fixed",$H$42,IF($H$36="Variable",VLOOKUP(AH154,'Financing Constants'!$A$8:$L$148,$AH$179)+$H$41/10000))</f>
        <v>0</v>
      </c>
      <c r="AJ154" s="229" t="e">
        <f t="shared" si="96"/>
        <v>#NUM!</v>
      </c>
      <c r="AK154" s="888" t="str">
        <f t="shared" si="58"/>
        <v>PP</v>
      </c>
      <c r="AL154" s="229" t="e">
        <f t="shared" si="59"/>
        <v>#NUM!</v>
      </c>
      <c r="AM154" s="229" t="e">
        <f t="shared" si="60"/>
        <v>#NUM!</v>
      </c>
      <c r="AN154" s="229" t="e">
        <f t="shared" si="61"/>
        <v>#NUM!</v>
      </c>
      <c r="AO154" s="229" t="e">
        <f t="shared" si="62"/>
        <v>#NUM!</v>
      </c>
      <c r="AQ154" s="427">
        <f t="shared" si="87"/>
        <v>48</v>
      </c>
      <c r="AR154" s="884">
        <f t="shared" si="88"/>
        <v>1430</v>
      </c>
      <c r="AS154" s="121" t="b">
        <f>IF($K$36="Fixed",$K$42,IF($K$36="Variable",VLOOKUP(AR154,'Financing Constants'!$A$8:$L$148,$AR$179)+$K$41/10000))</f>
        <v>0</v>
      </c>
      <c r="AT154" s="229" t="e">
        <f t="shared" si="97"/>
        <v>#NUM!</v>
      </c>
      <c r="AU154" s="888" t="str">
        <f t="shared" si="63"/>
        <v>PP</v>
      </c>
      <c r="AV154" s="229" t="e">
        <f t="shared" si="64"/>
        <v>#NUM!</v>
      </c>
      <c r="AW154" s="229" t="e">
        <f t="shared" si="65"/>
        <v>#NUM!</v>
      </c>
      <c r="AX154" s="229" t="e">
        <f t="shared" si="66"/>
        <v>#NUM!</v>
      </c>
      <c r="AY154" s="229" t="e">
        <f t="shared" si="67"/>
        <v>#NUM!</v>
      </c>
      <c r="BA154" s="427">
        <f t="shared" si="89"/>
        <v>48</v>
      </c>
      <c r="BB154" s="884">
        <f t="shared" si="90"/>
        <v>1430</v>
      </c>
      <c r="BC154" s="121" t="b">
        <f>IF($N$36="Fixed",$N$42,IF($N$36="Variable",VLOOKUP(BB154,'Financing Constants'!$A$8:$L$148,$BB$179)+$N$41/10000))</f>
        <v>0</v>
      </c>
      <c r="BD154" s="229" t="e">
        <f t="shared" si="98"/>
        <v>#NUM!</v>
      </c>
      <c r="BE154" s="888" t="str">
        <f t="shared" si="68"/>
        <v>PP</v>
      </c>
      <c r="BF154" s="229" t="e">
        <f t="shared" si="69"/>
        <v>#NUM!</v>
      </c>
      <c r="BG154" s="229" t="e">
        <f t="shared" si="70"/>
        <v>#NUM!</v>
      </c>
      <c r="BH154" s="229" t="e">
        <f t="shared" si="71"/>
        <v>#NUM!</v>
      </c>
      <c r="BI154" s="229" t="e">
        <f t="shared" si="72"/>
        <v>#NUM!</v>
      </c>
      <c r="BK154" s="427">
        <f t="shared" si="91"/>
        <v>48</v>
      </c>
      <c r="BL154" s="884">
        <f t="shared" si="92"/>
        <v>1430</v>
      </c>
      <c r="BM154" s="121" t="b">
        <f>IF($Q$36="Fixed",$Q$42,IF($Q$36="Variable",VLOOKUP(BL154,'Financing Constants'!$A$8:$L$148,$BL$179)+$Q$41/10000))</f>
        <v>0</v>
      </c>
      <c r="BN154" s="229" t="e">
        <f t="shared" si="99"/>
        <v>#NUM!</v>
      </c>
      <c r="BO154" s="888" t="str">
        <f t="shared" si="73"/>
        <v>PP</v>
      </c>
      <c r="BP154" s="229" t="e">
        <f t="shared" si="74"/>
        <v>#NUM!</v>
      </c>
      <c r="BQ154" s="229" t="e">
        <f t="shared" si="75"/>
        <v>#NUM!</v>
      </c>
      <c r="BR154" s="229" t="e">
        <f t="shared" si="76"/>
        <v>#NUM!</v>
      </c>
      <c r="BS154" s="229" t="e">
        <f t="shared" si="77"/>
        <v>#NUM!</v>
      </c>
      <c r="BU154" s="427">
        <f t="shared" si="93"/>
        <v>48</v>
      </c>
      <c r="BV154" s="884">
        <f t="shared" si="94"/>
        <v>1430</v>
      </c>
      <c r="BW154" s="121" t="b">
        <f>IF($T$36="Fixed",$T$42,IF($T$36="Variable",VLOOKUP(BV154,'Financing Constants'!$A$8:$L$148,$BV$179)+$T$41/10000))</f>
        <v>0</v>
      </c>
      <c r="BX154" s="229" t="e">
        <f t="shared" si="100"/>
        <v>#NUM!</v>
      </c>
      <c r="BY154" s="888" t="str">
        <f t="shared" si="78"/>
        <v>PP</v>
      </c>
      <c r="BZ154" s="229" t="e">
        <f t="shared" si="79"/>
        <v>#NUM!</v>
      </c>
      <c r="CA154" s="229" t="e">
        <f t="shared" si="80"/>
        <v>#NUM!</v>
      </c>
      <c r="CB154" s="229" t="e">
        <f t="shared" si="81"/>
        <v>#NUM!</v>
      </c>
      <c r="CC154" s="229" t="e">
        <f t="shared" si="82"/>
        <v>#NUM!</v>
      </c>
    </row>
    <row r="155" spans="23:81" ht="13.9" customHeight="1" x14ac:dyDescent="0.25">
      <c r="W155" s="321">
        <f t="shared" si="83"/>
        <v>49</v>
      </c>
      <c r="X155" s="889">
        <f t="shared" si="84"/>
        <v>1460</v>
      </c>
      <c r="Y155" s="890" t="b">
        <f>IF($E$36="Fixed",$E$42,IF($E$36="Variable",VLOOKUP(X155,'Financing Constants'!$A$8:$L$148,$X$179)+$E$41/10000))</f>
        <v>0</v>
      </c>
      <c r="Z155" s="891">
        <f t="shared" si="95"/>
        <v>10644811.666666627</v>
      </c>
      <c r="AA155" s="892" t="str">
        <f t="shared" si="31"/>
        <v>PP</v>
      </c>
      <c r="AB155" s="891">
        <f t="shared" si="54"/>
        <v>34117.986111111109</v>
      </c>
      <c r="AC155" s="891">
        <f t="shared" si="55"/>
        <v>34117.986111111109</v>
      </c>
      <c r="AD155" s="891">
        <f t="shared" si="56"/>
        <v>0</v>
      </c>
      <c r="AE155" s="891">
        <f t="shared" si="57"/>
        <v>10610693.680555515</v>
      </c>
      <c r="AG155" s="321">
        <f t="shared" si="85"/>
        <v>49</v>
      </c>
      <c r="AH155" s="889">
        <f t="shared" si="86"/>
        <v>1460</v>
      </c>
      <c r="AI155" s="890" t="b">
        <f>IF($H$36="Fixed",$H$42,IF($H$36="Variable",VLOOKUP(AH155,'Financing Constants'!$A$8:$L$148,$AH$179)+$H$41/10000))</f>
        <v>0</v>
      </c>
      <c r="AJ155" s="891" t="e">
        <f t="shared" si="96"/>
        <v>#NUM!</v>
      </c>
      <c r="AK155" s="892" t="str">
        <f t="shared" si="58"/>
        <v>PP</v>
      </c>
      <c r="AL155" s="891" t="e">
        <f t="shared" si="59"/>
        <v>#NUM!</v>
      </c>
      <c r="AM155" s="891" t="e">
        <f t="shared" si="60"/>
        <v>#NUM!</v>
      </c>
      <c r="AN155" s="891" t="e">
        <f t="shared" si="61"/>
        <v>#NUM!</v>
      </c>
      <c r="AO155" s="891" t="e">
        <f t="shared" si="62"/>
        <v>#NUM!</v>
      </c>
      <c r="AQ155" s="321">
        <f t="shared" si="87"/>
        <v>49</v>
      </c>
      <c r="AR155" s="889">
        <f t="shared" si="88"/>
        <v>1460</v>
      </c>
      <c r="AS155" s="890" t="b">
        <f>IF($K$36="Fixed",$K$42,IF($K$36="Variable",VLOOKUP(AR155,'Financing Constants'!$A$8:$L$148,$AR$179)+$K$41/10000))</f>
        <v>0</v>
      </c>
      <c r="AT155" s="891" t="e">
        <f t="shared" si="97"/>
        <v>#NUM!</v>
      </c>
      <c r="AU155" s="892" t="str">
        <f t="shared" si="63"/>
        <v>PP</v>
      </c>
      <c r="AV155" s="891" t="e">
        <f t="shared" si="64"/>
        <v>#NUM!</v>
      </c>
      <c r="AW155" s="891" t="e">
        <f t="shared" si="65"/>
        <v>#NUM!</v>
      </c>
      <c r="AX155" s="891" t="e">
        <f t="shared" si="66"/>
        <v>#NUM!</v>
      </c>
      <c r="AY155" s="891" t="e">
        <f t="shared" si="67"/>
        <v>#NUM!</v>
      </c>
      <c r="BA155" s="321">
        <f t="shared" si="89"/>
        <v>49</v>
      </c>
      <c r="BB155" s="889">
        <f t="shared" si="90"/>
        <v>1460</v>
      </c>
      <c r="BC155" s="890" t="b">
        <f>IF($N$36="Fixed",$N$42,IF($N$36="Variable",VLOOKUP(BB155,'Financing Constants'!$A$8:$L$148,$BB$179)+$N$41/10000))</f>
        <v>0</v>
      </c>
      <c r="BD155" s="891" t="e">
        <f t="shared" si="98"/>
        <v>#NUM!</v>
      </c>
      <c r="BE155" s="892" t="str">
        <f t="shared" si="68"/>
        <v>PP</v>
      </c>
      <c r="BF155" s="891" t="e">
        <f t="shared" si="69"/>
        <v>#NUM!</v>
      </c>
      <c r="BG155" s="891" t="e">
        <f t="shared" si="70"/>
        <v>#NUM!</v>
      </c>
      <c r="BH155" s="891" t="e">
        <f t="shared" si="71"/>
        <v>#NUM!</v>
      </c>
      <c r="BI155" s="891" t="e">
        <f t="shared" si="72"/>
        <v>#NUM!</v>
      </c>
      <c r="BK155" s="321">
        <f t="shared" si="91"/>
        <v>49</v>
      </c>
      <c r="BL155" s="889">
        <f t="shared" si="92"/>
        <v>1460</v>
      </c>
      <c r="BM155" s="121" t="b">
        <f>IF($Q$36="Fixed",$Q$42,IF($Q$36="Variable",VLOOKUP(BL155,'Financing Constants'!$A$8:$L$148,$BL$179)+$Q$41/10000))</f>
        <v>0</v>
      </c>
      <c r="BN155" s="891" t="e">
        <f t="shared" si="99"/>
        <v>#NUM!</v>
      </c>
      <c r="BO155" s="892" t="str">
        <f t="shared" si="73"/>
        <v>PP</v>
      </c>
      <c r="BP155" s="891" t="e">
        <f t="shared" si="74"/>
        <v>#NUM!</v>
      </c>
      <c r="BQ155" s="891" t="e">
        <f t="shared" si="75"/>
        <v>#NUM!</v>
      </c>
      <c r="BR155" s="891" t="e">
        <f t="shared" si="76"/>
        <v>#NUM!</v>
      </c>
      <c r="BS155" s="891" t="e">
        <f t="shared" si="77"/>
        <v>#NUM!</v>
      </c>
      <c r="BU155" s="321">
        <f t="shared" si="93"/>
        <v>49</v>
      </c>
      <c r="BV155" s="889">
        <f t="shared" si="94"/>
        <v>1460</v>
      </c>
      <c r="BW155" s="890" t="b">
        <f>IF($T$36="Fixed",$T$42,IF($T$36="Variable",VLOOKUP(BV155,'Financing Constants'!$A$8:$L$148,$BV$179)+$T$41/10000))</f>
        <v>0</v>
      </c>
      <c r="BX155" s="891" t="e">
        <f t="shared" si="100"/>
        <v>#NUM!</v>
      </c>
      <c r="BY155" s="892" t="str">
        <f t="shared" si="78"/>
        <v>PP</v>
      </c>
      <c r="BZ155" s="891" t="e">
        <f t="shared" si="79"/>
        <v>#NUM!</v>
      </c>
      <c r="CA155" s="891" t="e">
        <f t="shared" si="80"/>
        <v>#NUM!</v>
      </c>
      <c r="CB155" s="891" t="e">
        <f t="shared" si="81"/>
        <v>#NUM!</v>
      </c>
      <c r="CC155" s="891" t="e">
        <f t="shared" si="82"/>
        <v>#NUM!</v>
      </c>
    </row>
    <row r="156" spans="23:81" ht="13.9" customHeight="1" x14ac:dyDescent="0.25">
      <c r="W156" s="427">
        <f t="shared" si="83"/>
        <v>50</v>
      </c>
      <c r="X156" s="884">
        <f t="shared" si="84"/>
        <v>1490</v>
      </c>
      <c r="Y156" s="121" t="b">
        <f>IF($E$36="Fixed",$E$42,IF($E$36="Variable",VLOOKUP(X156,'Financing Constants'!$A$8:$L$148,$X$179)+$E$41/10000))</f>
        <v>0</v>
      </c>
      <c r="Z156" s="229">
        <f t="shared" si="95"/>
        <v>10610693.680555515</v>
      </c>
      <c r="AA156" s="888" t="str">
        <f t="shared" si="31"/>
        <v>PP</v>
      </c>
      <c r="AB156" s="229">
        <f t="shared" si="54"/>
        <v>34117.986111111109</v>
      </c>
      <c r="AC156" s="229">
        <f t="shared" si="55"/>
        <v>34117.986111111109</v>
      </c>
      <c r="AD156" s="229">
        <f t="shared" si="56"/>
        <v>0</v>
      </c>
      <c r="AE156" s="229">
        <f t="shared" si="57"/>
        <v>10576575.694444403</v>
      </c>
      <c r="AG156" s="427">
        <f t="shared" si="85"/>
        <v>50</v>
      </c>
      <c r="AH156" s="884">
        <f t="shared" si="86"/>
        <v>1490</v>
      </c>
      <c r="AI156" s="121" t="b">
        <f>IF($H$36="Fixed",$H$42,IF($H$36="Variable",VLOOKUP(AH156,'Financing Constants'!$A$8:$L$148,$AH$179)+$H$41/10000))</f>
        <v>0</v>
      </c>
      <c r="AJ156" s="229" t="e">
        <f t="shared" si="96"/>
        <v>#NUM!</v>
      </c>
      <c r="AK156" s="888" t="str">
        <f t="shared" si="58"/>
        <v>PP</v>
      </c>
      <c r="AL156" s="229" t="e">
        <f t="shared" si="59"/>
        <v>#NUM!</v>
      </c>
      <c r="AM156" s="229" t="e">
        <f t="shared" si="60"/>
        <v>#NUM!</v>
      </c>
      <c r="AN156" s="229" t="e">
        <f t="shared" si="61"/>
        <v>#NUM!</v>
      </c>
      <c r="AO156" s="229" t="e">
        <f t="shared" si="62"/>
        <v>#NUM!</v>
      </c>
      <c r="AQ156" s="427">
        <f t="shared" si="87"/>
        <v>50</v>
      </c>
      <c r="AR156" s="884">
        <f t="shared" si="88"/>
        <v>1490</v>
      </c>
      <c r="AS156" s="121" t="b">
        <f>IF($K$36="Fixed",$K$42,IF($K$36="Variable",VLOOKUP(AR156,'Financing Constants'!$A$8:$L$148,$AR$179)+$K$41/10000))</f>
        <v>0</v>
      </c>
      <c r="AT156" s="229" t="e">
        <f t="shared" si="97"/>
        <v>#NUM!</v>
      </c>
      <c r="AU156" s="888" t="str">
        <f t="shared" si="63"/>
        <v>PP</v>
      </c>
      <c r="AV156" s="229" t="e">
        <f t="shared" si="64"/>
        <v>#NUM!</v>
      </c>
      <c r="AW156" s="229" t="e">
        <f t="shared" si="65"/>
        <v>#NUM!</v>
      </c>
      <c r="AX156" s="229" t="e">
        <f t="shared" si="66"/>
        <v>#NUM!</v>
      </c>
      <c r="AY156" s="229" t="e">
        <f t="shared" si="67"/>
        <v>#NUM!</v>
      </c>
      <c r="BA156" s="427">
        <f t="shared" si="89"/>
        <v>50</v>
      </c>
      <c r="BB156" s="884">
        <f t="shared" si="90"/>
        <v>1490</v>
      </c>
      <c r="BC156" s="121" t="b">
        <f>IF($N$36="Fixed",$N$42,IF($N$36="Variable",VLOOKUP(BB156,'Financing Constants'!$A$8:$L$148,$BB$179)+$N$41/10000))</f>
        <v>0</v>
      </c>
      <c r="BD156" s="229" t="e">
        <f t="shared" si="98"/>
        <v>#NUM!</v>
      </c>
      <c r="BE156" s="888" t="str">
        <f t="shared" si="68"/>
        <v>PP</v>
      </c>
      <c r="BF156" s="229" t="e">
        <f t="shared" si="69"/>
        <v>#NUM!</v>
      </c>
      <c r="BG156" s="229" t="e">
        <f t="shared" si="70"/>
        <v>#NUM!</v>
      </c>
      <c r="BH156" s="229" t="e">
        <f t="shared" si="71"/>
        <v>#NUM!</v>
      </c>
      <c r="BI156" s="229" t="e">
        <f t="shared" si="72"/>
        <v>#NUM!</v>
      </c>
      <c r="BK156" s="427">
        <f t="shared" si="91"/>
        <v>50</v>
      </c>
      <c r="BL156" s="884">
        <f t="shared" si="92"/>
        <v>1490</v>
      </c>
      <c r="BM156" s="121" t="b">
        <f>IF($Q$36="Fixed",$Q$42,IF($Q$36="Variable",VLOOKUP(BL156,'Financing Constants'!$A$8:$L$148,$BL$179)+$Q$41/10000))</f>
        <v>0</v>
      </c>
      <c r="BN156" s="229" t="e">
        <f t="shared" si="99"/>
        <v>#NUM!</v>
      </c>
      <c r="BO156" s="888" t="str">
        <f t="shared" si="73"/>
        <v>PP</v>
      </c>
      <c r="BP156" s="229" t="e">
        <f t="shared" si="74"/>
        <v>#NUM!</v>
      </c>
      <c r="BQ156" s="229" t="e">
        <f t="shared" si="75"/>
        <v>#NUM!</v>
      </c>
      <c r="BR156" s="229" t="e">
        <f t="shared" si="76"/>
        <v>#NUM!</v>
      </c>
      <c r="BS156" s="229" t="e">
        <f t="shared" si="77"/>
        <v>#NUM!</v>
      </c>
      <c r="BU156" s="427">
        <f t="shared" si="93"/>
        <v>50</v>
      </c>
      <c r="BV156" s="884">
        <f t="shared" si="94"/>
        <v>1490</v>
      </c>
      <c r="BW156" s="121" t="b">
        <f>IF($T$36="Fixed",$T$42,IF($T$36="Variable",VLOOKUP(BV156,'Financing Constants'!$A$8:$L$148,$BV$179)+$T$41/10000))</f>
        <v>0</v>
      </c>
      <c r="BX156" s="229" t="e">
        <f t="shared" si="100"/>
        <v>#NUM!</v>
      </c>
      <c r="BY156" s="888" t="str">
        <f t="shared" si="78"/>
        <v>PP</v>
      </c>
      <c r="BZ156" s="229" t="e">
        <f t="shared" si="79"/>
        <v>#NUM!</v>
      </c>
      <c r="CA156" s="229" t="e">
        <f t="shared" si="80"/>
        <v>#NUM!</v>
      </c>
      <c r="CB156" s="229" t="e">
        <f t="shared" si="81"/>
        <v>#NUM!</v>
      </c>
      <c r="CC156" s="229" t="e">
        <f t="shared" si="82"/>
        <v>#NUM!</v>
      </c>
    </row>
    <row r="157" spans="23:81" ht="13.9" customHeight="1" x14ac:dyDescent="0.25">
      <c r="W157" s="427">
        <f t="shared" si="83"/>
        <v>51</v>
      </c>
      <c r="X157" s="884">
        <f t="shared" si="84"/>
        <v>1520</v>
      </c>
      <c r="Y157" s="121" t="b">
        <f>IF($E$36="Fixed",$E$42,IF($E$36="Variable",VLOOKUP(X157,'Financing Constants'!$A$8:$L$148,$X$179)+$E$41/10000))</f>
        <v>0</v>
      </c>
      <c r="Z157" s="229">
        <f t="shared" si="95"/>
        <v>10576575.694444403</v>
      </c>
      <c r="AA157" s="888" t="str">
        <f t="shared" si="31"/>
        <v>PP</v>
      </c>
      <c r="AB157" s="229">
        <f t="shared" si="54"/>
        <v>34117.986111111109</v>
      </c>
      <c r="AC157" s="229">
        <f t="shared" si="55"/>
        <v>34117.986111111109</v>
      </c>
      <c r="AD157" s="229">
        <f t="shared" si="56"/>
        <v>0</v>
      </c>
      <c r="AE157" s="229">
        <f t="shared" si="57"/>
        <v>10542457.708333291</v>
      </c>
      <c r="AG157" s="427">
        <f t="shared" si="85"/>
        <v>51</v>
      </c>
      <c r="AH157" s="884">
        <f t="shared" si="86"/>
        <v>1520</v>
      </c>
      <c r="AI157" s="121" t="b">
        <f>IF($H$36="Fixed",$H$42,IF($H$36="Variable",VLOOKUP(AH157,'Financing Constants'!$A$8:$L$148,$AH$179)+$H$41/10000))</f>
        <v>0</v>
      </c>
      <c r="AJ157" s="229" t="e">
        <f t="shared" si="96"/>
        <v>#NUM!</v>
      </c>
      <c r="AK157" s="888" t="str">
        <f t="shared" si="58"/>
        <v>PP</v>
      </c>
      <c r="AL157" s="229" t="e">
        <f t="shared" si="59"/>
        <v>#NUM!</v>
      </c>
      <c r="AM157" s="229" t="e">
        <f t="shared" si="60"/>
        <v>#NUM!</v>
      </c>
      <c r="AN157" s="229" t="e">
        <f t="shared" si="61"/>
        <v>#NUM!</v>
      </c>
      <c r="AO157" s="229" t="e">
        <f t="shared" si="62"/>
        <v>#NUM!</v>
      </c>
      <c r="AQ157" s="427">
        <f t="shared" si="87"/>
        <v>51</v>
      </c>
      <c r="AR157" s="884">
        <f t="shared" si="88"/>
        <v>1520</v>
      </c>
      <c r="AS157" s="121" t="b">
        <f>IF($K$36="Fixed",$K$42,IF($K$36="Variable",VLOOKUP(AR157,'Financing Constants'!$A$8:$L$148,$AR$179)+$K$41/10000))</f>
        <v>0</v>
      </c>
      <c r="AT157" s="229" t="e">
        <f t="shared" si="97"/>
        <v>#NUM!</v>
      </c>
      <c r="AU157" s="888" t="str">
        <f t="shared" si="63"/>
        <v>PP</v>
      </c>
      <c r="AV157" s="229" t="e">
        <f t="shared" si="64"/>
        <v>#NUM!</v>
      </c>
      <c r="AW157" s="229" t="e">
        <f t="shared" si="65"/>
        <v>#NUM!</v>
      </c>
      <c r="AX157" s="229" t="e">
        <f t="shared" si="66"/>
        <v>#NUM!</v>
      </c>
      <c r="AY157" s="229" t="e">
        <f t="shared" si="67"/>
        <v>#NUM!</v>
      </c>
      <c r="BA157" s="427">
        <f t="shared" si="89"/>
        <v>51</v>
      </c>
      <c r="BB157" s="884">
        <f t="shared" si="90"/>
        <v>1520</v>
      </c>
      <c r="BC157" s="121" t="b">
        <f>IF($N$36="Fixed",$N$42,IF($N$36="Variable",VLOOKUP(BB157,'Financing Constants'!$A$8:$L$148,$BB$179)+$N$41/10000))</f>
        <v>0</v>
      </c>
      <c r="BD157" s="229" t="e">
        <f t="shared" si="98"/>
        <v>#NUM!</v>
      </c>
      <c r="BE157" s="888" t="str">
        <f t="shared" si="68"/>
        <v>PP</v>
      </c>
      <c r="BF157" s="229" t="e">
        <f t="shared" si="69"/>
        <v>#NUM!</v>
      </c>
      <c r="BG157" s="229" t="e">
        <f t="shared" si="70"/>
        <v>#NUM!</v>
      </c>
      <c r="BH157" s="229" t="e">
        <f t="shared" si="71"/>
        <v>#NUM!</v>
      </c>
      <c r="BI157" s="229" t="e">
        <f t="shared" si="72"/>
        <v>#NUM!</v>
      </c>
      <c r="BK157" s="427">
        <f t="shared" si="91"/>
        <v>51</v>
      </c>
      <c r="BL157" s="884">
        <f t="shared" si="92"/>
        <v>1520</v>
      </c>
      <c r="BM157" s="121" t="b">
        <f>IF($Q$36="Fixed",$Q$42,IF($Q$36="Variable",VLOOKUP(BL157,'Financing Constants'!$A$8:$L$148,$BL$179)+$Q$41/10000))</f>
        <v>0</v>
      </c>
      <c r="BN157" s="229" t="e">
        <f t="shared" si="99"/>
        <v>#NUM!</v>
      </c>
      <c r="BO157" s="888" t="str">
        <f t="shared" si="73"/>
        <v>PP</v>
      </c>
      <c r="BP157" s="229" t="e">
        <f t="shared" si="74"/>
        <v>#NUM!</v>
      </c>
      <c r="BQ157" s="229" t="e">
        <f t="shared" si="75"/>
        <v>#NUM!</v>
      </c>
      <c r="BR157" s="229" t="e">
        <f t="shared" si="76"/>
        <v>#NUM!</v>
      </c>
      <c r="BS157" s="229" t="e">
        <f t="shared" si="77"/>
        <v>#NUM!</v>
      </c>
      <c r="BU157" s="427">
        <f t="shared" si="93"/>
        <v>51</v>
      </c>
      <c r="BV157" s="884">
        <f t="shared" si="94"/>
        <v>1520</v>
      </c>
      <c r="BW157" s="121" t="b">
        <f>IF($T$36="Fixed",$T$42,IF($T$36="Variable",VLOOKUP(BV157,'Financing Constants'!$A$8:$L$148,$BV$179)+$T$41/10000))</f>
        <v>0</v>
      </c>
      <c r="BX157" s="229" t="e">
        <f t="shared" si="100"/>
        <v>#NUM!</v>
      </c>
      <c r="BY157" s="888" t="str">
        <f t="shared" si="78"/>
        <v>PP</v>
      </c>
      <c r="BZ157" s="229" t="e">
        <f t="shared" si="79"/>
        <v>#NUM!</v>
      </c>
      <c r="CA157" s="229" t="e">
        <f t="shared" si="80"/>
        <v>#NUM!</v>
      </c>
      <c r="CB157" s="229" t="e">
        <f t="shared" si="81"/>
        <v>#NUM!</v>
      </c>
      <c r="CC157" s="229" t="e">
        <f t="shared" si="82"/>
        <v>#NUM!</v>
      </c>
    </row>
    <row r="158" spans="23:81" ht="13.9" customHeight="1" x14ac:dyDescent="0.25">
      <c r="W158" s="427">
        <f t="shared" si="83"/>
        <v>52</v>
      </c>
      <c r="X158" s="884">
        <f t="shared" si="84"/>
        <v>1550</v>
      </c>
      <c r="Y158" s="121" t="b">
        <f>IF($E$36="Fixed",$E$42,IF($E$36="Variable",VLOOKUP(X158,'Financing Constants'!$A$8:$L$148,$X$179)+$E$41/10000))</f>
        <v>0</v>
      </c>
      <c r="Z158" s="229">
        <f t="shared" si="95"/>
        <v>10542457.708333291</v>
      </c>
      <c r="AA158" s="888" t="str">
        <f t="shared" si="31"/>
        <v>PP</v>
      </c>
      <c r="AB158" s="229">
        <f t="shared" si="54"/>
        <v>34117.986111111109</v>
      </c>
      <c r="AC158" s="229">
        <f t="shared" si="55"/>
        <v>34117.986111111109</v>
      </c>
      <c r="AD158" s="229">
        <f t="shared" si="56"/>
        <v>0</v>
      </c>
      <c r="AE158" s="229">
        <f t="shared" si="57"/>
        <v>10508339.722222179</v>
      </c>
      <c r="AG158" s="427">
        <f t="shared" si="85"/>
        <v>52</v>
      </c>
      <c r="AH158" s="884">
        <f t="shared" si="86"/>
        <v>1550</v>
      </c>
      <c r="AI158" s="121" t="b">
        <f>IF($H$36="Fixed",$H$42,IF($H$36="Variable",VLOOKUP(AH158,'Financing Constants'!$A$8:$L$148,$AH$179)+$H$41/10000))</f>
        <v>0</v>
      </c>
      <c r="AJ158" s="229" t="e">
        <f t="shared" si="96"/>
        <v>#NUM!</v>
      </c>
      <c r="AK158" s="888" t="str">
        <f t="shared" si="58"/>
        <v>PP</v>
      </c>
      <c r="AL158" s="229" t="e">
        <f t="shared" si="59"/>
        <v>#NUM!</v>
      </c>
      <c r="AM158" s="229" t="e">
        <f t="shared" si="60"/>
        <v>#NUM!</v>
      </c>
      <c r="AN158" s="229" t="e">
        <f t="shared" si="61"/>
        <v>#NUM!</v>
      </c>
      <c r="AO158" s="229" t="e">
        <f t="shared" si="62"/>
        <v>#NUM!</v>
      </c>
      <c r="AQ158" s="427">
        <f t="shared" si="87"/>
        <v>52</v>
      </c>
      <c r="AR158" s="884">
        <f t="shared" si="88"/>
        <v>1550</v>
      </c>
      <c r="AS158" s="121" t="b">
        <f>IF($K$36="Fixed",$K$42,IF($K$36="Variable",VLOOKUP(AR158,'Financing Constants'!$A$8:$L$148,$AR$179)+$K$41/10000))</f>
        <v>0</v>
      </c>
      <c r="AT158" s="229" t="e">
        <f t="shared" si="97"/>
        <v>#NUM!</v>
      </c>
      <c r="AU158" s="888" t="str">
        <f t="shared" si="63"/>
        <v>PP</v>
      </c>
      <c r="AV158" s="229" t="e">
        <f t="shared" si="64"/>
        <v>#NUM!</v>
      </c>
      <c r="AW158" s="229" t="e">
        <f t="shared" si="65"/>
        <v>#NUM!</v>
      </c>
      <c r="AX158" s="229" t="e">
        <f t="shared" si="66"/>
        <v>#NUM!</v>
      </c>
      <c r="AY158" s="229" t="e">
        <f t="shared" si="67"/>
        <v>#NUM!</v>
      </c>
      <c r="BA158" s="427">
        <f t="shared" si="89"/>
        <v>52</v>
      </c>
      <c r="BB158" s="884">
        <f t="shared" si="90"/>
        <v>1550</v>
      </c>
      <c r="BC158" s="121" t="b">
        <f>IF($N$36="Fixed",$N$42,IF($N$36="Variable",VLOOKUP(BB158,'Financing Constants'!$A$8:$L$148,$BB$179)+$N$41/10000))</f>
        <v>0</v>
      </c>
      <c r="BD158" s="229" t="e">
        <f t="shared" si="98"/>
        <v>#NUM!</v>
      </c>
      <c r="BE158" s="888" t="str">
        <f t="shared" si="68"/>
        <v>PP</v>
      </c>
      <c r="BF158" s="229" t="e">
        <f t="shared" si="69"/>
        <v>#NUM!</v>
      </c>
      <c r="BG158" s="229" t="e">
        <f t="shared" si="70"/>
        <v>#NUM!</v>
      </c>
      <c r="BH158" s="229" t="e">
        <f t="shared" si="71"/>
        <v>#NUM!</v>
      </c>
      <c r="BI158" s="229" t="e">
        <f t="shared" si="72"/>
        <v>#NUM!</v>
      </c>
      <c r="BK158" s="427">
        <f t="shared" si="91"/>
        <v>52</v>
      </c>
      <c r="BL158" s="884">
        <f t="shared" si="92"/>
        <v>1550</v>
      </c>
      <c r="BM158" s="121" t="b">
        <f>IF($Q$36="Fixed",$Q$42,IF($Q$36="Variable",VLOOKUP(BL158,'Financing Constants'!$A$8:$L$148,$BL$179)+$Q$41/10000))</f>
        <v>0</v>
      </c>
      <c r="BN158" s="229" t="e">
        <f t="shared" si="99"/>
        <v>#NUM!</v>
      </c>
      <c r="BO158" s="888" t="str">
        <f t="shared" si="73"/>
        <v>PP</v>
      </c>
      <c r="BP158" s="229" t="e">
        <f t="shared" si="74"/>
        <v>#NUM!</v>
      </c>
      <c r="BQ158" s="229" t="e">
        <f t="shared" si="75"/>
        <v>#NUM!</v>
      </c>
      <c r="BR158" s="229" t="e">
        <f t="shared" si="76"/>
        <v>#NUM!</v>
      </c>
      <c r="BS158" s="229" t="e">
        <f t="shared" si="77"/>
        <v>#NUM!</v>
      </c>
      <c r="BU158" s="427">
        <f t="shared" si="93"/>
        <v>52</v>
      </c>
      <c r="BV158" s="884">
        <f t="shared" si="94"/>
        <v>1550</v>
      </c>
      <c r="BW158" s="121" t="b">
        <f>IF($T$36="Fixed",$T$42,IF($T$36="Variable",VLOOKUP(BV158,'Financing Constants'!$A$8:$L$148,$BV$179)+$T$41/10000))</f>
        <v>0</v>
      </c>
      <c r="BX158" s="229" t="e">
        <f t="shared" si="100"/>
        <v>#NUM!</v>
      </c>
      <c r="BY158" s="888" t="str">
        <f t="shared" si="78"/>
        <v>PP</v>
      </c>
      <c r="BZ158" s="229" t="e">
        <f t="shared" si="79"/>
        <v>#NUM!</v>
      </c>
      <c r="CA158" s="229" t="e">
        <f t="shared" si="80"/>
        <v>#NUM!</v>
      </c>
      <c r="CB158" s="229" t="e">
        <f t="shared" si="81"/>
        <v>#NUM!</v>
      </c>
      <c r="CC158" s="229" t="e">
        <f t="shared" si="82"/>
        <v>#NUM!</v>
      </c>
    </row>
    <row r="159" spans="23:81" ht="13.9" customHeight="1" x14ac:dyDescent="0.25">
      <c r="W159" s="427">
        <f t="shared" si="83"/>
        <v>53</v>
      </c>
      <c r="X159" s="884">
        <f t="shared" si="84"/>
        <v>1580</v>
      </c>
      <c r="Y159" s="121" t="b">
        <f>IF($E$36="Fixed",$E$42,IF($E$36="Variable",VLOOKUP(X159,'Financing Constants'!$A$8:$L$148,$X$179)+$E$41/10000))</f>
        <v>0</v>
      </c>
      <c r="Z159" s="229">
        <f t="shared" si="95"/>
        <v>10508339.722222179</v>
      </c>
      <c r="AA159" s="888" t="str">
        <f t="shared" si="31"/>
        <v>PP</v>
      </c>
      <c r="AB159" s="229">
        <f t="shared" si="54"/>
        <v>34117.986111111109</v>
      </c>
      <c r="AC159" s="229">
        <f t="shared" si="55"/>
        <v>34117.986111111109</v>
      </c>
      <c r="AD159" s="229">
        <f t="shared" si="56"/>
        <v>0</v>
      </c>
      <c r="AE159" s="229">
        <f t="shared" si="57"/>
        <v>10474221.736111067</v>
      </c>
      <c r="AG159" s="427">
        <f t="shared" si="85"/>
        <v>53</v>
      </c>
      <c r="AH159" s="884">
        <f t="shared" si="86"/>
        <v>1580</v>
      </c>
      <c r="AI159" s="121" t="b">
        <f>IF($H$36="Fixed",$H$42,IF($H$36="Variable",VLOOKUP(AH159,'Financing Constants'!$A$8:$L$148,$AH$179)+$H$41/10000))</f>
        <v>0</v>
      </c>
      <c r="AJ159" s="229" t="e">
        <f t="shared" si="96"/>
        <v>#NUM!</v>
      </c>
      <c r="AK159" s="888" t="str">
        <f t="shared" si="58"/>
        <v>PP</v>
      </c>
      <c r="AL159" s="229" t="e">
        <f t="shared" si="59"/>
        <v>#NUM!</v>
      </c>
      <c r="AM159" s="229" t="e">
        <f t="shared" si="60"/>
        <v>#NUM!</v>
      </c>
      <c r="AN159" s="229" t="e">
        <f t="shared" si="61"/>
        <v>#NUM!</v>
      </c>
      <c r="AO159" s="229" t="e">
        <f t="shared" si="62"/>
        <v>#NUM!</v>
      </c>
      <c r="AQ159" s="427">
        <f t="shared" si="87"/>
        <v>53</v>
      </c>
      <c r="AR159" s="884">
        <f t="shared" si="88"/>
        <v>1580</v>
      </c>
      <c r="AS159" s="121" t="b">
        <f>IF($K$36="Fixed",$K$42,IF($K$36="Variable",VLOOKUP(AR159,'Financing Constants'!$A$8:$L$148,$AR$179)+$K$41/10000))</f>
        <v>0</v>
      </c>
      <c r="AT159" s="229" t="e">
        <f t="shared" si="97"/>
        <v>#NUM!</v>
      </c>
      <c r="AU159" s="888" t="str">
        <f t="shared" si="63"/>
        <v>PP</v>
      </c>
      <c r="AV159" s="229" t="e">
        <f t="shared" si="64"/>
        <v>#NUM!</v>
      </c>
      <c r="AW159" s="229" t="e">
        <f t="shared" si="65"/>
        <v>#NUM!</v>
      </c>
      <c r="AX159" s="229" t="e">
        <f t="shared" si="66"/>
        <v>#NUM!</v>
      </c>
      <c r="AY159" s="229" t="e">
        <f t="shared" si="67"/>
        <v>#NUM!</v>
      </c>
      <c r="BA159" s="427">
        <f t="shared" si="89"/>
        <v>53</v>
      </c>
      <c r="BB159" s="884">
        <f t="shared" si="90"/>
        <v>1580</v>
      </c>
      <c r="BC159" s="121" t="b">
        <f>IF($N$36="Fixed",$N$42,IF($N$36="Variable",VLOOKUP(BB159,'Financing Constants'!$A$8:$L$148,$BB$179)+$N$41/10000))</f>
        <v>0</v>
      </c>
      <c r="BD159" s="229" t="e">
        <f t="shared" si="98"/>
        <v>#NUM!</v>
      </c>
      <c r="BE159" s="888" t="str">
        <f t="shared" si="68"/>
        <v>PP</v>
      </c>
      <c r="BF159" s="229" t="e">
        <f t="shared" si="69"/>
        <v>#NUM!</v>
      </c>
      <c r="BG159" s="229" t="e">
        <f t="shared" si="70"/>
        <v>#NUM!</v>
      </c>
      <c r="BH159" s="229" t="e">
        <f t="shared" si="71"/>
        <v>#NUM!</v>
      </c>
      <c r="BI159" s="229" t="e">
        <f t="shared" si="72"/>
        <v>#NUM!</v>
      </c>
      <c r="BK159" s="427">
        <f t="shared" si="91"/>
        <v>53</v>
      </c>
      <c r="BL159" s="884">
        <f t="shared" si="92"/>
        <v>1580</v>
      </c>
      <c r="BM159" s="121" t="b">
        <f>IF($Q$36="Fixed",$Q$42,IF($Q$36="Variable",VLOOKUP(BL159,'Financing Constants'!$A$8:$L$148,$BL$179)+$Q$41/10000))</f>
        <v>0</v>
      </c>
      <c r="BN159" s="229" t="e">
        <f t="shared" si="99"/>
        <v>#NUM!</v>
      </c>
      <c r="BO159" s="888" t="str">
        <f t="shared" si="73"/>
        <v>PP</v>
      </c>
      <c r="BP159" s="229" t="e">
        <f t="shared" si="74"/>
        <v>#NUM!</v>
      </c>
      <c r="BQ159" s="229" t="e">
        <f t="shared" si="75"/>
        <v>#NUM!</v>
      </c>
      <c r="BR159" s="229" t="e">
        <f t="shared" si="76"/>
        <v>#NUM!</v>
      </c>
      <c r="BS159" s="229" t="e">
        <f t="shared" si="77"/>
        <v>#NUM!</v>
      </c>
      <c r="BU159" s="427">
        <f t="shared" si="93"/>
        <v>53</v>
      </c>
      <c r="BV159" s="884">
        <f t="shared" si="94"/>
        <v>1580</v>
      </c>
      <c r="BW159" s="121" t="b">
        <f>IF($T$36="Fixed",$T$42,IF($T$36="Variable",VLOOKUP(BV159,'Financing Constants'!$A$8:$L$148,$BV$179)+$T$41/10000))</f>
        <v>0</v>
      </c>
      <c r="BX159" s="229" t="e">
        <f t="shared" si="100"/>
        <v>#NUM!</v>
      </c>
      <c r="BY159" s="888" t="str">
        <f t="shared" si="78"/>
        <v>PP</v>
      </c>
      <c r="BZ159" s="229" t="e">
        <f t="shared" si="79"/>
        <v>#NUM!</v>
      </c>
      <c r="CA159" s="229" t="e">
        <f t="shared" si="80"/>
        <v>#NUM!</v>
      </c>
      <c r="CB159" s="229" t="e">
        <f t="shared" si="81"/>
        <v>#NUM!</v>
      </c>
      <c r="CC159" s="229" t="e">
        <f t="shared" si="82"/>
        <v>#NUM!</v>
      </c>
    </row>
    <row r="160" spans="23:81" ht="13.9" customHeight="1" x14ac:dyDescent="0.25">
      <c r="W160" s="427">
        <f t="shared" si="83"/>
        <v>54</v>
      </c>
      <c r="X160" s="884">
        <f t="shared" si="84"/>
        <v>1610</v>
      </c>
      <c r="Y160" s="121" t="b">
        <f>IF($E$36="Fixed",$E$42,IF($E$36="Variable",VLOOKUP(X160,'Financing Constants'!$A$8:$L$148,$X$179)+$E$41/10000))</f>
        <v>0</v>
      </c>
      <c r="Z160" s="229">
        <f t="shared" si="95"/>
        <v>10474221.736111067</v>
      </c>
      <c r="AA160" s="888" t="str">
        <f t="shared" si="31"/>
        <v>PP</v>
      </c>
      <c r="AB160" s="229">
        <f t="shared" si="54"/>
        <v>34117.986111111109</v>
      </c>
      <c r="AC160" s="229">
        <f t="shared" si="55"/>
        <v>34117.986111111109</v>
      </c>
      <c r="AD160" s="229">
        <f t="shared" si="56"/>
        <v>0</v>
      </c>
      <c r="AE160" s="229">
        <f t="shared" si="57"/>
        <v>10440103.749999955</v>
      </c>
      <c r="AG160" s="427">
        <f t="shared" si="85"/>
        <v>54</v>
      </c>
      <c r="AH160" s="884">
        <f t="shared" si="86"/>
        <v>1610</v>
      </c>
      <c r="AI160" s="121" t="b">
        <f>IF($H$36="Fixed",$H$42,IF($H$36="Variable",VLOOKUP(AH160,'Financing Constants'!$A$8:$L$148,$AH$179)+$H$41/10000))</f>
        <v>0</v>
      </c>
      <c r="AJ160" s="229" t="e">
        <f t="shared" si="96"/>
        <v>#NUM!</v>
      </c>
      <c r="AK160" s="888" t="str">
        <f t="shared" si="58"/>
        <v>PP</v>
      </c>
      <c r="AL160" s="229" t="e">
        <f t="shared" si="59"/>
        <v>#NUM!</v>
      </c>
      <c r="AM160" s="229" t="e">
        <f t="shared" si="60"/>
        <v>#NUM!</v>
      </c>
      <c r="AN160" s="229" t="e">
        <f t="shared" si="61"/>
        <v>#NUM!</v>
      </c>
      <c r="AO160" s="229" t="e">
        <f t="shared" si="62"/>
        <v>#NUM!</v>
      </c>
      <c r="AQ160" s="427">
        <f t="shared" si="87"/>
        <v>54</v>
      </c>
      <c r="AR160" s="884">
        <f t="shared" si="88"/>
        <v>1610</v>
      </c>
      <c r="AS160" s="121" t="b">
        <f>IF($K$36="Fixed",$K$42,IF($K$36="Variable",VLOOKUP(AR160,'Financing Constants'!$A$8:$L$148,$AR$179)+$K$41/10000))</f>
        <v>0</v>
      </c>
      <c r="AT160" s="229" t="e">
        <f t="shared" si="97"/>
        <v>#NUM!</v>
      </c>
      <c r="AU160" s="888" t="str">
        <f t="shared" si="63"/>
        <v>PP</v>
      </c>
      <c r="AV160" s="229" t="e">
        <f t="shared" si="64"/>
        <v>#NUM!</v>
      </c>
      <c r="AW160" s="229" t="e">
        <f t="shared" si="65"/>
        <v>#NUM!</v>
      </c>
      <c r="AX160" s="229" t="e">
        <f t="shared" si="66"/>
        <v>#NUM!</v>
      </c>
      <c r="AY160" s="229" t="e">
        <f t="shared" si="67"/>
        <v>#NUM!</v>
      </c>
      <c r="BA160" s="427">
        <f t="shared" si="89"/>
        <v>54</v>
      </c>
      <c r="BB160" s="884">
        <f t="shared" si="90"/>
        <v>1610</v>
      </c>
      <c r="BC160" s="121" t="b">
        <f>IF($N$36="Fixed",$N$42,IF($N$36="Variable",VLOOKUP(BB160,'Financing Constants'!$A$8:$L$148,$BB$179)+$N$41/10000))</f>
        <v>0</v>
      </c>
      <c r="BD160" s="229" t="e">
        <f t="shared" si="98"/>
        <v>#NUM!</v>
      </c>
      <c r="BE160" s="888" t="str">
        <f t="shared" si="68"/>
        <v>PP</v>
      </c>
      <c r="BF160" s="229" t="e">
        <f t="shared" si="69"/>
        <v>#NUM!</v>
      </c>
      <c r="BG160" s="229" t="e">
        <f t="shared" si="70"/>
        <v>#NUM!</v>
      </c>
      <c r="BH160" s="229" t="e">
        <f t="shared" si="71"/>
        <v>#NUM!</v>
      </c>
      <c r="BI160" s="229" t="e">
        <f t="shared" si="72"/>
        <v>#NUM!</v>
      </c>
      <c r="BK160" s="427">
        <f t="shared" si="91"/>
        <v>54</v>
      </c>
      <c r="BL160" s="884">
        <f t="shared" si="92"/>
        <v>1610</v>
      </c>
      <c r="BM160" s="121" t="b">
        <f>IF($Q$36="Fixed",$Q$42,IF($Q$36="Variable",VLOOKUP(BL160,'Financing Constants'!$A$8:$L$148,$BL$179)+$Q$41/10000))</f>
        <v>0</v>
      </c>
      <c r="BN160" s="229" t="e">
        <f t="shared" si="99"/>
        <v>#NUM!</v>
      </c>
      <c r="BO160" s="888" t="str">
        <f t="shared" si="73"/>
        <v>PP</v>
      </c>
      <c r="BP160" s="229" t="e">
        <f t="shared" si="74"/>
        <v>#NUM!</v>
      </c>
      <c r="BQ160" s="229" t="e">
        <f t="shared" si="75"/>
        <v>#NUM!</v>
      </c>
      <c r="BR160" s="229" t="e">
        <f t="shared" si="76"/>
        <v>#NUM!</v>
      </c>
      <c r="BS160" s="229" t="e">
        <f t="shared" si="77"/>
        <v>#NUM!</v>
      </c>
      <c r="BU160" s="427">
        <f t="shared" si="93"/>
        <v>54</v>
      </c>
      <c r="BV160" s="884">
        <f t="shared" si="94"/>
        <v>1610</v>
      </c>
      <c r="BW160" s="121" t="b">
        <f>IF($T$36="Fixed",$T$42,IF($T$36="Variable",VLOOKUP(BV160,'Financing Constants'!$A$8:$L$148,$BV$179)+$T$41/10000))</f>
        <v>0</v>
      </c>
      <c r="BX160" s="229" t="e">
        <f t="shared" si="100"/>
        <v>#NUM!</v>
      </c>
      <c r="BY160" s="888" t="str">
        <f t="shared" si="78"/>
        <v>PP</v>
      </c>
      <c r="BZ160" s="229" t="e">
        <f t="shared" si="79"/>
        <v>#NUM!</v>
      </c>
      <c r="CA160" s="229" t="e">
        <f t="shared" si="80"/>
        <v>#NUM!</v>
      </c>
      <c r="CB160" s="229" t="e">
        <f t="shared" si="81"/>
        <v>#NUM!</v>
      </c>
      <c r="CC160" s="229" t="e">
        <f t="shared" si="82"/>
        <v>#NUM!</v>
      </c>
    </row>
    <row r="161" spans="15:81" ht="13.9" customHeight="1" x14ac:dyDescent="0.25">
      <c r="W161" s="427">
        <f t="shared" si="83"/>
        <v>55</v>
      </c>
      <c r="X161" s="884">
        <f t="shared" si="84"/>
        <v>1640</v>
      </c>
      <c r="Y161" s="121" t="b">
        <f>IF($E$36="Fixed",$E$42,IF($E$36="Variable",VLOOKUP(X161,'Financing Constants'!$A$8:$L$148,$X$179)+$E$41/10000))</f>
        <v>0</v>
      </c>
      <c r="Z161" s="229">
        <f t="shared" si="95"/>
        <v>10440103.749999955</v>
      </c>
      <c r="AA161" s="888" t="str">
        <f t="shared" si="31"/>
        <v>PP</v>
      </c>
      <c r="AB161" s="229">
        <f t="shared" si="54"/>
        <v>34117.986111111109</v>
      </c>
      <c r="AC161" s="229">
        <f t="shared" si="55"/>
        <v>34117.986111111109</v>
      </c>
      <c r="AD161" s="229">
        <f t="shared" si="56"/>
        <v>0</v>
      </c>
      <c r="AE161" s="229">
        <f t="shared" si="57"/>
        <v>10405985.763888843</v>
      </c>
      <c r="AG161" s="427">
        <f t="shared" si="85"/>
        <v>55</v>
      </c>
      <c r="AH161" s="884">
        <f t="shared" si="86"/>
        <v>1640</v>
      </c>
      <c r="AI161" s="121" t="b">
        <f>IF($H$36="Fixed",$H$42,IF($H$36="Variable",VLOOKUP(AH161,'Financing Constants'!$A$8:$L$148,$AH$179)+$H$41/10000))</f>
        <v>0</v>
      </c>
      <c r="AJ161" s="229" t="e">
        <f t="shared" si="96"/>
        <v>#NUM!</v>
      </c>
      <c r="AK161" s="888" t="str">
        <f t="shared" si="58"/>
        <v>PP</v>
      </c>
      <c r="AL161" s="229" t="e">
        <f t="shared" si="59"/>
        <v>#NUM!</v>
      </c>
      <c r="AM161" s="229" t="e">
        <f t="shared" si="60"/>
        <v>#NUM!</v>
      </c>
      <c r="AN161" s="229" t="e">
        <f t="shared" si="61"/>
        <v>#NUM!</v>
      </c>
      <c r="AO161" s="229" t="e">
        <f t="shared" si="62"/>
        <v>#NUM!</v>
      </c>
      <c r="AQ161" s="427">
        <f t="shared" si="87"/>
        <v>55</v>
      </c>
      <c r="AR161" s="884">
        <f t="shared" si="88"/>
        <v>1640</v>
      </c>
      <c r="AS161" s="121" t="b">
        <f>IF($K$36="Fixed",$K$42,IF($K$36="Variable",VLOOKUP(AR161,'Financing Constants'!$A$8:$L$148,$AR$179)+$K$41/10000))</f>
        <v>0</v>
      </c>
      <c r="AT161" s="229" t="e">
        <f t="shared" si="97"/>
        <v>#NUM!</v>
      </c>
      <c r="AU161" s="888" t="str">
        <f t="shared" si="63"/>
        <v>PP</v>
      </c>
      <c r="AV161" s="229" t="e">
        <f t="shared" si="64"/>
        <v>#NUM!</v>
      </c>
      <c r="AW161" s="229" t="e">
        <f t="shared" si="65"/>
        <v>#NUM!</v>
      </c>
      <c r="AX161" s="229" t="e">
        <f t="shared" si="66"/>
        <v>#NUM!</v>
      </c>
      <c r="AY161" s="229" t="e">
        <f t="shared" si="67"/>
        <v>#NUM!</v>
      </c>
      <c r="BA161" s="427">
        <f t="shared" si="89"/>
        <v>55</v>
      </c>
      <c r="BB161" s="884">
        <f t="shared" si="90"/>
        <v>1640</v>
      </c>
      <c r="BC161" s="121" t="b">
        <f>IF($N$36="Fixed",$N$42,IF($N$36="Variable",VLOOKUP(BB161,'Financing Constants'!$A$8:$L$148,$BB$179)+$N$41/10000))</f>
        <v>0</v>
      </c>
      <c r="BD161" s="229" t="e">
        <f t="shared" si="98"/>
        <v>#NUM!</v>
      </c>
      <c r="BE161" s="888" t="str">
        <f t="shared" si="68"/>
        <v>PP</v>
      </c>
      <c r="BF161" s="229" t="e">
        <f t="shared" si="69"/>
        <v>#NUM!</v>
      </c>
      <c r="BG161" s="229" t="e">
        <f t="shared" si="70"/>
        <v>#NUM!</v>
      </c>
      <c r="BH161" s="229" t="e">
        <f t="shared" si="71"/>
        <v>#NUM!</v>
      </c>
      <c r="BI161" s="229" t="e">
        <f t="shared" si="72"/>
        <v>#NUM!</v>
      </c>
      <c r="BK161" s="427">
        <f t="shared" si="91"/>
        <v>55</v>
      </c>
      <c r="BL161" s="884">
        <f t="shared" si="92"/>
        <v>1640</v>
      </c>
      <c r="BM161" s="121" t="b">
        <f>IF($Q$36="Fixed",$Q$42,IF($Q$36="Variable",VLOOKUP(BL161,'Financing Constants'!$A$8:$L$148,$BL$179)+$Q$41/10000))</f>
        <v>0</v>
      </c>
      <c r="BN161" s="229" t="e">
        <f t="shared" si="99"/>
        <v>#NUM!</v>
      </c>
      <c r="BO161" s="888" t="str">
        <f t="shared" si="73"/>
        <v>PP</v>
      </c>
      <c r="BP161" s="229" t="e">
        <f t="shared" si="74"/>
        <v>#NUM!</v>
      </c>
      <c r="BQ161" s="229" t="e">
        <f t="shared" si="75"/>
        <v>#NUM!</v>
      </c>
      <c r="BR161" s="229" t="e">
        <f t="shared" si="76"/>
        <v>#NUM!</v>
      </c>
      <c r="BS161" s="229" t="e">
        <f t="shared" si="77"/>
        <v>#NUM!</v>
      </c>
      <c r="BU161" s="427">
        <f t="shared" si="93"/>
        <v>55</v>
      </c>
      <c r="BV161" s="884">
        <f t="shared" si="94"/>
        <v>1640</v>
      </c>
      <c r="BW161" s="121" t="b">
        <f>IF($T$36="Fixed",$T$42,IF($T$36="Variable",VLOOKUP(BV161,'Financing Constants'!$A$8:$L$148,$BV$179)+$T$41/10000))</f>
        <v>0</v>
      </c>
      <c r="BX161" s="229" t="e">
        <f t="shared" si="100"/>
        <v>#NUM!</v>
      </c>
      <c r="BY161" s="888" t="str">
        <f t="shared" si="78"/>
        <v>PP</v>
      </c>
      <c r="BZ161" s="229" t="e">
        <f t="shared" si="79"/>
        <v>#NUM!</v>
      </c>
      <c r="CA161" s="229" t="e">
        <f t="shared" si="80"/>
        <v>#NUM!</v>
      </c>
      <c r="CB161" s="229" t="e">
        <f t="shared" si="81"/>
        <v>#NUM!</v>
      </c>
      <c r="CC161" s="229" t="e">
        <f t="shared" si="82"/>
        <v>#NUM!</v>
      </c>
    </row>
    <row r="162" spans="15:81" ht="13.9" customHeight="1" x14ac:dyDescent="0.25">
      <c r="W162" s="427">
        <f t="shared" si="83"/>
        <v>56</v>
      </c>
      <c r="X162" s="884">
        <f t="shared" si="84"/>
        <v>1670</v>
      </c>
      <c r="Y162" s="121" t="b">
        <f>IF($E$36="Fixed",$E$42,IF($E$36="Variable",VLOOKUP(X162,'Financing Constants'!$A$8:$L$148,$X$179)+$E$41/10000))</f>
        <v>0</v>
      </c>
      <c r="Z162" s="229">
        <f t="shared" si="95"/>
        <v>10405985.763888843</v>
      </c>
      <c r="AA162" s="888" t="str">
        <f t="shared" si="31"/>
        <v>PP</v>
      </c>
      <c r="AB162" s="229">
        <f t="shared" si="54"/>
        <v>34117.986111111109</v>
      </c>
      <c r="AC162" s="229">
        <f t="shared" si="55"/>
        <v>34117.986111111109</v>
      </c>
      <c r="AD162" s="229">
        <f t="shared" si="56"/>
        <v>0</v>
      </c>
      <c r="AE162" s="229">
        <f t="shared" si="57"/>
        <v>10371867.777777731</v>
      </c>
      <c r="AG162" s="427">
        <f t="shared" si="85"/>
        <v>56</v>
      </c>
      <c r="AH162" s="884">
        <f t="shared" si="86"/>
        <v>1670</v>
      </c>
      <c r="AI162" s="121" t="b">
        <f>IF($H$36="Fixed",$H$42,IF($H$36="Variable",VLOOKUP(AH162,'Financing Constants'!$A$8:$L$148,$AH$179)+$H$41/10000))</f>
        <v>0</v>
      </c>
      <c r="AJ162" s="229" t="e">
        <f t="shared" si="96"/>
        <v>#NUM!</v>
      </c>
      <c r="AK162" s="888" t="str">
        <f t="shared" si="58"/>
        <v>PP</v>
      </c>
      <c r="AL162" s="229" t="e">
        <f t="shared" si="59"/>
        <v>#NUM!</v>
      </c>
      <c r="AM162" s="229" t="e">
        <f t="shared" si="60"/>
        <v>#NUM!</v>
      </c>
      <c r="AN162" s="229" t="e">
        <f t="shared" si="61"/>
        <v>#NUM!</v>
      </c>
      <c r="AO162" s="229" t="e">
        <f t="shared" si="62"/>
        <v>#NUM!</v>
      </c>
      <c r="AQ162" s="427">
        <f t="shared" si="87"/>
        <v>56</v>
      </c>
      <c r="AR162" s="884">
        <f t="shared" si="88"/>
        <v>1670</v>
      </c>
      <c r="AS162" s="121" t="b">
        <f>IF($K$36="Fixed",$K$42,IF($K$36="Variable",VLOOKUP(AR162,'Financing Constants'!$A$8:$L$148,$AR$179)+$K$41/10000))</f>
        <v>0</v>
      </c>
      <c r="AT162" s="229" t="e">
        <f t="shared" si="97"/>
        <v>#NUM!</v>
      </c>
      <c r="AU162" s="888" t="str">
        <f t="shared" si="63"/>
        <v>PP</v>
      </c>
      <c r="AV162" s="229" t="e">
        <f t="shared" si="64"/>
        <v>#NUM!</v>
      </c>
      <c r="AW162" s="229" t="e">
        <f t="shared" si="65"/>
        <v>#NUM!</v>
      </c>
      <c r="AX162" s="229" t="e">
        <f t="shared" si="66"/>
        <v>#NUM!</v>
      </c>
      <c r="AY162" s="229" t="e">
        <f t="shared" si="67"/>
        <v>#NUM!</v>
      </c>
      <c r="BA162" s="427">
        <f t="shared" si="89"/>
        <v>56</v>
      </c>
      <c r="BB162" s="884">
        <f t="shared" si="90"/>
        <v>1670</v>
      </c>
      <c r="BC162" s="121" t="b">
        <f>IF($N$36="Fixed",$N$42,IF($N$36="Variable",VLOOKUP(BB162,'Financing Constants'!$A$8:$L$148,$BB$179)+$N$41/10000))</f>
        <v>0</v>
      </c>
      <c r="BD162" s="229" t="e">
        <f t="shared" si="98"/>
        <v>#NUM!</v>
      </c>
      <c r="BE162" s="888" t="str">
        <f t="shared" si="68"/>
        <v>PP</v>
      </c>
      <c r="BF162" s="229" t="e">
        <f t="shared" si="69"/>
        <v>#NUM!</v>
      </c>
      <c r="BG162" s="229" t="e">
        <f t="shared" si="70"/>
        <v>#NUM!</v>
      </c>
      <c r="BH162" s="229" t="e">
        <f t="shared" si="71"/>
        <v>#NUM!</v>
      </c>
      <c r="BI162" s="229" t="e">
        <f t="shared" si="72"/>
        <v>#NUM!</v>
      </c>
      <c r="BK162" s="427">
        <f t="shared" si="91"/>
        <v>56</v>
      </c>
      <c r="BL162" s="884">
        <f t="shared" si="92"/>
        <v>1670</v>
      </c>
      <c r="BM162" s="121" t="b">
        <f>IF($Q$36="Fixed",$Q$42,IF($Q$36="Variable",VLOOKUP(BL162,'Financing Constants'!$A$8:$L$148,$BL$179)+$Q$41/10000))</f>
        <v>0</v>
      </c>
      <c r="BN162" s="229" t="e">
        <f t="shared" si="99"/>
        <v>#NUM!</v>
      </c>
      <c r="BO162" s="888" t="str">
        <f t="shared" si="73"/>
        <v>PP</v>
      </c>
      <c r="BP162" s="229" t="e">
        <f t="shared" si="74"/>
        <v>#NUM!</v>
      </c>
      <c r="BQ162" s="229" t="e">
        <f t="shared" si="75"/>
        <v>#NUM!</v>
      </c>
      <c r="BR162" s="229" t="e">
        <f t="shared" si="76"/>
        <v>#NUM!</v>
      </c>
      <c r="BS162" s="229" t="e">
        <f t="shared" si="77"/>
        <v>#NUM!</v>
      </c>
      <c r="BU162" s="427">
        <f t="shared" si="93"/>
        <v>56</v>
      </c>
      <c r="BV162" s="884">
        <f t="shared" si="94"/>
        <v>1670</v>
      </c>
      <c r="BW162" s="121" t="b">
        <f>IF($T$36="Fixed",$T$42,IF($T$36="Variable",VLOOKUP(BV162,'Financing Constants'!$A$8:$L$148,$BV$179)+$T$41/10000))</f>
        <v>0</v>
      </c>
      <c r="BX162" s="229" t="e">
        <f t="shared" si="100"/>
        <v>#NUM!</v>
      </c>
      <c r="BY162" s="888" t="str">
        <f t="shared" si="78"/>
        <v>PP</v>
      </c>
      <c r="BZ162" s="229" t="e">
        <f t="shared" si="79"/>
        <v>#NUM!</v>
      </c>
      <c r="CA162" s="229" t="e">
        <f t="shared" si="80"/>
        <v>#NUM!</v>
      </c>
      <c r="CB162" s="229" t="e">
        <f t="shared" si="81"/>
        <v>#NUM!</v>
      </c>
      <c r="CC162" s="229" t="e">
        <f t="shared" si="82"/>
        <v>#NUM!</v>
      </c>
    </row>
    <row r="163" spans="15:81" ht="13.9" customHeight="1" x14ac:dyDescent="0.25">
      <c r="W163" s="427">
        <f t="shared" si="83"/>
        <v>57</v>
      </c>
      <c r="X163" s="884">
        <f t="shared" si="84"/>
        <v>1700</v>
      </c>
      <c r="Y163" s="121" t="b">
        <f>IF($E$36="Fixed",$E$42,IF($E$36="Variable",VLOOKUP(X163,'Financing Constants'!$A$8:$L$148,$X$179)+$E$41/10000))</f>
        <v>0</v>
      </c>
      <c r="Z163" s="229">
        <f t="shared" si="95"/>
        <v>10371867.777777731</v>
      </c>
      <c r="AA163" s="888" t="str">
        <f t="shared" si="31"/>
        <v>PP</v>
      </c>
      <c r="AB163" s="229">
        <f t="shared" si="54"/>
        <v>34117.986111111109</v>
      </c>
      <c r="AC163" s="229">
        <f t="shared" si="55"/>
        <v>34117.986111111109</v>
      </c>
      <c r="AD163" s="229">
        <f t="shared" si="56"/>
        <v>0</v>
      </c>
      <c r="AE163" s="229">
        <f t="shared" si="57"/>
        <v>10337749.791666619</v>
      </c>
      <c r="AG163" s="427">
        <f t="shared" si="85"/>
        <v>57</v>
      </c>
      <c r="AH163" s="884">
        <f t="shared" si="86"/>
        <v>1700</v>
      </c>
      <c r="AI163" s="121" t="b">
        <f>IF($H$36="Fixed",$H$42,IF($H$36="Variable",VLOOKUP(AH163,'Financing Constants'!$A$8:$L$148,$AH$179)+$H$41/10000))</f>
        <v>0</v>
      </c>
      <c r="AJ163" s="229" t="e">
        <f t="shared" si="96"/>
        <v>#NUM!</v>
      </c>
      <c r="AK163" s="888" t="str">
        <f t="shared" si="58"/>
        <v>PP</v>
      </c>
      <c r="AL163" s="229" t="e">
        <f t="shared" si="59"/>
        <v>#NUM!</v>
      </c>
      <c r="AM163" s="229" t="e">
        <f t="shared" si="60"/>
        <v>#NUM!</v>
      </c>
      <c r="AN163" s="229" t="e">
        <f t="shared" si="61"/>
        <v>#NUM!</v>
      </c>
      <c r="AO163" s="229" t="e">
        <f t="shared" si="62"/>
        <v>#NUM!</v>
      </c>
      <c r="AQ163" s="427">
        <f t="shared" si="87"/>
        <v>57</v>
      </c>
      <c r="AR163" s="884">
        <f t="shared" si="88"/>
        <v>1700</v>
      </c>
      <c r="AS163" s="121" t="b">
        <f>IF($K$36="Fixed",$K$42,IF($K$36="Variable",VLOOKUP(AR163,'Financing Constants'!$A$8:$L$148,$AR$179)+$K$41/10000))</f>
        <v>0</v>
      </c>
      <c r="AT163" s="229" t="e">
        <f t="shared" si="97"/>
        <v>#NUM!</v>
      </c>
      <c r="AU163" s="888" t="str">
        <f t="shared" si="63"/>
        <v>PP</v>
      </c>
      <c r="AV163" s="229" t="e">
        <f t="shared" si="64"/>
        <v>#NUM!</v>
      </c>
      <c r="AW163" s="229" t="e">
        <f t="shared" si="65"/>
        <v>#NUM!</v>
      </c>
      <c r="AX163" s="229" t="e">
        <f t="shared" si="66"/>
        <v>#NUM!</v>
      </c>
      <c r="AY163" s="229" t="e">
        <f t="shared" si="67"/>
        <v>#NUM!</v>
      </c>
      <c r="BA163" s="427">
        <f t="shared" si="89"/>
        <v>57</v>
      </c>
      <c r="BB163" s="884">
        <f t="shared" si="90"/>
        <v>1700</v>
      </c>
      <c r="BC163" s="121" t="b">
        <f>IF($N$36="Fixed",$N$42,IF($N$36="Variable",VLOOKUP(BB163,'Financing Constants'!$A$8:$L$148,$BB$179)+$N$41/10000))</f>
        <v>0</v>
      </c>
      <c r="BD163" s="229" t="e">
        <f t="shared" si="98"/>
        <v>#NUM!</v>
      </c>
      <c r="BE163" s="888" t="str">
        <f t="shared" si="68"/>
        <v>PP</v>
      </c>
      <c r="BF163" s="229" t="e">
        <f t="shared" si="69"/>
        <v>#NUM!</v>
      </c>
      <c r="BG163" s="229" t="e">
        <f t="shared" si="70"/>
        <v>#NUM!</v>
      </c>
      <c r="BH163" s="229" t="e">
        <f t="shared" si="71"/>
        <v>#NUM!</v>
      </c>
      <c r="BI163" s="229" t="e">
        <f t="shared" si="72"/>
        <v>#NUM!</v>
      </c>
      <c r="BK163" s="427">
        <f t="shared" si="91"/>
        <v>57</v>
      </c>
      <c r="BL163" s="884">
        <f t="shared" si="92"/>
        <v>1700</v>
      </c>
      <c r="BM163" s="121" t="b">
        <f>IF($Q$36="Fixed",$Q$42,IF($Q$36="Variable",VLOOKUP(BL163,'Financing Constants'!$A$8:$L$148,$BL$179)+$Q$41/10000))</f>
        <v>0</v>
      </c>
      <c r="BN163" s="229" t="e">
        <f t="shared" si="99"/>
        <v>#NUM!</v>
      </c>
      <c r="BO163" s="888" t="str">
        <f t="shared" si="73"/>
        <v>PP</v>
      </c>
      <c r="BP163" s="229" t="e">
        <f t="shared" si="74"/>
        <v>#NUM!</v>
      </c>
      <c r="BQ163" s="229" t="e">
        <f t="shared" si="75"/>
        <v>#NUM!</v>
      </c>
      <c r="BR163" s="229" t="e">
        <f t="shared" si="76"/>
        <v>#NUM!</v>
      </c>
      <c r="BS163" s="229" t="e">
        <f t="shared" si="77"/>
        <v>#NUM!</v>
      </c>
      <c r="BU163" s="427">
        <f t="shared" si="93"/>
        <v>57</v>
      </c>
      <c r="BV163" s="884">
        <f t="shared" si="94"/>
        <v>1700</v>
      </c>
      <c r="BW163" s="121" t="b">
        <f>IF($T$36="Fixed",$T$42,IF($T$36="Variable",VLOOKUP(BV163,'Financing Constants'!$A$8:$L$148,$BV$179)+$T$41/10000))</f>
        <v>0</v>
      </c>
      <c r="BX163" s="229" t="e">
        <f t="shared" si="100"/>
        <v>#NUM!</v>
      </c>
      <c r="BY163" s="888" t="str">
        <f t="shared" si="78"/>
        <v>PP</v>
      </c>
      <c r="BZ163" s="229" t="e">
        <f t="shared" si="79"/>
        <v>#NUM!</v>
      </c>
      <c r="CA163" s="229" t="e">
        <f t="shared" si="80"/>
        <v>#NUM!</v>
      </c>
      <c r="CB163" s="229" t="e">
        <f t="shared" si="81"/>
        <v>#NUM!</v>
      </c>
      <c r="CC163" s="229" t="e">
        <f t="shared" si="82"/>
        <v>#NUM!</v>
      </c>
    </row>
    <row r="164" spans="15:81" ht="13.9" customHeight="1" x14ac:dyDescent="0.25">
      <c r="W164" s="427">
        <f t="shared" si="83"/>
        <v>58</v>
      </c>
      <c r="X164" s="884">
        <f t="shared" si="84"/>
        <v>1730</v>
      </c>
      <c r="Y164" s="121" t="b">
        <f>IF($E$36="Fixed",$E$42,IF($E$36="Variable",VLOOKUP(X164,'Financing Constants'!$A$8:$L$148,$X$179)+$E$41/10000))</f>
        <v>0</v>
      </c>
      <c r="Z164" s="229">
        <f t="shared" si="95"/>
        <v>10337749.791666619</v>
      </c>
      <c r="AA164" s="888" t="str">
        <f t="shared" si="31"/>
        <v>PP</v>
      </c>
      <c r="AB164" s="229">
        <f t="shared" si="54"/>
        <v>34117.986111111109</v>
      </c>
      <c r="AC164" s="229">
        <f t="shared" si="55"/>
        <v>34117.986111111109</v>
      </c>
      <c r="AD164" s="229">
        <f t="shared" si="56"/>
        <v>0</v>
      </c>
      <c r="AE164" s="229">
        <f t="shared" si="57"/>
        <v>10303631.805555508</v>
      </c>
      <c r="AG164" s="427">
        <f t="shared" si="85"/>
        <v>58</v>
      </c>
      <c r="AH164" s="884">
        <f t="shared" si="86"/>
        <v>1730</v>
      </c>
      <c r="AI164" s="121" t="b">
        <f>IF($H$36="Fixed",$H$42,IF($H$36="Variable",VLOOKUP(AH164,'Financing Constants'!$A$8:$L$148,$AH$179)+$H$41/10000))</f>
        <v>0</v>
      </c>
      <c r="AJ164" s="229" t="e">
        <f t="shared" si="96"/>
        <v>#NUM!</v>
      </c>
      <c r="AK164" s="888" t="str">
        <f t="shared" si="58"/>
        <v>PP</v>
      </c>
      <c r="AL164" s="229" t="e">
        <f t="shared" si="59"/>
        <v>#NUM!</v>
      </c>
      <c r="AM164" s="229" t="e">
        <f t="shared" si="60"/>
        <v>#NUM!</v>
      </c>
      <c r="AN164" s="229" t="e">
        <f t="shared" si="61"/>
        <v>#NUM!</v>
      </c>
      <c r="AO164" s="229" t="e">
        <f t="shared" si="62"/>
        <v>#NUM!</v>
      </c>
      <c r="AQ164" s="427">
        <f t="shared" si="87"/>
        <v>58</v>
      </c>
      <c r="AR164" s="884">
        <f t="shared" si="88"/>
        <v>1730</v>
      </c>
      <c r="AS164" s="121" t="b">
        <f>IF($K$36="Fixed",$K$42,IF($K$36="Variable",VLOOKUP(AR164,'Financing Constants'!$A$8:$L$148,$AR$179)+$K$41/10000))</f>
        <v>0</v>
      </c>
      <c r="AT164" s="229" t="e">
        <f t="shared" si="97"/>
        <v>#NUM!</v>
      </c>
      <c r="AU164" s="888" t="str">
        <f t="shared" si="63"/>
        <v>PP</v>
      </c>
      <c r="AV164" s="229" t="e">
        <f t="shared" si="64"/>
        <v>#NUM!</v>
      </c>
      <c r="AW164" s="229" t="e">
        <f t="shared" si="65"/>
        <v>#NUM!</v>
      </c>
      <c r="AX164" s="229" t="e">
        <f t="shared" si="66"/>
        <v>#NUM!</v>
      </c>
      <c r="AY164" s="229" t="e">
        <f t="shared" si="67"/>
        <v>#NUM!</v>
      </c>
      <c r="BA164" s="427">
        <f t="shared" si="89"/>
        <v>58</v>
      </c>
      <c r="BB164" s="884">
        <f t="shared" si="90"/>
        <v>1730</v>
      </c>
      <c r="BC164" s="121" t="b">
        <f>IF($N$36="Fixed",$N$42,IF($N$36="Variable",VLOOKUP(BB164,'Financing Constants'!$A$8:$L$148,$BB$179)+$N$41/10000))</f>
        <v>0</v>
      </c>
      <c r="BD164" s="229" t="e">
        <f t="shared" si="98"/>
        <v>#NUM!</v>
      </c>
      <c r="BE164" s="888" t="str">
        <f t="shared" si="68"/>
        <v>PP</v>
      </c>
      <c r="BF164" s="229" t="e">
        <f t="shared" si="69"/>
        <v>#NUM!</v>
      </c>
      <c r="BG164" s="229" t="e">
        <f t="shared" si="70"/>
        <v>#NUM!</v>
      </c>
      <c r="BH164" s="229" t="e">
        <f t="shared" si="71"/>
        <v>#NUM!</v>
      </c>
      <c r="BI164" s="229" t="e">
        <f t="shared" si="72"/>
        <v>#NUM!</v>
      </c>
      <c r="BK164" s="427">
        <f t="shared" si="91"/>
        <v>58</v>
      </c>
      <c r="BL164" s="884">
        <f t="shared" si="92"/>
        <v>1730</v>
      </c>
      <c r="BM164" s="121" t="b">
        <f>IF($Q$36="Fixed",$Q$42,IF($Q$36="Variable",VLOOKUP(BL164,'Financing Constants'!$A$8:$L$148,$BL$179)+$Q$41/10000))</f>
        <v>0</v>
      </c>
      <c r="BN164" s="229" t="e">
        <f t="shared" si="99"/>
        <v>#NUM!</v>
      </c>
      <c r="BO164" s="888" t="str">
        <f t="shared" si="73"/>
        <v>PP</v>
      </c>
      <c r="BP164" s="229" t="e">
        <f t="shared" si="74"/>
        <v>#NUM!</v>
      </c>
      <c r="BQ164" s="229" t="e">
        <f t="shared" si="75"/>
        <v>#NUM!</v>
      </c>
      <c r="BR164" s="229" t="e">
        <f t="shared" si="76"/>
        <v>#NUM!</v>
      </c>
      <c r="BS164" s="229" t="e">
        <f t="shared" si="77"/>
        <v>#NUM!</v>
      </c>
      <c r="BU164" s="427">
        <f t="shared" si="93"/>
        <v>58</v>
      </c>
      <c r="BV164" s="884">
        <f t="shared" si="94"/>
        <v>1730</v>
      </c>
      <c r="BW164" s="121" t="b">
        <f>IF($T$36="Fixed",$T$42,IF($T$36="Variable",VLOOKUP(BV164,'Financing Constants'!$A$8:$L$148,$BV$179)+$T$41/10000))</f>
        <v>0</v>
      </c>
      <c r="BX164" s="229" t="e">
        <f t="shared" si="100"/>
        <v>#NUM!</v>
      </c>
      <c r="BY164" s="888" t="str">
        <f t="shared" si="78"/>
        <v>PP</v>
      </c>
      <c r="BZ164" s="229" t="e">
        <f t="shared" si="79"/>
        <v>#NUM!</v>
      </c>
      <c r="CA164" s="229" t="e">
        <f t="shared" si="80"/>
        <v>#NUM!</v>
      </c>
      <c r="CB164" s="229" t="e">
        <f t="shared" si="81"/>
        <v>#NUM!</v>
      </c>
      <c r="CC164" s="229" t="e">
        <f t="shared" si="82"/>
        <v>#NUM!</v>
      </c>
    </row>
    <row r="165" spans="15:81" ht="13.9" customHeight="1" x14ac:dyDescent="0.25">
      <c r="W165" s="427">
        <f t="shared" si="83"/>
        <v>59</v>
      </c>
      <c r="X165" s="884">
        <f t="shared" si="84"/>
        <v>1760</v>
      </c>
      <c r="Y165" s="121" t="b">
        <f>IF($E$36="Fixed",$E$42,IF($E$36="Variable",VLOOKUP(X165,'Financing Constants'!$A$8:$L$148,$X$179)+$E$41/10000))</f>
        <v>0</v>
      </c>
      <c r="Z165" s="229">
        <f t="shared" si="95"/>
        <v>10303631.805555508</v>
      </c>
      <c r="AA165" s="888" t="str">
        <f t="shared" si="31"/>
        <v>PP</v>
      </c>
      <c r="AB165" s="229">
        <f t="shared" si="54"/>
        <v>34117.986111111109</v>
      </c>
      <c r="AC165" s="229">
        <f t="shared" si="55"/>
        <v>34117.986111111109</v>
      </c>
      <c r="AD165" s="229">
        <f t="shared" si="56"/>
        <v>0</v>
      </c>
      <c r="AE165" s="229">
        <f t="shared" si="57"/>
        <v>10269513.819444396</v>
      </c>
      <c r="AG165" s="427">
        <f t="shared" si="85"/>
        <v>59</v>
      </c>
      <c r="AH165" s="884">
        <f t="shared" si="86"/>
        <v>1760</v>
      </c>
      <c r="AI165" s="121" t="b">
        <f>IF($H$36="Fixed",$H$42,IF($H$36="Variable",VLOOKUP(AH165,'Financing Constants'!$A$8:$L$148,$AH$179)+$H$41/10000))</f>
        <v>0</v>
      </c>
      <c r="AJ165" s="229" t="e">
        <f t="shared" si="96"/>
        <v>#NUM!</v>
      </c>
      <c r="AK165" s="888" t="str">
        <f t="shared" si="58"/>
        <v>PP</v>
      </c>
      <c r="AL165" s="229" t="e">
        <f t="shared" si="59"/>
        <v>#NUM!</v>
      </c>
      <c r="AM165" s="229" t="e">
        <f t="shared" si="60"/>
        <v>#NUM!</v>
      </c>
      <c r="AN165" s="229" t="e">
        <f t="shared" si="61"/>
        <v>#NUM!</v>
      </c>
      <c r="AO165" s="229" t="e">
        <f t="shared" si="62"/>
        <v>#NUM!</v>
      </c>
      <c r="AQ165" s="427">
        <f t="shared" si="87"/>
        <v>59</v>
      </c>
      <c r="AR165" s="884">
        <f t="shared" si="88"/>
        <v>1760</v>
      </c>
      <c r="AS165" s="121" t="b">
        <f>IF($K$36="Fixed",$K$42,IF($K$36="Variable",VLOOKUP(AR165,'Financing Constants'!$A$8:$L$148,$AR$179)+$K$41/10000))</f>
        <v>0</v>
      </c>
      <c r="AT165" s="229" t="e">
        <f t="shared" si="97"/>
        <v>#NUM!</v>
      </c>
      <c r="AU165" s="888" t="str">
        <f t="shared" si="63"/>
        <v>PP</v>
      </c>
      <c r="AV165" s="229" t="e">
        <f t="shared" si="64"/>
        <v>#NUM!</v>
      </c>
      <c r="AW165" s="229" t="e">
        <f t="shared" si="65"/>
        <v>#NUM!</v>
      </c>
      <c r="AX165" s="229" t="e">
        <f t="shared" si="66"/>
        <v>#NUM!</v>
      </c>
      <c r="AY165" s="229" t="e">
        <f t="shared" si="67"/>
        <v>#NUM!</v>
      </c>
      <c r="BA165" s="427">
        <f t="shared" si="89"/>
        <v>59</v>
      </c>
      <c r="BB165" s="884">
        <f t="shared" si="90"/>
        <v>1760</v>
      </c>
      <c r="BC165" s="121" t="b">
        <f>IF($N$36="Fixed",$N$42,IF($N$36="Variable",VLOOKUP(BB165,'Financing Constants'!$A$8:$L$148,$BB$179)+$N$41/10000))</f>
        <v>0</v>
      </c>
      <c r="BD165" s="229" t="e">
        <f t="shared" si="98"/>
        <v>#NUM!</v>
      </c>
      <c r="BE165" s="888" t="str">
        <f t="shared" si="68"/>
        <v>PP</v>
      </c>
      <c r="BF165" s="229" t="e">
        <f t="shared" si="69"/>
        <v>#NUM!</v>
      </c>
      <c r="BG165" s="229" t="e">
        <f t="shared" si="70"/>
        <v>#NUM!</v>
      </c>
      <c r="BH165" s="229" t="e">
        <f t="shared" si="71"/>
        <v>#NUM!</v>
      </c>
      <c r="BI165" s="229" t="e">
        <f t="shared" si="72"/>
        <v>#NUM!</v>
      </c>
      <c r="BK165" s="427">
        <f t="shared" si="91"/>
        <v>59</v>
      </c>
      <c r="BL165" s="884">
        <f t="shared" si="92"/>
        <v>1760</v>
      </c>
      <c r="BM165" s="121" t="b">
        <f>IF($Q$36="Fixed",$Q$42,IF($Q$36="Variable",VLOOKUP(BL165,'Financing Constants'!$A$8:$L$148,$BL$179)+$Q$41/10000))</f>
        <v>0</v>
      </c>
      <c r="BN165" s="229" t="e">
        <f t="shared" si="99"/>
        <v>#NUM!</v>
      </c>
      <c r="BO165" s="888" t="str">
        <f t="shared" si="73"/>
        <v>PP</v>
      </c>
      <c r="BP165" s="229" t="e">
        <f t="shared" si="74"/>
        <v>#NUM!</v>
      </c>
      <c r="BQ165" s="229" t="e">
        <f t="shared" si="75"/>
        <v>#NUM!</v>
      </c>
      <c r="BR165" s="229" t="e">
        <f t="shared" si="76"/>
        <v>#NUM!</v>
      </c>
      <c r="BS165" s="229" t="e">
        <f t="shared" si="77"/>
        <v>#NUM!</v>
      </c>
      <c r="BU165" s="427">
        <f t="shared" si="93"/>
        <v>59</v>
      </c>
      <c r="BV165" s="884">
        <f t="shared" si="94"/>
        <v>1760</v>
      </c>
      <c r="BW165" s="121" t="b">
        <f>IF($T$36="Fixed",$T$42,IF($T$36="Variable",VLOOKUP(BV165,'Financing Constants'!$A$8:$L$148,$BV$179)+$T$41/10000))</f>
        <v>0</v>
      </c>
      <c r="BX165" s="229" t="e">
        <f t="shared" si="100"/>
        <v>#NUM!</v>
      </c>
      <c r="BY165" s="888" t="str">
        <f t="shared" si="78"/>
        <v>PP</v>
      </c>
      <c r="BZ165" s="229" t="e">
        <f t="shared" si="79"/>
        <v>#NUM!</v>
      </c>
      <c r="CA165" s="229" t="e">
        <f t="shared" si="80"/>
        <v>#NUM!</v>
      </c>
      <c r="CB165" s="229" t="e">
        <f t="shared" si="81"/>
        <v>#NUM!</v>
      </c>
      <c r="CC165" s="229" t="e">
        <f t="shared" si="82"/>
        <v>#NUM!</v>
      </c>
    </row>
    <row r="166" spans="15:81" ht="13.9" customHeight="1" x14ac:dyDescent="0.25">
      <c r="W166" s="427">
        <f t="shared" si="83"/>
        <v>60</v>
      </c>
      <c r="X166" s="884">
        <f t="shared" si="84"/>
        <v>1790</v>
      </c>
      <c r="Y166" s="121" t="b">
        <f>IF($E$36="Fixed",$E$42,IF($E$36="Variable",VLOOKUP(X166,'Financing Constants'!$A$8:$L$148,$X$179)+$E$41/10000))</f>
        <v>0</v>
      </c>
      <c r="Z166" s="229">
        <f t="shared" si="95"/>
        <v>10269513.819444396</v>
      </c>
      <c r="AA166" s="888" t="str">
        <f t="shared" si="31"/>
        <v>PP</v>
      </c>
      <c r="AB166" s="229">
        <f t="shared" si="54"/>
        <v>34117.986111111109</v>
      </c>
      <c r="AC166" s="229">
        <f t="shared" si="55"/>
        <v>34117.986111111109</v>
      </c>
      <c r="AD166" s="229">
        <f t="shared" si="56"/>
        <v>0</v>
      </c>
      <c r="AE166" s="229">
        <f t="shared" si="57"/>
        <v>10235395.833333284</v>
      </c>
      <c r="AG166" s="427">
        <f t="shared" si="85"/>
        <v>60</v>
      </c>
      <c r="AH166" s="884">
        <f t="shared" si="86"/>
        <v>1790</v>
      </c>
      <c r="AI166" s="121" t="b">
        <f>IF($H$36="Fixed",$H$42,IF($H$36="Variable",VLOOKUP(AH166,'Financing Constants'!$A$8:$L$148,$AH$179)+$H$41/10000))</f>
        <v>0</v>
      </c>
      <c r="AJ166" s="229" t="e">
        <f t="shared" si="96"/>
        <v>#NUM!</v>
      </c>
      <c r="AK166" s="888" t="str">
        <f t="shared" si="58"/>
        <v>PP</v>
      </c>
      <c r="AL166" s="229" t="e">
        <f t="shared" si="59"/>
        <v>#NUM!</v>
      </c>
      <c r="AM166" s="229" t="e">
        <f t="shared" si="60"/>
        <v>#NUM!</v>
      </c>
      <c r="AN166" s="229" t="e">
        <f t="shared" si="61"/>
        <v>#NUM!</v>
      </c>
      <c r="AO166" s="229" t="e">
        <f t="shared" si="62"/>
        <v>#NUM!</v>
      </c>
      <c r="AQ166" s="427">
        <f t="shared" si="87"/>
        <v>60</v>
      </c>
      <c r="AR166" s="884">
        <f t="shared" si="88"/>
        <v>1790</v>
      </c>
      <c r="AS166" s="121" t="b">
        <f>IF($K$36="Fixed",$K$42,IF($K$36="Variable",VLOOKUP(AR166,'Financing Constants'!$A$8:$L$148,$AR$179)+$K$41/10000))</f>
        <v>0</v>
      </c>
      <c r="AT166" s="229" t="e">
        <f t="shared" si="97"/>
        <v>#NUM!</v>
      </c>
      <c r="AU166" s="888" t="str">
        <f t="shared" si="63"/>
        <v>PP</v>
      </c>
      <c r="AV166" s="229" t="e">
        <f t="shared" si="64"/>
        <v>#NUM!</v>
      </c>
      <c r="AW166" s="229" t="e">
        <f t="shared" si="65"/>
        <v>#NUM!</v>
      </c>
      <c r="AX166" s="229" t="e">
        <f t="shared" si="66"/>
        <v>#NUM!</v>
      </c>
      <c r="AY166" s="229" t="e">
        <f t="shared" si="67"/>
        <v>#NUM!</v>
      </c>
      <c r="BA166" s="427">
        <f t="shared" si="89"/>
        <v>60</v>
      </c>
      <c r="BB166" s="884">
        <f t="shared" si="90"/>
        <v>1790</v>
      </c>
      <c r="BC166" s="121" t="b">
        <f>IF($N$36="Fixed",$N$42,IF($N$36="Variable",VLOOKUP(BB166,'Financing Constants'!$A$8:$L$148,$BB$179)+$N$41/10000))</f>
        <v>0</v>
      </c>
      <c r="BD166" s="229" t="e">
        <f t="shared" si="98"/>
        <v>#NUM!</v>
      </c>
      <c r="BE166" s="888" t="str">
        <f t="shared" si="68"/>
        <v>PP</v>
      </c>
      <c r="BF166" s="229" t="e">
        <f t="shared" si="69"/>
        <v>#NUM!</v>
      </c>
      <c r="BG166" s="229" t="e">
        <f t="shared" si="70"/>
        <v>#NUM!</v>
      </c>
      <c r="BH166" s="229" t="e">
        <f t="shared" si="71"/>
        <v>#NUM!</v>
      </c>
      <c r="BI166" s="229" t="e">
        <f t="shared" si="72"/>
        <v>#NUM!</v>
      </c>
      <c r="BK166" s="427">
        <f t="shared" si="91"/>
        <v>60</v>
      </c>
      <c r="BL166" s="884">
        <f t="shared" si="92"/>
        <v>1790</v>
      </c>
      <c r="BM166" s="121" t="b">
        <f>IF($Q$36="Fixed",$Q$42,IF($Q$36="Variable",VLOOKUP(BL166,'Financing Constants'!$A$8:$L$148,$BL$179)+$Q$41/10000))</f>
        <v>0</v>
      </c>
      <c r="BN166" s="229" t="e">
        <f t="shared" si="99"/>
        <v>#NUM!</v>
      </c>
      <c r="BO166" s="888" t="str">
        <f t="shared" si="73"/>
        <v>PP</v>
      </c>
      <c r="BP166" s="229" t="e">
        <f t="shared" si="74"/>
        <v>#NUM!</v>
      </c>
      <c r="BQ166" s="229" t="e">
        <f t="shared" si="75"/>
        <v>#NUM!</v>
      </c>
      <c r="BR166" s="229" t="e">
        <f t="shared" si="76"/>
        <v>#NUM!</v>
      </c>
      <c r="BS166" s="229" t="e">
        <f t="shared" si="77"/>
        <v>#NUM!</v>
      </c>
      <c r="BU166" s="427">
        <f t="shared" si="93"/>
        <v>60</v>
      </c>
      <c r="BV166" s="884">
        <f t="shared" si="94"/>
        <v>1790</v>
      </c>
      <c r="BW166" s="121" t="b">
        <f>IF($T$36="Fixed",$T$42,IF($T$36="Variable",VLOOKUP(BV166,'Financing Constants'!$A$8:$L$148,$BV$179)+$T$41/10000))</f>
        <v>0</v>
      </c>
      <c r="BX166" s="229" t="e">
        <f t="shared" si="100"/>
        <v>#NUM!</v>
      </c>
      <c r="BY166" s="888" t="str">
        <f t="shared" si="78"/>
        <v>PP</v>
      </c>
      <c r="BZ166" s="229" t="e">
        <f t="shared" si="79"/>
        <v>#NUM!</v>
      </c>
      <c r="CA166" s="229" t="e">
        <f t="shared" si="80"/>
        <v>#NUM!</v>
      </c>
      <c r="CB166" s="229" t="e">
        <f t="shared" si="81"/>
        <v>#NUM!</v>
      </c>
      <c r="CC166" s="229" t="e">
        <f t="shared" si="82"/>
        <v>#NUM!</v>
      </c>
    </row>
    <row r="167" spans="15:81" ht="13.9" customHeight="1" x14ac:dyDescent="0.25">
      <c r="O167" s="518"/>
      <c r="W167" s="886"/>
      <c r="X167" s="885"/>
      <c r="Y167" s="885"/>
      <c r="Z167" s="893" t="s">
        <v>893</v>
      </c>
      <c r="AA167" s="886" t="s">
        <v>354</v>
      </c>
      <c r="AB167" s="886" t="s">
        <v>789</v>
      </c>
      <c r="AC167" s="886" t="s">
        <v>876</v>
      </c>
      <c r="AD167" s="886" t="s">
        <v>877</v>
      </c>
      <c r="AE167" s="885"/>
      <c r="AG167" s="886"/>
      <c r="AH167" s="885"/>
      <c r="AI167" s="885"/>
      <c r="AJ167" s="893" t="s">
        <v>893</v>
      </c>
      <c r="AK167" s="886" t="s">
        <v>354</v>
      </c>
      <c r="AL167" s="886" t="s">
        <v>789</v>
      </c>
      <c r="AM167" s="886" t="s">
        <v>876</v>
      </c>
      <c r="AN167" s="886" t="s">
        <v>877</v>
      </c>
      <c r="AO167" s="885"/>
      <c r="AQ167" s="886"/>
      <c r="AR167" s="885"/>
      <c r="AS167" s="885"/>
      <c r="AT167" s="893" t="s">
        <v>893</v>
      </c>
      <c r="AU167" s="886" t="s">
        <v>354</v>
      </c>
      <c r="AV167" s="886" t="s">
        <v>789</v>
      </c>
      <c r="AW167" s="886" t="s">
        <v>876</v>
      </c>
      <c r="AX167" s="886" t="s">
        <v>877</v>
      </c>
      <c r="AY167" s="885"/>
      <c r="BA167" s="886"/>
      <c r="BB167" s="885"/>
      <c r="BC167" s="885"/>
      <c r="BD167" s="893" t="s">
        <v>893</v>
      </c>
      <c r="BE167" s="886" t="s">
        <v>354</v>
      </c>
      <c r="BF167" s="886" t="s">
        <v>789</v>
      </c>
      <c r="BG167" s="886" t="s">
        <v>876</v>
      </c>
      <c r="BH167" s="886" t="s">
        <v>877</v>
      </c>
      <c r="BI167" s="885"/>
      <c r="BK167" s="886"/>
      <c r="BL167" s="885"/>
      <c r="BM167" s="885"/>
      <c r="BN167" s="893" t="s">
        <v>893</v>
      </c>
      <c r="BO167" s="886" t="s">
        <v>354</v>
      </c>
      <c r="BP167" s="886" t="s">
        <v>789</v>
      </c>
      <c r="BQ167" s="886" t="s">
        <v>876</v>
      </c>
      <c r="BR167" s="886" t="s">
        <v>877</v>
      </c>
      <c r="BS167" s="885"/>
      <c r="BU167" s="886"/>
      <c r="BV167" s="885"/>
      <c r="BW167" s="885"/>
      <c r="BX167" s="893" t="s">
        <v>893</v>
      </c>
      <c r="BY167" s="886" t="s">
        <v>354</v>
      </c>
      <c r="BZ167" s="886" t="s">
        <v>789</v>
      </c>
      <c r="CA167" s="886" t="s">
        <v>876</v>
      </c>
      <c r="CB167" s="886" t="s">
        <v>877</v>
      </c>
      <c r="CC167" s="885"/>
    </row>
    <row r="168" spans="15:81" ht="13.9" customHeight="1" x14ac:dyDescent="0.25">
      <c r="T168" s="1302" t="s">
        <v>894</v>
      </c>
      <c r="U168" s="1302"/>
      <c r="AA168" s="840">
        <v>0.5</v>
      </c>
      <c r="AB168" s="229">
        <f>SUM(AB107:AB112)</f>
        <v>204707.91666666669</v>
      </c>
      <c r="AC168" s="229">
        <f t="shared" ref="AC168:AD168" si="101">SUM(AC107:AC112)</f>
        <v>204707.91666666669</v>
      </c>
      <c r="AD168" s="229">
        <f t="shared" si="101"/>
        <v>0</v>
      </c>
      <c r="AK168" s="840">
        <v>0.5</v>
      </c>
      <c r="AL168" s="229" t="e">
        <f>SUM(AL107:AL112)</f>
        <v>#NUM!</v>
      </c>
      <c r="AM168" s="229" t="e">
        <f t="shared" ref="AM168:AN168" si="102">SUM(AM107:AM112)</f>
        <v>#NUM!</v>
      </c>
      <c r="AN168" s="229" t="e">
        <f t="shared" si="102"/>
        <v>#NUM!</v>
      </c>
      <c r="AU168" s="840">
        <v>0.5</v>
      </c>
      <c r="AV168" s="229" t="e">
        <f>SUM(AV107:AV112)</f>
        <v>#NUM!</v>
      </c>
      <c r="AW168" s="229" t="e">
        <f t="shared" ref="AW168:AX168" si="103">SUM(AW107:AW112)</f>
        <v>#NUM!</v>
      </c>
      <c r="AX168" s="229" t="e">
        <f t="shared" si="103"/>
        <v>#NUM!</v>
      </c>
      <c r="BE168" s="840">
        <v>0.5</v>
      </c>
      <c r="BF168" s="229" t="e">
        <f>SUM(BF107:BF112)</f>
        <v>#NUM!</v>
      </c>
      <c r="BG168" s="229" t="e">
        <f t="shared" ref="BG168:BH168" si="104">SUM(BG107:BG112)</f>
        <v>#NUM!</v>
      </c>
      <c r="BH168" s="229" t="e">
        <f t="shared" si="104"/>
        <v>#NUM!</v>
      </c>
      <c r="BO168" s="840">
        <v>0.5</v>
      </c>
      <c r="BP168" s="229" t="e">
        <f>SUM(BP107:BP112)</f>
        <v>#NUM!</v>
      </c>
      <c r="BQ168" s="229" t="e">
        <f t="shared" ref="BQ168:BR168" si="105">SUM(BQ107:BQ112)</f>
        <v>#NUM!</v>
      </c>
      <c r="BR168" s="229" t="e">
        <f t="shared" si="105"/>
        <v>#NUM!</v>
      </c>
      <c r="BY168" s="840">
        <v>0.5</v>
      </c>
      <c r="BZ168" s="229" t="e">
        <f>SUM(BZ107:BZ112)</f>
        <v>#NUM!</v>
      </c>
      <c r="CA168" s="229" t="e">
        <f t="shared" ref="CA168:CB168" si="106">SUM(CA107:CA112)</f>
        <v>#NUM!</v>
      </c>
      <c r="CB168" s="229" t="e">
        <f t="shared" si="106"/>
        <v>#NUM!</v>
      </c>
    </row>
    <row r="169" spans="15:81" ht="13.9" customHeight="1" x14ac:dyDescent="0.25">
      <c r="T169" s="894" t="s">
        <v>881</v>
      </c>
      <c r="U169" s="894" t="s">
        <v>882</v>
      </c>
      <c r="AA169" s="840">
        <v>1</v>
      </c>
      <c r="AB169" s="229">
        <f>SUM(AB107:AB118)</f>
        <v>409415.83333333343</v>
      </c>
      <c r="AC169" s="229">
        <f>SUM(AC107:AC118)</f>
        <v>409415.83333333343</v>
      </c>
      <c r="AD169" s="229">
        <f>SUM(AD107:AD118)</f>
        <v>0</v>
      </c>
      <c r="AK169" s="840">
        <v>1</v>
      </c>
      <c r="AL169" s="229" t="e">
        <f>SUM(AL107:AL118)</f>
        <v>#NUM!</v>
      </c>
      <c r="AM169" s="229" t="e">
        <f>SUM(AM107:AM118)</f>
        <v>#NUM!</v>
      </c>
      <c r="AN169" s="229" t="e">
        <f>SUM(AN107:AN118)</f>
        <v>#NUM!</v>
      </c>
      <c r="AU169" s="840">
        <v>1</v>
      </c>
      <c r="AV169" s="229" t="e">
        <f>SUM(AV107:AV118)</f>
        <v>#NUM!</v>
      </c>
      <c r="AW169" s="229" t="e">
        <f>SUM(AW107:AW118)</f>
        <v>#NUM!</v>
      </c>
      <c r="AX169" s="229" t="e">
        <f>SUM(AX107:AX118)</f>
        <v>#NUM!</v>
      </c>
      <c r="BE169" s="840">
        <v>1</v>
      </c>
      <c r="BF169" s="229" t="e">
        <f>SUM(BF107:BF118)</f>
        <v>#NUM!</v>
      </c>
      <c r="BG169" s="229" t="e">
        <f>SUM(BG107:BG118)</f>
        <v>#NUM!</v>
      </c>
      <c r="BH169" s="229" t="e">
        <f>SUM(BH107:BH118)</f>
        <v>#NUM!</v>
      </c>
      <c r="BO169" s="840">
        <v>1</v>
      </c>
      <c r="BP169" s="229" t="e">
        <f>SUM(BP107:BP118)</f>
        <v>#NUM!</v>
      </c>
      <c r="BQ169" s="229" t="e">
        <f>SUM(BQ107:BQ118)</f>
        <v>#NUM!</v>
      </c>
      <c r="BR169" s="229" t="e">
        <f>SUM(BR107:BR118)</f>
        <v>#NUM!</v>
      </c>
      <c r="BY169" s="840">
        <v>1</v>
      </c>
      <c r="BZ169" s="229" t="e">
        <f>SUM(BZ107:BZ118)</f>
        <v>#NUM!</v>
      </c>
      <c r="CA169" s="229" t="e">
        <f>SUM(CA107:CA118)</f>
        <v>#NUM!</v>
      </c>
      <c r="CB169" s="229" t="e">
        <f>SUM(CB107:CB118)</f>
        <v>#NUM!</v>
      </c>
    </row>
    <row r="170" spans="15:81" ht="13.9" customHeight="1" x14ac:dyDescent="0.25">
      <c r="T170" s="321" t="s">
        <v>806</v>
      </c>
      <c r="U170" s="895">
        <v>1</v>
      </c>
      <c r="AA170" s="840">
        <v>2</v>
      </c>
      <c r="AB170" s="229">
        <f>SUM(AB119:AB130)</f>
        <v>409415.83333333343</v>
      </c>
      <c r="AC170" s="229">
        <f>SUM(AC119:AC130)</f>
        <v>409415.83333333343</v>
      </c>
      <c r="AD170" s="229">
        <f>SUM(AD119:AD130)</f>
        <v>0</v>
      </c>
      <c r="AK170" s="840">
        <v>2</v>
      </c>
      <c r="AL170" s="229" t="e">
        <f>SUM(AL119:AL130)</f>
        <v>#NUM!</v>
      </c>
      <c r="AM170" s="229" t="e">
        <f>SUM(AM119:AM130)</f>
        <v>#NUM!</v>
      </c>
      <c r="AN170" s="229" t="e">
        <f>SUM(AN119:AN130)</f>
        <v>#NUM!</v>
      </c>
      <c r="AU170" s="840">
        <v>2</v>
      </c>
      <c r="AV170" s="229" t="e">
        <f>SUM(AV119:AV130)</f>
        <v>#NUM!</v>
      </c>
      <c r="AW170" s="229" t="e">
        <f>SUM(AW119:AW130)</f>
        <v>#NUM!</v>
      </c>
      <c r="AX170" s="229" t="e">
        <f>SUM(AX119:AX130)</f>
        <v>#NUM!</v>
      </c>
      <c r="BE170" s="840">
        <v>2</v>
      </c>
      <c r="BF170" s="229" t="e">
        <f>SUM(BF119:BF130)</f>
        <v>#NUM!</v>
      </c>
      <c r="BG170" s="229" t="e">
        <f>SUM(BG119:BG130)</f>
        <v>#NUM!</v>
      </c>
      <c r="BH170" s="229" t="e">
        <f>SUM(BH119:BH130)</f>
        <v>#NUM!</v>
      </c>
      <c r="BO170" s="840">
        <v>2</v>
      </c>
      <c r="BP170" s="229" t="e">
        <f>SUM(BP119:BP130)</f>
        <v>#NUM!</v>
      </c>
      <c r="BQ170" s="229" t="e">
        <f>SUM(BQ119:BQ130)</f>
        <v>#NUM!</v>
      </c>
      <c r="BR170" s="229" t="e">
        <f>SUM(BR119:BR130)</f>
        <v>#NUM!</v>
      </c>
      <c r="BY170" s="840">
        <v>2</v>
      </c>
      <c r="BZ170" s="229" t="e">
        <f>SUM(BZ119:BZ130)</f>
        <v>#NUM!</v>
      </c>
      <c r="CA170" s="229" t="e">
        <f>SUM(CA119:CA130)</f>
        <v>#NUM!</v>
      </c>
      <c r="CB170" s="229" t="e">
        <f>SUM(CB119:CB130)</f>
        <v>#NUM!</v>
      </c>
    </row>
    <row r="171" spans="15:81" ht="13.9" customHeight="1" x14ac:dyDescent="0.25">
      <c r="T171" s="321" t="s">
        <v>883</v>
      </c>
      <c r="U171" s="895">
        <v>3</v>
      </c>
      <c r="AA171" s="840">
        <v>3</v>
      </c>
      <c r="AB171" s="229">
        <f>SUM(AB131:AB142)</f>
        <v>409415.83333333343</v>
      </c>
      <c r="AC171" s="229">
        <f>SUM(AC131:AC142)</f>
        <v>409415.83333333343</v>
      </c>
      <c r="AD171" s="229">
        <f>SUM(AD131:AD142)</f>
        <v>0</v>
      </c>
      <c r="AK171" s="840">
        <v>3</v>
      </c>
      <c r="AL171" s="229" t="e">
        <f>SUM(AL131:AL142)</f>
        <v>#NUM!</v>
      </c>
      <c r="AM171" s="229" t="e">
        <f>SUM(AM131:AM142)</f>
        <v>#NUM!</v>
      </c>
      <c r="AN171" s="229" t="e">
        <f>SUM(AN131:AN142)</f>
        <v>#NUM!</v>
      </c>
      <c r="AU171" s="840">
        <v>3</v>
      </c>
      <c r="AV171" s="229" t="e">
        <f>SUM(AV131:AV142)</f>
        <v>#NUM!</v>
      </c>
      <c r="AW171" s="229" t="e">
        <f>SUM(AW131:AW142)</f>
        <v>#NUM!</v>
      </c>
      <c r="AX171" s="229" t="e">
        <f>SUM(AX131:AX142)</f>
        <v>#NUM!</v>
      </c>
      <c r="BE171" s="840">
        <v>3</v>
      </c>
      <c r="BF171" s="229" t="e">
        <f>SUM(BF131:BF142)</f>
        <v>#NUM!</v>
      </c>
      <c r="BG171" s="229" t="e">
        <f>SUM(BG131:BG142)</f>
        <v>#NUM!</v>
      </c>
      <c r="BH171" s="229" t="e">
        <f>SUM(BH131:BH142)</f>
        <v>#NUM!</v>
      </c>
      <c r="BO171" s="840">
        <v>3</v>
      </c>
      <c r="BP171" s="229" t="e">
        <f>SUM(BP131:BP142)</f>
        <v>#NUM!</v>
      </c>
      <c r="BQ171" s="229" t="e">
        <f>SUM(BQ131:BQ142)</f>
        <v>#NUM!</v>
      </c>
      <c r="BR171" s="229" t="e">
        <f>SUM(BR131:BR142)</f>
        <v>#NUM!</v>
      </c>
      <c r="BY171" s="840">
        <v>3</v>
      </c>
      <c r="BZ171" s="229" t="e">
        <f>SUM(BZ131:BZ142)</f>
        <v>#NUM!</v>
      </c>
      <c r="CA171" s="229" t="e">
        <f>SUM(CA131:CA142)</f>
        <v>#NUM!</v>
      </c>
      <c r="CB171" s="229" t="e">
        <f>SUM(CB131:CB142)</f>
        <v>#NUM!</v>
      </c>
    </row>
    <row r="172" spans="15:81" ht="13.9" customHeight="1" x14ac:dyDescent="0.25">
      <c r="T172" s="321">
        <v>3</v>
      </c>
      <c r="U172" s="895" t="s">
        <v>884</v>
      </c>
      <c r="AA172" s="840">
        <v>4</v>
      </c>
      <c r="AB172" s="229">
        <f>SUM(AB143:AB154)</f>
        <v>409415.83333333343</v>
      </c>
      <c r="AC172" s="229">
        <f>SUM(AC143:AC154)</f>
        <v>409415.83333333343</v>
      </c>
      <c r="AD172" s="229">
        <f>SUM(AD143:AD154)</f>
        <v>0</v>
      </c>
      <c r="AK172" s="840">
        <v>4</v>
      </c>
      <c r="AL172" s="229" t="e">
        <f>SUM(AL143:AL154)</f>
        <v>#NUM!</v>
      </c>
      <c r="AM172" s="229" t="e">
        <f>SUM(AM143:AM154)</f>
        <v>#NUM!</v>
      </c>
      <c r="AN172" s="229" t="e">
        <f>SUM(AN143:AN154)</f>
        <v>#NUM!</v>
      </c>
      <c r="AU172" s="840">
        <v>4</v>
      </c>
      <c r="AV172" s="229" t="e">
        <f>SUM(AV143:AV154)</f>
        <v>#NUM!</v>
      </c>
      <c r="AW172" s="229" t="e">
        <f>SUM(AW143:AW154)</f>
        <v>#NUM!</v>
      </c>
      <c r="AX172" s="229" t="e">
        <f>SUM(AX143:AX154)</f>
        <v>#NUM!</v>
      </c>
      <c r="BE172" s="840">
        <v>4</v>
      </c>
      <c r="BF172" s="229" t="e">
        <f>SUM(BF143:BF154)</f>
        <v>#NUM!</v>
      </c>
      <c r="BG172" s="229" t="e">
        <f>SUM(BG143:BG154)</f>
        <v>#NUM!</v>
      </c>
      <c r="BH172" s="229" t="e">
        <f>SUM(BH143:BH154)</f>
        <v>#NUM!</v>
      </c>
      <c r="BO172" s="840">
        <v>4</v>
      </c>
      <c r="BP172" s="229" t="e">
        <f>SUM(BP143:BP154)</f>
        <v>#NUM!</v>
      </c>
      <c r="BQ172" s="229" t="e">
        <f>SUM(BQ143:BQ154)</f>
        <v>#NUM!</v>
      </c>
      <c r="BR172" s="229" t="e">
        <f>SUM(BR143:BR154)</f>
        <v>#NUM!</v>
      </c>
      <c r="BY172" s="840">
        <v>4</v>
      </c>
      <c r="BZ172" s="229" t="e">
        <f>SUM(BZ143:BZ154)</f>
        <v>#NUM!</v>
      </c>
      <c r="CA172" s="229" t="e">
        <f>SUM(CA143:CA154)</f>
        <v>#NUM!</v>
      </c>
      <c r="CB172" s="229" t="e">
        <f>SUM(CB143:CB154)</f>
        <v>#NUM!</v>
      </c>
    </row>
    <row r="173" spans="15:81" ht="13.9" customHeight="1" x14ac:dyDescent="0.25">
      <c r="T173" s="321">
        <v>4</v>
      </c>
      <c r="U173" s="895" t="s">
        <v>884</v>
      </c>
      <c r="AA173" s="840">
        <v>5</v>
      </c>
      <c r="AB173" s="229">
        <f>SUM(AB155:AB166)</f>
        <v>409415.83333333343</v>
      </c>
      <c r="AC173" s="229">
        <f>SUM(AC155:AC166)</f>
        <v>409415.83333333343</v>
      </c>
      <c r="AD173" s="229">
        <f>SUM(AD155:AD166)</f>
        <v>0</v>
      </c>
      <c r="AK173" s="840">
        <v>5</v>
      </c>
      <c r="AL173" s="229" t="e">
        <f>SUM(AL155:AL166)</f>
        <v>#NUM!</v>
      </c>
      <c r="AM173" s="229" t="e">
        <f>SUM(AM155:AM166)</f>
        <v>#NUM!</v>
      </c>
      <c r="AN173" s="229" t="e">
        <f>SUM(AN155:AN166)</f>
        <v>#NUM!</v>
      </c>
      <c r="AU173" s="840">
        <v>5</v>
      </c>
      <c r="AV173" s="229" t="e">
        <f>SUM(AV155:AV166)</f>
        <v>#NUM!</v>
      </c>
      <c r="AW173" s="229" t="e">
        <f>SUM(AW155:AW166)</f>
        <v>#NUM!</v>
      </c>
      <c r="AX173" s="229" t="e">
        <f>SUM(AX155:AX166)</f>
        <v>#NUM!</v>
      </c>
      <c r="BE173" s="840">
        <v>5</v>
      </c>
      <c r="BF173" s="229" t="e">
        <f>SUM(BF155:BF166)</f>
        <v>#NUM!</v>
      </c>
      <c r="BG173" s="229" t="e">
        <f>SUM(BG155:BG166)</f>
        <v>#NUM!</v>
      </c>
      <c r="BH173" s="229" t="e">
        <f>SUM(BH155:BH166)</f>
        <v>#NUM!</v>
      </c>
      <c r="BO173" s="840">
        <v>5</v>
      </c>
      <c r="BP173" s="229" t="e">
        <f>SUM(BP155:BP166)</f>
        <v>#NUM!</v>
      </c>
      <c r="BQ173" s="229" t="e">
        <f>SUM(BQ155:BQ166)</f>
        <v>#NUM!</v>
      </c>
      <c r="BR173" s="229" t="e">
        <f>SUM(BR155:BR166)</f>
        <v>#NUM!</v>
      </c>
      <c r="BY173" s="840">
        <v>5</v>
      </c>
      <c r="BZ173" s="229" t="e">
        <f>SUM(BZ155:BZ166)</f>
        <v>#NUM!</v>
      </c>
      <c r="CA173" s="229" t="e">
        <f>SUM(CA155:CA166)</f>
        <v>#NUM!</v>
      </c>
      <c r="CB173" s="229" t="e">
        <f>SUM(CB155:CB166)</f>
        <v>#NUM!</v>
      </c>
    </row>
    <row r="174" spans="15:81" ht="13.9" customHeight="1" x14ac:dyDescent="0.25">
      <c r="T174" s="321">
        <v>5</v>
      </c>
      <c r="U174" s="895" t="s">
        <v>884</v>
      </c>
      <c r="AA174" s="840"/>
      <c r="AK174" s="840"/>
      <c r="AU174" s="840"/>
      <c r="BE174" s="840"/>
      <c r="BO174" s="840"/>
      <c r="BY174" s="840"/>
    </row>
    <row r="175" spans="15:81" x14ac:dyDescent="0.25">
      <c r="T175" s="321">
        <v>6</v>
      </c>
      <c r="U175" s="895" t="s">
        <v>884</v>
      </c>
    </row>
    <row r="176" spans="15:81" x14ac:dyDescent="0.25">
      <c r="T176" s="321">
        <v>7</v>
      </c>
      <c r="U176" s="895" t="s">
        <v>923</v>
      </c>
    </row>
    <row r="177" spans="23:81" ht="21" x14ac:dyDescent="0.35">
      <c r="W177" s="1300" t="s">
        <v>891</v>
      </c>
      <c r="X177" s="1300"/>
      <c r="Y177" s="1300"/>
      <c r="Z177" s="1300"/>
      <c r="AA177" s="1300"/>
      <c r="AB177" s="1300"/>
      <c r="AC177" s="1300"/>
      <c r="AD177" s="1300"/>
      <c r="AE177" s="1300"/>
      <c r="AG177" s="1300" t="s">
        <v>899</v>
      </c>
      <c r="AH177" s="1300"/>
      <c r="AI177" s="1300"/>
      <c r="AJ177" s="1300"/>
      <c r="AK177" s="1300"/>
      <c r="AL177" s="1300"/>
      <c r="AM177" s="1300"/>
      <c r="AN177" s="1300"/>
      <c r="AO177" s="1300"/>
      <c r="AQ177" s="1300" t="s">
        <v>901</v>
      </c>
      <c r="AR177" s="1300"/>
      <c r="AS177" s="1300"/>
      <c r="AT177" s="1300"/>
      <c r="AU177" s="1300"/>
      <c r="AV177" s="1300"/>
      <c r="AW177" s="1300"/>
      <c r="AX177" s="1300"/>
      <c r="AY177" s="1300"/>
      <c r="BA177" s="1300" t="s">
        <v>903</v>
      </c>
      <c r="BB177" s="1300"/>
      <c r="BC177" s="1300"/>
      <c r="BD177" s="1300"/>
      <c r="BE177" s="1300"/>
      <c r="BF177" s="1300"/>
      <c r="BG177" s="1300"/>
      <c r="BH177" s="1300"/>
      <c r="BI177" s="1300"/>
      <c r="BK177" s="1300" t="s">
        <v>906</v>
      </c>
      <c r="BL177" s="1300"/>
      <c r="BM177" s="1300"/>
      <c r="BN177" s="1300"/>
      <c r="BO177" s="1300"/>
      <c r="BP177" s="1300"/>
      <c r="BQ177" s="1300"/>
      <c r="BR177" s="1300"/>
      <c r="BS177" s="1300"/>
      <c r="BU177" s="1300" t="s">
        <v>907</v>
      </c>
      <c r="BV177" s="1300"/>
      <c r="BW177" s="1300"/>
      <c r="BX177" s="1300"/>
      <c r="BY177" s="1300"/>
      <c r="BZ177" s="1300"/>
      <c r="CA177" s="1300"/>
      <c r="CB177" s="1300"/>
      <c r="CC177" s="1300"/>
    </row>
    <row r="178" spans="23:81" ht="19.5" thickBot="1" x14ac:dyDescent="0.35">
      <c r="W178" s="1295" t="str">
        <f>CONCATENATE(E18," -- ",E19)</f>
        <v>Model Assumptions -- Fixed Rate</v>
      </c>
      <c r="X178" s="1295"/>
      <c r="Y178" s="1295"/>
      <c r="Z178" s="1295"/>
      <c r="AA178" s="1295"/>
      <c r="AB178" s="1295"/>
      <c r="AC178" s="1295"/>
      <c r="AD178" s="1295"/>
      <c r="AE178" s="1295"/>
      <c r="AG178" s="1295" t="str">
        <f>CONCATENATE(H18," -- ",H19)</f>
        <v>Wells Fargo -- Variable Option 1</v>
      </c>
      <c r="AH178" s="1295"/>
      <c r="AI178" s="1295"/>
      <c r="AJ178" s="1295"/>
      <c r="AK178" s="1295"/>
      <c r="AL178" s="1295"/>
      <c r="AM178" s="1295"/>
      <c r="AN178" s="1295"/>
      <c r="AO178" s="1295"/>
      <c r="AQ178" s="1295" t="str">
        <f>CONCATENATE(H18," -- ",H19)</f>
        <v>Wells Fargo -- Variable Option 1</v>
      </c>
      <c r="AR178" s="1295"/>
      <c r="AS178" s="1295"/>
      <c r="AT178" s="1295"/>
      <c r="AU178" s="1295"/>
      <c r="AV178" s="1295"/>
      <c r="AW178" s="1295"/>
      <c r="AX178" s="1295"/>
      <c r="AY178" s="1295"/>
      <c r="BA178" s="1295" t="str">
        <f>CONCATENATE($N$18," -- ",$N$19)</f>
        <v>BBT -- Variable Option 1</v>
      </c>
      <c r="BB178" s="1295"/>
      <c r="BC178" s="1295"/>
      <c r="BD178" s="1295"/>
      <c r="BE178" s="1295"/>
      <c r="BF178" s="1295"/>
      <c r="BG178" s="1295"/>
      <c r="BH178" s="1295"/>
      <c r="BI178" s="1295"/>
      <c r="BK178" s="1295" t="str">
        <f>CONCATENATE($Q$18," -- ",$Q$19)</f>
        <v>BBT -- Variable Option 2</v>
      </c>
      <c r="BL178" s="1295"/>
      <c r="BM178" s="1295"/>
      <c r="BN178" s="1295"/>
      <c r="BO178" s="1295"/>
      <c r="BP178" s="1295"/>
      <c r="BQ178" s="1295"/>
      <c r="BR178" s="1295"/>
      <c r="BS178" s="1295"/>
      <c r="BU178" s="1295" t="str">
        <f>CONCATENATE($T$18," -- ",$T$19)</f>
        <v>FIB -- Fixed Option 1</v>
      </c>
      <c r="BV178" s="1295"/>
      <c r="BW178" s="1295"/>
      <c r="BX178" s="1295"/>
      <c r="BY178" s="1295"/>
      <c r="BZ178" s="1295"/>
      <c r="CA178" s="1295"/>
      <c r="CB178" s="1295"/>
      <c r="CC178" s="1295"/>
    </row>
    <row r="179" spans="23:81" x14ac:dyDescent="0.25">
      <c r="W179" s="427" t="s">
        <v>885</v>
      </c>
      <c r="X179" s="427" t="e">
        <f>VLOOKUP(E48,$T$170:$U$176,2,0)</f>
        <v>#N/A</v>
      </c>
      <c r="Z179" s="427" t="s">
        <v>889</v>
      </c>
      <c r="AA179" s="427" t="str">
        <f>IF(E45=0,"N","Y")</f>
        <v>N</v>
      </c>
      <c r="AG179" s="427" t="s">
        <v>885</v>
      </c>
      <c r="AH179" s="427" t="e">
        <f>VLOOKUP(H48,$T$170:$U$176,2,0)</f>
        <v>#N/A</v>
      </c>
      <c r="AJ179" s="427" t="s">
        <v>889</v>
      </c>
      <c r="AK179" s="427" t="str">
        <f>IF(H45=0,"N","Y")</f>
        <v>N</v>
      </c>
      <c r="AQ179" s="427" t="s">
        <v>885</v>
      </c>
      <c r="AR179" s="427" t="e">
        <f>VLOOKUP($K$48,$T$170:$U$176,2,0)</f>
        <v>#N/A</v>
      </c>
      <c r="AT179" s="427" t="s">
        <v>889</v>
      </c>
      <c r="AU179" s="427" t="str">
        <f>IF(K45=0,"N","Y")</f>
        <v>N</v>
      </c>
      <c r="BA179" s="427" t="s">
        <v>885</v>
      </c>
      <c r="BB179" s="427" t="e">
        <f>VLOOKUP($N$48,$T$170:$U$176,2,0)</f>
        <v>#N/A</v>
      </c>
      <c r="BD179" s="427" t="s">
        <v>889</v>
      </c>
      <c r="BE179" s="427" t="str">
        <f>IF($N$45=0,"N","Y")</f>
        <v>N</v>
      </c>
      <c r="BK179" s="427" t="s">
        <v>885</v>
      </c>
      <c r="BL179" s="427" t="e">
        <f>VLOOKUP($Q$48,$T$170:$U$176,2,0)</f>
        <v>#N/A</v>
      </c>
      <c r="BN179" s="427" t="s">
        <v>889</v>
      </c>
      <c r="BO179" s="427" t="str">
        <f>IF($Q$45=0,"N","Y")</f>
        <v>N</v>
      </c>
      <c r="BU179" s="427" t="s">
        <v>885</v>
      </c>
      <c r="BV179" s="427" t="e">
        <f>VLOOKUP($T$48,$T$170:$U$176,2,0)</f>
        <v>#N/A</v>
      </c>
      <c r="BX179" s="427" t="s">
        <v>889</v>
      </c>
      <c r="BY179" s="427" t="str">
        <f>IF($T$45=0,"N","Y")</f>
        <v>N</v>
      </c>
    </row>
    <row r="180" spans="23:81" x14ac:dyDescent="0.25">
      <c r="W180" s="886" t="s">
        <v>875</v>
      </c>
      <c r="X180" s="886" t="s">
        <v>874</v>
      </c>
      <c r="Y180" s="886" t="s">
        <v>788</v>
      </c>
      <c r="Z180" s="886" t="s">
        <v>886</v>
      </c>
      <c r="AA180" s="886" t="s">
        <v>879</v>
      </c>
      <c r="AB180" s="886" t="s">
        <v>789</v>
      </c>
      <c r="AC180" s="886" t="s">
        <v>876</v>
      </c>
      <c r="AD180" s="886" t="s">
        <v>877</v>
      </c>
      <c r="AE180" s="886" t="s">
        <v>878</v>
      </c>
      <c r="AG180" s="886" t="s">
        <v>875</v>
      </c>
      <c r="AH180" s="886" t="s">
        <v>874</v>
      </c>
      <c r="AI180" s="886" t="s">
        <v>788</v>
      </c>
      <c r="AJ180" s="886" t="s">
        <v>886</v>
      </c>
      <c r="AK180" s="886" t="s">
        <v>879</v>
      </c>
      <c r="AL180" s="886" t="s">
        <v>789</v>
      </c>
      <c r="AM180" s="886" t="s">
        <v>876</v>
      </c>
      <c r="AN180" s="886" t="s">
        <v>877</v>
      </c>
      <c r="AO180" s="886" t="s">
        <v>878</v>
      </c>
      <c r="AQ180" s="886" t="s">
        <v>875</v>
      </c>
      <c r="AR180" s="886" t="s">
        <v>874</v>
      </c>
      <c r="AS180" s="886" t="s">
        <v>788</v>
      </c>
      <c r="AT180" s="886" t="s">
        <v>886</v>
      </c>
      <c r="AU180" s="886" t="s">
        <v>879</v>
      </c>
      <c r="AV180" s="886" t="s">
        <v>789</v>
      </c>
      <c r="AW180" s="886" t="s">
        <v>876</v>
      </c>
      <c r="AX180" s="886" t="s">
        <v>877</v>
      </c>
      <c r="AY180" s="886" t="s">
        <v>878</v>
      </c>
      <c r="BA180" s="886" t="s">
        <v>875</v>
      </c>
      <c r="BB180" s="886" t="s">
        <v>874</v>
      </c>
      <c r="BC180" s="886" t="s">
        <v>788</v>
      </c>
      <c r="BD180" s="886" t="s">
        <v>886</v>
      </c>
      <c r="BE180" s="886" t="s">
        <v>879</v>
      </c>
      <c r="BF180" s="886" t="s">
        <v>789</v>
      </c>
      <c r="BG180" s="886" t="s">
        <v>876</v>
      </c>
      <c r="BH180" s="886" t="s">
        <v>877</v>
      </c>
      <c r="BI180" s="886" t="s">
        <v>878</v>
      </c>
      <c r="BK180" s="886" t="s">
        <v>875</v>
      </c>
      <c r="BL180" s="886" t="s">
        <v>874</v>
      </c>
      <c r="BM180" s="886" t="s">
        <v>788</v>
      </c>
      <c r="BN180" s="886" t="s">
        <v>886</v>
      </c>
      <c r="BO180" s="886" t="s">
        <v>879</v>
      </c>
      <c r="BP180" s="886" t="s">
        <v>789</v>
      </c>
      <c r="BQ180" s="886" t="s">
        <v>876</v>
      </c>
      <c r="BR180" s="886" t="s">
        <v>877</v>
      </c>
      <c r="BS180" s="886" t="s">
        <v>878</v>
      </c>
      <c r="BU180" s="886" t="s">
        <v>875</v>
      </c>
      <c r="BV180" s="886" t="s">
        <v>874</v>
      </c>
      <c r="BW180" s="886" t="s">
        <v>788</v>
      </c>
      <c r="BX180" s="886" t="s">
        <v>886</v>
      </c>
      <c r="BY180" s="886" t="s">
        <v>879</v>
      </c>
      <c r="BZ180" s="886" t="s">
        <v>789</v>
      </c>
      <c r="CA180" s="886" t="s">
        <v>876</v>
      </c>
      <c r="CB180" s="886" t="s">
        <v>877</v>
      </c>
      <c r="CC180" s="886" t="s">
        <v>878</v>
      </c>
    </row>
    <row r="181" spans="23:81" x14ac:dyDescent="0.25">
      <c r="W181" s="427">
        <v>1</v>
      </c>
      <c r="X181" s="884">
        <f>+$E$14+20</f>
        <v>20</v>
      </c>
      <c r="Y181" s="121" t="b">
        <f>IF($E$36="Fixed",$E$42,IF($E$36="Variable",VLOOKUP(X181,'Financing Constants'!$A$8:$L$148,$X$179)+$E$41/10000))</f>
        <v>0</v>
      </c>
      <c r="Z181" s="229">
        <f>+E32</f>
        <v>12282475</v>
      </c>
      <c r="AA181" s="888" t="str">
        <f>IF(W181&lt;=$E$45,"IO","PP")</f>
        <v>PP</v>
      </c>
      <c r="AB181" s="229">
        <f>IF(AA181="IO",AD181,PMT(Y181/12,$E$44*12-W181+1,-Z181))</f>
        <v>34117.986111111109</v>
      </c>
      <c r="AC181" s="229" t="e">
        <f t="shared" ref="AC181:AC212" si="107">IF(AA181="IO",0,AB181-AD181)</f>
        <v>#N/A</v>
      </c>
      <c r="AD181" s="229" t="e">
        <f t="shared" ref="AD181:AD212" si="108">IF($X$179=1,IPMT(Y181/12,W181,$E$44*12,-$E$32),Z181*Y181/12)</f>
        <v>#N/A</v>
      </c>
      <c r="AE181" s="229" t="e">
        <f t="shared" ref="AE181:AE212" si="109">+Z181-AC181</f>
        <v>#N/A</v>
      </c>
      <c r="AG181" s="427">
        <v>1</v>
      </c>
      <c r="AH181" s="884">
        <f>+$E$14+20</f>
        <v>20</v>
      </c>
      <c r="AI181" s="121" t="b">
        <f>IF($H$36="Fixed",$H$42,IF($H$36="Variable",VLOOKUP(AH181,'Financing Constants'!$A$8:$L$148,$AH$179)+$H$41/10000))</f>
        <v>0</v>
      </c>
      <c r="AJ181" s="229">
        <f>+H32</f>
        <v>0</v>
      </c>
      <c r="AK181" s="888" t="str">
        <f t="shared" ref="AK181:AK212" si="110">IF(AG181&lt;=$H$45,"IO","PP")</f>
        <v>PP</v>
      </c>
      <c r="AL181" s="229" t="e">
        <f t="shared" ref="AL181:AL212" si="111">IF(AK181="IO",AN181,PMT(AI181/12,$H$44*12-AG181+1,-AJ181))</f>
        <v>#NUM!</v>
      </c>
      <c r="AM181" s="229" t="e">
        <f t="shared" ref="AM181:AM212" si="112">IF(AK181="IO",0,AL181-AN181)</f>
        <v>#NUM!</v>
      </c>
      <c r="AN181" s="229" t="e">
        <f t="shared" ref="AN181:AN212" si="113">IF($X$179=1,IPMT(AI181/12,AG181,$H$44*12,-$H$32),AJ181*AI181/12)</f>
        <v>#N/A</v>
      </c>
      <c r="AO181" s="229" t="e">
        <f t="shared" ref="AO181:AO212" si="114">+AJ181-AM181</f>
        <v>#NUM!</v>
      </c>
      <c r="AQ181" s="427">
        <v>1</v>
      </c>
      <c r="AR181" s="884">
        <f>+$E$14+20</f>
        <v>20</v>
      </c>
      <c r="AS181" s="121" t="b">
        <f>IF($K$36="Fixed",$K$42,IF($K$36="Variable",VLOOKUP(AR181,'Financing Constants'!$A$8:$L$148,$AR$179)+$K$41/10000))</f>
        <v>0</v>
      </c>
      <c r="AT181" s="229">
        <f>+$K$32</f>
        <v>0</v>
      </c>
      <c r="AU181" s="888" t="str">
        <f t="shared" ref="AU181:AU212" si="115">IF(AQ181&lt;=$K$45,"IO","PP")</f>
        <v>PP</v>
      </c>
      <c r="AV181" s="229" t="e">
        <f t="shared" ref="AV181:AV212" si="116">IF(AU181="IO",AX181,PMT(AS181/12,$K$44*12-AQ181+1,-AT181))</f>
        <v>#NUM!</v>
      </c>
      <c r="AW181" s="229" t="e">
        <f t="shared" ref="AW181:AW212" si="117">IF(AU181="IO",0,AV181-AX181)</f>
        <v>#NUM!</v>
      </c>
      <c r="AX181" s="229" t="e">
        <f t="shared" ref="AX181:AX212" si="118">IF($X$179=1,IPMT(AS181/12,AQ181,$K$44*12,-$K$32),AT181*AS181/12)</f>
        <v>#N/A</v>
      </c>
      <c r="AY181" s="229" t="e">
        <f t="shared" ref="AY181:AY212" si="119">+AT181-AW181</f>
        <v>#NUM!</v>
      </c>
      <c r="BA181" s="427">
        <v>1</v>
      </c>
      <c r="BB181" s="884">
        <f>+$E$14+20</f>
        <v>20</v>
      </c>
      <c r="BC181" s="121" t="b">
        <f>IF($N$36="Fixed",$N$42,IF($N$36="Variable",VLOOKUP(BB181,'Financing Constants'!$A$8:$L$148,$BB$179)+$N$41/10000))</f>
        <v>0</v>
      </c>
      <c r="BD181" s="229">
        <f>+$N$32</f>
        <v>0</v>
      </c>
      <c r="BE181" s="888" t="str">
        <f t="shared" ref="BE181:BE212" si="120">IF(BA181&lt;=$N$45,"IO","PP")</f>
        <v>PP</v>
      </c>
      <c r="BF181" s="229" t="e">
        <f t="shared" ref="BF181:BF212" si="121">IF(BE181="IO",BH181,PMT(BC181/12,$N$44*12-BA181+1,-BD181))</f>
        <v>#NUM!</v>
      </c>
      <c r="BG181" s="229" t="e">
        <f t="shared" ref="BG181:BG212" si="122">IF(BE181="IO",0,BF181-BH181)</f>
        <v>#NUM!</v>
      </c>
      <c r="BH181" s="229" t="e">
        <f t="shared" ref="BH181:BH212" si="123">IF($X$179=1,IPMT(BC181/12,BA181,$N$44*12,-$N$32),BD181*BC181/12)</f>
        <v>#N/A</v>
      </c>
      <c r="BI181" s="229" t="e">
        <f t="shared" ref="BI181:BI212" si="124">+BD181-BG181</f>
        <v>#NUM!</v>
      </c>
      <c r="BK181" s="427">
        <v>1</v>
      </c>
      <c r="BL181" s="884">
        <f>+$E$14+20</f>
        <v>20</v>
      </c>
      <c r="BM181" s="121" t="b">
        <f>IF($Q$36="Fixed",$Q$42,IF($Q$36="Variable",VLOOKUP(BL181,'Financing Constants'!$A$8:$L$148,$BL$179)+$Q$41/10000))</f>
        <v>0</v>
      </c>
      <c r="BN181" s="229">
        <f>+$Q$32</f>
        <v>0</v>
      </c>
      <c r="BO181" s="888" t="str">
        <f t="shared" ref="BO181:BO212" si="125">IF(BK181&lt;=$Q$45,"IO","PP")</f>
        <v>PP</v>
      </c>
      <c r="BP181" s="229" t="e">
        <f t="shared" ref="BP181:BP212" si="126">IF(BO181="IO",BR181,PMT(BM181/12,$Q$44*12-BK181+1,-BN181))</f>
        <v>#NUM!</v>
      </c>
      <c r="BQ181" s="229" t="e">
        <f t="shared" ref="BQ181:BQ212" si="127">IF(BO181="IO",0,BP181-BR181)</f>
        <v>#NUM!</v>
      </c>
      <c r="BR181" s="229" t="e">
        <f t="shared" ref="BR181:BR212" si="128">IF($X$179=1,IPMT(BM181/12,BK181,$Q$44*12,-$Q$32),BN181*BM181/12)</f>
        <v>#N/A</v>
      </c>
      <c r="BS181" s="229" t="e">
        <f t="shared" ref="BS181:BS212" si="129">+BN181-BQ181</f>
        <v>#NUM!</v>
      </c>
      <c r="BU181" s="427">
        <v>1</v>
      </c>
      <c r="BV181" s="884">
        <f>+$E$14+20</f>
        <v>20</v>
      </c>
      <c r="BW181" s="121" t="b">
        <f>IF($T$36="Fixed",$T$42,IF($T$36="Variable",VLOOKUP(BV181,'Financing Constants'!$A$8:$L$148,$BV$179)+$T$41/10000))</f>
        <v>0</v>
      </c>
      <c r="BX181" s="229">
        <f>+$T$32</f>
        <v>0</v>
      </c>
      <c r="BY181" s="888" t="str">
        <f t="shared" ref="BY181:BY212" si="130">IF(BU181&lt;=$T$45,"IO","PP")</f>
        <v>PP</v>
      </c>
      <c r="BZ181" s="229" t="e">
        <f t="shared" ref="BZ181:BZ212" si="131">IF(BY181="IO",CB181,PMT(BW181/12,$T$44*12-BU181+1,-BX181))</f>
        <v>#NUM!</v>
      </c>
      <c r="CA181" s="229" t="e">
        <f t="shared" ref="CA181:CA212" si="132">IF(BY181="IO",0,BZ181-CB181)</f>
        <v>#NUM!</v>
      </c>
      <c r="CB181" s="229" t="e">
        <f t="shared" ref="CB181:CB212" si="133">IF($X$179=1,IPMT(BW181/12,BU181,$T$44*12,-$T$32),BX181*BW181/12)</f>
        <v>#N/A</v>
      </c>
      <c r="CC181" s="229" t="e">
        <f t="shared" ref="CC181:CC212" si="134">+BX181-CA181</f>
        <v>#NUM!</v>
      </c>
    </row>
    <row r="182" spans="23:81" x14ac:dyDescent="0.25">
      <c r="W182" s="427">
        <f t="shared" ref="W182:W213" si="135">+W181+1</f>
        <v>2</v>
      </c>
      <c r="X182" s="884">
        <f t="shared" ref="X182:X213" si="136">+X181+30</f>
        <v>50</v>
      </c>
      <c r="Y182" s="121" t="b">
        <f>IF($E$36="Fixed",$E$42,IF($E$36="Variable",VLOOKUP(X182,'Financing Constants'!$A$8:$L$148,$X$179)+$E$41/10000))</f>
        <v>0</v>
      </c>
      <c r="Z182" s="229" t="e">
        <f t="shared" ref="Z182:Z213" si="137">+AE181</f>
        <v>#N/A</v>
      </c>
      <c r="AA182" s="888" t="str">
        <f t="shared" ref="AA182:AA240" si="138">IF(W182&lt;=$E$45,"IO","PP")</f>
        <v>PP</v>
      </c>
      <c r="AB182" s="229" t="e">
        <f t="shared" ref="AB182:AB240" si="139">IF(AA182="IO",AD182,PMT(Y182/12,$E$44*12-W182+1,-Z182))</f>
        <v>#N/A</v>
      </c>
      <c r="AC182" s="229" t="e">
        <f t="shared" si="107"/>
        <v>#N/A</v>
      </c>
      <c r="AD182" s="229" t="e">
        <f t="shared" si="108"/>
        <v>#N/A</v>
      </c>
      <c r="AE182" s="229" t="e">
        <f t="shared" si="109"/>
        <v>#N/A</v>
      </c>
      <c r="AG182" s="427">
        <f t="shared" ref="AG182:AG213" si="140">+AG181+1</f>
        <v>2</v>
      </c>
      <c r="AH182" s="884">
        <f t="shared" ref="AH182:AH213" si="141">+AH181+30</f>
        <v>50</v>
      </c>
      <c r="AI182" s="121" t="b">
        <f>IF($H$36="Fixed",$H$42,IF($H$36="Variable",VLOOKUP(AH182,'Financing Constants'!$A$8:$L$148,$AH$179)+$H$41/10000))</f>
        <v>0</v>
      </c>
      <c r="AJ182" s="229" t="e">
        <f t="shared" ref="AJ182:AJ213" si="142">+AO181</f>
        <v>#NUM!</v>
      </c>
      <c r="AK182" s="888" t="str">
        <f t="shared" si="110"/>
        <v>PP</v>
      </c>
      <c r="AL182" s="229" t="e">
        <f t="shared" si="111"/>
        <v>#NUM!</v>
      </c>
      <c r="AM182" s="229" t="e">
        <f t="shared" si="112"/>
        <v>#NUM!</v>
      </c>
      <c r="AN182" s="229" t="e">
        <f t="shared" si="113"/>
        <v>#N/A</v>
      </c>
      <c r="AO182" s="229" t="e">
        <f t="shared" si="114"/>
        <v>#NUM!</v>
      </c>
      <c r="AQ182" s="427">
        <f t="shared" ref="AQ182:AQ213" si="143">+AQ181+1</f>
        <v>2</v>
      </c>
      <c r="AR182" s="884">
        <f t="shared" ref="AR182:AR213" si="144">+AR181+30</f>
        <v>50</v>
      </c>
      <c r="AS182" s="121" t="b">
        <f>IF($K$36="Fixed",$K$42,IF($K$36="Variable",VLOOKUP(AR182,'Financing Constants'!$A$8:$L$148,$AR$179)+$K$41/10000))</f>
        <v>0</v>
      </c>
      <c r="AT182" s="229" t="e">
        <f t="shared" ref="AT182:AT213" si="145">+AY181</f>
        <v>#NUM!</v>
      </c>
      <c r="AU182" s="888" t="str">
        <f t="shared" si="115"/>
        <v>PP</v>
      </c>
      <c r="AV182" s="229" t="e">
        <f t="shared" si="116"/>
        <v>#NUM!</v>
      </c>
      <c r="AW182" s="229" t="e">
        <f t="shared" si="117"/>
        <v>#NUM!</v>
      </c>
      <c r="AX182" s="229" t="e">
        <f t="shared" si="118"/>
        <v>#N/A</v>
      </c>
      <c r="AY182" s="229" t="e">
        <f t="shared" si="119"/>
        <v>#NUM!</v>
      </c>
      <c r="BA182" s="427">
        <f t="shared" ref="BA182:BA213" si="146">+BA181+1</f>
        <v>2</v>
      </c>
      <c r="BB182" s="884">
        <f t="shared" ref="BB182:BB213" si="147">+BB181+30</f>
        <v>50</v>
      </c>
      <c r="BC182" s="121" t="b">
        <f>IF($N$36="Fixed",$N$42,IF($N$36="Variable",VLOOKUP(BB182,'Financing Constants'!$A$8:$L$148,$BB$179)+$N$41/10000))</f>
        <v>0</v>
      </c>
      <c r="BD182" s="229" t="e">
        <f t="shared" ref="BD182:BD213" si="148">+BI181</f>
        <v>#NUM!</v>
      </c>
      <c r="BE182" s="888" t="str">
        <f t="shared" si="120"/>
        <v>PP</v>
      </c>
      <c r="BF182" s="229" t="e">
        <f t="shared" si="121"/>
        <v>#NUM!</v>
      </c>
      <c r="BG182" s="229" t="e">
        <f t="shared" si="122"/>
        <v>#NUM!</v>
      </c>
      <c r="BH182" s="229" t="e">
        <f t="shared" si="123"/>
        <v>#N/A</v>
      </c>
      <c r="BI182" s="229" t="e">
        <f t="shared" si="124"/>
        <v>#NUM!</v>
      </c>
      <c r="BK182" s="427">
        <f t="shared" ref="BK182:BK213" si="149">+BK181+1</f>
        <v>2</v>
      </c>
      <c r="BL182" s="884">
        <f t="shared" ref="BL182:BL213" si="150">+BL181+30</f>
        <v>50</v>
      </c>
      <c r="BM182" s="121" t="b">
        <f>IF($Q$36="Fixed",$Q$42,IF($Q$36="Variable",VLOOKUP(BL182,'Financing Constants'!$A$8:$L$148,$BL$179)+$Q$41/10000))</f>
        <v>0</v>
      </c>
      <c r="BN182" s="229" t="e">
        <f t="shared" ref="BN182:BN213" si="151">+BS181</f>
        <v>#NUM!</v>
      </c>
      <c r="BO182" s="888" t="str">
        <f t="shared" si="125"/>
        <v>PP</v>
      </c>
      <c r="BP182" s="229" t="e">
        <f t="shared" si="126"/>
        <v>#NUM!</v>
      </c>
      <c r="BQ182" s="229" t="e">
        <f t="shared" si="127"/>
        <v>#NUM!</v>
      </c>
      <c r="BR182" s="229" t="e">
        <f t="shared" si="128"/>
        <v>#N/A</v>
      </c>
      <c r="BS182" s="229" t="e">
        <f t="shared" si="129"/>
        <v>#NUM!</v>
      </c>
      <c r="BU182" s="427">
        <f t="shared" ref="BU182:BU213" si="152">+BU181+1</f>
        <v>2</v>
      </c>
      <c r="BV182" s="884">
        <f t="shared" ref="BV182:BV213" si="153">+BV181+30</f>
        <v>50</v>
      </c>
      <c r="BW182" s="121" t="b">
        <f>IF($T$36="Fixed",$T$42,IF($T$36="Variable",VLOOKUP(BV182,'Financing Constants'!$A$8:$L$148,$BV$179)+$T$41/10000))</f>
        <v>0</v>
      </c>
      <c r="BX182" s="229" t="e">
        <f t="shared" ref="BX182:BX213" si="154">+CC181</f>
        <v>#NUM!</v>
      </c>
      <c r="BY182" s="888" t="str">
        <f t="shared" si="130"/>
        <v>PP</v>
      </c>
      <c r="BZ182" s="229" t="e">
        <f t="shared" si="131"/>
        <v>#NUM!</v>
      </c>
      <c r="CA182" s="229" t="e">
        <f t="shared" si="132"/>
        <v>#NUM!</v>
      </c>
      <c r="CB182" s="229" t="e">
        <f t="shared" si="133"/>
        <v>#N/A</v>
      </c>
      <c r="CC182" s="229" t="e">
        <f t="shared" si="134"/>
        <v>#NUM!</v>
      </c>
    </row>
    <row r="183" spans="23:81" x14ac:dyDescent="0.25">
      <c r="W183" s="427">
        <f t="shared" si="135"/>
        <v>3</v>
      </c>
      <c r="X183" s="884">
        <f t="shared" si="136"/>
        <v>80</v>
      </c>
      <c r="Y183" s="121" t="b">
        <f>IF($E$36="Fixed",$E$42,IF($E$36="Variable",VLOOKUP(X183,'Financing Constants'!$A$8:$L$148,$X$179)+$E$41/10000))</f>
        <v>0</v>
      </c>
      <c r="Z183" s="229" t="e">
        <f t="shared" si="137"/>
        <v>#N/A</v>
      </c>
      <c r="AA183" s="888" t="str">
        <f t="shared" si="138"/>
        <v>PP</v>
      </c>
      <c r="AB183" s="229" t="e">
        <f t="shared" si="139"/>
        <v>#N/A</v>
      </c>
      <c r="AC183" s="229" t="e">
        <f t="shared" si="107"/>
        <v>#N/A</v>
      </c>
      <c r="AD183" s="229" t="e">
        <f t="shared" si="108"/>
        <v>#N/A</v>
      </c>
      <c r="AE183" s="229" t="e">
        <f t="shared" si="109"/>
        <v>#N/A</v>
      </c>
      <c r="AG183" s="427">
        <f t="shared" si="140"/>
        <v>3</v>
      </c>
      <c r="AH183" s="884">
        <f t="shared" si="141"/>
        <v>80</v>
      </c>
      <c r="AI183" s="121" t="b">
        <f>IF($H$36="Fixed",$H$42,IF($H$36="Variable",VLOOKUP(AH183,'Financing Constants'!$A$8:$L$148,$AH$179)+$H$41/10000))</f>
        <v>0</v>
      </c>
      <c r="AJ183" s="229" t="e">
        <f t="shared" si="142"/>
        <v>#NUM!</v>
      </c>
      <c r="AK183" s="888" t="str">
        <f t="shared" si="110"/>
        <v>PP</v>
      </c>
      <c r="AL183" s="229" t="e">
        <f t="shared" si="111"/>
        <v>#NUM!</v>
      </c>
      <c r="AM183" s="229" t="e">
        <f t="shared" si="112"/>
        <v>#NUM!</v>
      </c>
      <c r="AN183" s="229" t="e">
        <f t="shared" si="113"/>
        <v>#N/A</v>
      </c>
      <c r="AO183" s="229" t="e">
        <f t="shared" si="114"/>
        <v>#NUM!</v>
      </c>
      <c r="AQ183" s="427">
        <f t="shared" si="143"/>
        <v>3</v>
      </c>
      <c r="AR183" s="884">
        <f t="shared" si="144"/>
        <v>80</v>
      </c>
      <c r="AS183" s="121" t="b">
        <f>IF($K$36="Fixed",$K$42,IF($K$36="Variable",VLOOKUP(AR183,'Financing Constants'!$A$8:$L$148,$AR$179)+$K$41/10000))</f>
        <v>0</v>
      </c>
      <c r="AT183" s="229" t="e">
        <f t="shared" si="145"/>
        <v>#NUM!</v>
      </c>
      <c r="AU183" s="888" t="str">
        <f t="shared" si="115"/>
        <v>PP</v>
      </c>
      <c r="AV183" s="229" t="e">
        <f t="shared" si="116"/>
        <v>#NUM!</v>
      </c>
      <c r="AW183" s="229" t="e">
        <f t="shared" si="117"/>
        <v>#NUM!</v>
      </c>
      <c r="AX183" s="229" t="e">
        <f t="shared" si="118"/>
        <v>#N/A</v>
      </c>
      <c r="AY183" s="229" t="e">
        <f t="shared" si="119"/>
        <v>#NUM!</v>
      </c>
      <c r="BA183" s="427">
        <f t="shared" si="146"/>
        <v>3</v>
      </c>
      <c r="BB183" s="884">
        <f t="shared" si="147"/>
        <v>80</v>
      </c>
      <c r="BC183" s="121" t="b">
        <f>IF($N$36="Fixed",$N$42,IF($N$36="Variable",VLOOKUP(BB183,'Financing Constants'!$A$8:$L$148,$BB$179)+$N$41/10000))</f>
        <v>0</v>
      </c>
      <c r="BD183" s="229" t="e">
        <f t="shared" si="148"/>
        <v>#NUM!</v>
      </c>
      <c r="BE183" s="888" t="str">
        <f t="shared" si="120"/>
        <v>PP</v>
      </c>
      <c r="BF183" s="229" t="e">
        <f t="shared" si="121"/>
        <v>#NUM!</v>
      </c>
      <c r="BG183" s="229" t="e">
        <f t="shared" si="122"/>
        <v>#NUM!</v>
      </c>
      <c r="BH183" s="229" t="e">
        <f t="shared" si="123"/>
        <v>#N/A</v>
      </c>
      <c r="BI183" s="229" t="e">
        <f t="shared" si="124"/>
        <v>#NUM!</v>
      </c>
      <c r="BK183" s="427">
        <f t="shared" si="149"/>
        <v>3</v>
      </c>
      <c r="BL183" s="884">
        <f t="shared" si="150"/>
        <v>80</v>
      </c>
      <c r="BM183" s="121" t="b">
        <f>IF($Q$36="Fixed",$Q$42,IF($Q$36="Variable",VLOOKUP(BL183,'Financing Constants'!$A$8:$L$148,$BL$179)+$Q$41/10000))</f>
        <v>0</v>
      </c>
      <c r="BN183" s="229" t="e">
        <f t="shared" si="151"/>
        <v>#NUM!</v>
      </c>
      <c r="BO183" s="888" t="str">
        <f t="shared" si="125"/>
        <v>PP</v>
      </c>
      <c r="BP183" s="229" t="e">
        <f t="shared" si="126"/>
        <v>#NUM!</v>
      </c>
      <c r="BQ183" s="229" t="e">
        <f t="shared" si="127"/>
        <v>#NUM!</v>
      </c>
      <c r="BR183" s="229" t="e">
        <f t="shared" si="128"/>
        <v>#N/A</v>
      </c>
      <c r="BS183" s="229" t="e">
        <f t="shared" si="129"/>
        <v>#NUM!</v>
      </c>
      <c r="BU183" s="427">
        <f t="shared" si="152"/>
        <v>3</v>
      </c>
      <c r="BV183" s="884">
        <f t="shared" si="153"/>
        <v>80</v>
      </c>
      <c r="BW183" s="121" t="b">
        <f>IF($T$36="Fixed",$T$42,IF($T$36="Variable",VLOOKUP(BV183,'Financing Constants'!$A$8:$L$148,$BV$179)+$T$41/10000))</f>
        <v>0</v>
      </c>
      <c r="BX183" s="229" t="e">
        <f t="shared" si="154"/>
        <v>#NUM!</v>
      </c>
      <c r="BY183" s="888" t="str">
        <f t="shared" si="130"/>
        <v>PP</v>
      </c>
      <c r="BZ183" s="229" t="e">
        <f t="shared" si="131"/>
        <v>#NUM!</v>
      </c>
      <c r="CA183" s="229" t="e">
        <f t="shared" si="132"/>
        <v>#NUM!</v>
      </c>
      <c r="CB183" s="229" t="e">
        <f t="shared" si="133"/>
        <v>#N/A</v>
      </c>
      <c r="CC183" s="229" t="e">
        <f t="shared" si="134"/>
        <v>#NUM!</v>
      </c>
    </row>
    <row r="184" spans="23:81" x14ac:dyDescent="0.25">
      <c r="W184" s="427">
        <f t="shared" si="135"/>
        <v>4</v>
      </c>
      <c r="X184" s="884">
        <f t="shared" si="136"/>
        <v>110</v>
      </c>
      <c r="Y184" s="121" t="b">
        <f>IF($E$36="Fixed",$E$42,IF($E$36="Variable",VLOOKUP(X184,'Financing Constants'!$A$8:$L$148,$X$179)+$E$41/10000))</f>
        <v>0</v>
      </c>
      <c r="Z184" s="229" t="e">
        <f t="shared" si="137"/>
        <v>#N/A</v>
      </c>
      <c r="AA184" s="888" t="str">
        <f t="shared" si="138"/>
        <v>PP</v>
      </c>
      <c r="AB184" s="229" t="e">
        <f t="shared" si="139"/>
        <v>#N/A</v>
      </c>
      <c r="AC184" s="229" t="e">
        <f t="shared" si="107"/>
        <v>#N/A</v>
      </c>
      <c r="AD184" s="229" t="e">
        <f t="shared" si="108"/>
        <v>#N/A</v>
      </c>
      <c r="AE184" s="229" t="e">
        <f t="shared" si="109"/>
        <v>#N/A</v>
      </c>
      <c r="AG184" s="427">
        <f t="shared" si="140"/>
        <v>4</v>
      </c>
      <c r="AH184" s="884">
        <f t="shared" si="141"/>
        <v>110</v>
      </c>
      <c r="AI184" s="121" t="b">
        <f>IF($H$36="Fixed",$H$42,IF($H$36="Variable",VLOOKUP(AH184,'Financing Constants'!$A$8:$L$148,$AH$179)+$H$41/10000))</f>
        <v>0</v>
      </c>
      <c r="AJ184" s="229" t="e">
        <f t="shared" si="142"/>
        <v>#NUM!</v>
      </c>
      <c r="AK184" s="888" t="str">
        <f t="shared" si="110"/>
        <v>PP</v>
      </c>
      <c r="AL184" s="229" t="e">
        <f t="shared" si="111"/>
        <v>#NUM!</v>
      </c>
      <c r="AM184" s="229" t="e">
        <f t="shared" si="112"/>
        <v>#NUM!</v>
      </c>
      <c r="AN184" s="229" t="e">
        <f t="shared" si="113"/>
        <v>#N/A</v>
      </c>
      <c r="AO184" s="229" t="e">
        <f t="shared" si="114"/>
        <v>#NUM!</v>
      </c>
      <c r="AQ184" s="427">
        <f t="shared" si="143"/>
        <v>4</v>
      </c>
      <c r="AR184" s="884">
        <f t="shared" si="144"/>
        <v>110</v>
      </c>
      <c r="AS184" s="121" t="b">
        <f>IF($K$36="Fixed",$K$42,IF($K$36="Variable",VLOOKUP(AR184,'Financing Constants'!$A$8:$L$148,$AR$179)+$K$41/10000))</f>
        <v>0</v>
      </c>
      <c r="AT184" s="229" t="e">
        <f t="shared" si="145"/>
        <v>#NUM!</v>
      </c>
      <c r="AU184" s="888" t="str">
        <f t="shared" si="115"/>
        <v>PP</v>
      </c>
      <c r="AV184" s="229" t="e">
        <f t="shared" si="116"/>
        <v>#NUM!</v>
      </c>
      <c r="AW184" s="229" t="e">
        <f t="shared" si="117"/>
        <v>#NUM!</v>
      </c>
      <c r="AX184" s="229" t="e">
        <f t="shared" si="118"/>
        <v>#N/A</v>
      </c>
      <c r="AY184" s="229" t="e">
        <f t="shared" si="119"/>
        <v>#NUM!</v>
      </c>
      <c r="BA184" s="427">
        <f t="shared" si="146"/>
        <v>4</v>
      </c>
      <c r="BB184" s="884">
        <f t="shared" si="147"/>
        <v>110</v>
      </c>
      <c r="BC184" s="121" t="b">
        <f>IF($N$36="Fixed",$N$42,IF($N$36="Variable",VLOOKUP(BB184,'Financing Constants'!$A$8:$L$148,$BB$179)+$N$41/10000))</f>
        <v>0</v>
      </c>
      <c r="BD184" s="229" t="e">
        <f t="shared" si="148"/>
        <v>#NUM!</v>
      </c>
      <c r="BE184" s="888" t="str">
        <f t="shared" si="120"/>
        <v>PP</v>
      </c>
      <c r="BF184" s="229" t="e">
        <f t="shared" si="121"/>
        <v>#NUM!</v>
      </c>
      <c r="BG184" s="229" t="e">
        <f t="shared" si="122"/>
        <v>#NUM!</v>
      </c>
      <c r="BH184" s="229" t="e">
        <f t="shared" si="123"/>
        <v>#N/A</v>
      </c>
      <c r="BI184" s="229" t="e">
        <f t="shared" si="124"/>
        <v>#NUM!</v>
      </c>
      <c r="BK184" s="427">
        <f t="shared" si="149"/>
        <v>4</v>
      </c>
      <c r="BL184" s="884">
        <f t="shared" si="150"/>
        <v>110</v>
      </c>
      <c r="BM184" s="121" t="b">
        <f>IF($Q$36="Fixed",$Q$42,IF($Q$36="Variable",VLOOKUP(BL184,'Financing Constants'!$A$8:$L$148,$BL$179)+$Q$41/10000))</f>
        <v>0</v>
      </c>
      <c r="BN184" s="229" t="e">
        <f t="shared" si="151"/>
        <v>#NUM!</v>
      </c>
      <c r="BO184" s="888" t="str">
        <f t="shared" si="125"/>
        <v>PP</v>
      </c>
      <c r="BP184" s="229" t="e">
        <f t="shared" si="126"/>
        <v>#NUM!</v>
      </c>
      <c r="BQ184" s="229" t="e">
        <f t="shared" si="127"/>
        <v>#NUM!</v>
      </c>
      <c r="BR184" s="229" t="e">
        <f t="shared" si="128"/>
        <v>#N/A</v>
      </c>
      <c r="BS184" s="229" t="e">
        <f t="shared" si="129"/>
        <v>#NUM!</v>
      </c>
      <c r="BU184" s="427">
        <f t="shared" si="152"/>
        <v>4</v>
      </c>
      <c r="BV184" s="884">
        <f t="shared" si="153"/>
        <v>110</v>
      </c>
      <c r="BW184" s="121" t="b">
        <f>IF($T$36="Fixed",$T$42,IF($T$36="Variable",VLOOKUP(BV184,'Financing Constants'!$A$8:$L$148,$BV$179)+$T$41/10000))</f>
        <v>0</v>
      </c>
      <c r="BX184" s="229" t="e">
        <f t="shared" si="154"/>
        <v>#NUM!</v>
      </c>
      <c r="BY184" s="888" t="str">
        <f t="shared" si="130"/>
        <v>PP</v>
      </c>
      <c r="BZ184" s="229" t="e">
        <f t="shared" si="131"/>
        <v>#NUM!</v>
      </c>
      <c r="CA184" s="229" t="e">
        <f t="shared" si="132"/>
        <v>#NUM!</v>
      </c>
      <c r="CB184" s="229" t="e">
        <f t="shared" si="133"/>
        <v>#N/A</v>
      </c>
      <c r="CC184" s="229" t="e">
        <f t="shared" si="134"/>
        <v>#NUM!</v>
      </c>
    </row>
    <row r="185" spans="23:81" x14ac:dyDescent="0.25">
      <c r="W185" s="427">
        <f t="shared" si="135"/>
        <v>5</v>
      </c>
      <c r="X185" s="884">
        <f t="shared" si="136"/>
        <v>140</v>
      </c>
      <c r="Y185" s="121" t="b">
        <f>IF($E$36="Fixed",$E$42,IF($E$36="Variable",VLOOKUP(X185,'Financing Constants'!$A$8:$L$148,$X$179)+$E$41/10000))</f>
        <v>0</v>
      </c>
      <c r="Z185" s="229" t="e">
        <f t="shared" si="137"/>
        <v>#N/A</v>
      </c>
      <c r="AA185" s="888" t="str">
        <f t="shared" si="138"/>
        <v>PP</v>
      </c>
      <c r="AB185" s="229" t="e">
        <f t="shared" si="139"/>
        <v>#N/A</v>
      </c>
      <c r="AC185" s="229" t="e">
        <f t="shared" si="107"/>
        <v>#N/A</v>
      </c>
      <c r="AD185" s="229" t="e">
        <f t="shared" si="108"/>
        <v>#N/A</v>
      </c>
      <c r="AE185" s="229" t="e">
        <f t="shared" si="109"/>
        <v>#N/A</v>
      </c>
      <c r="AG185" s="427">
        <f t="shared" si="140"/>
        <v>5</v>
      </c>
      <c r="AH185" s="884">
        <f t="shared" si="141"/>
        <v>140</v>
      </c>
      <c r="AI185" s="121" t="b">
        <f>IF($H$36="Fixed",$H$42,IF($H$36="Variable",VLOOKUP(AH185,'Financing Constants'!$A$8:$L$148,$AH$179)+$H$41/10000))</f>
        <v>0</v>
      </c>
      <c r="AJ185" s="229" t="e">
        <f t="shared" si="142"/>
        <v>#NUM!</v>
      </c>
      <c r="AK185" s="888" t="str">
        <f t="shared" si="110"/>
        <v>PP</v>
      </c>
      <c r="AL185" s="229" t="e">
        <f t="shared" si="111"/>
        <v>#NUM!</v>
      </c>
      <c r="AM185" s="229" t="e">
        <f t="shared" si="112"/>
        <v>#NUM!</v>
      </c>
      <c r="AN185" s="229" t="e">
        <f t="shared" si="113"/>
        <v>#N/A</v>
      </c>
      <c r="AO185" s="229" t="e">
        <f t="shared" si="114"/>
        <v>#NUM!</v>
      </c>
      <c r="AQ185" s="427">
        <f t="shared" si="143"/>
        <v>5</v>
      </c>
      <c r="AR185" s="884">
        <f t="shared" si="144"/>
        <v>140</v>
      </c>
      <c r="AS185" s="121" t="b">
        <f>IF($K$36="Fixed",$K$42,IF($K$36="Variable",VLOOKUP(AR185,'Financing Constants'!$A$8:$L$148,$AR$179)+$K$41/10000))</f>
        <v>0</v>
      </c>
      <c r="AT185" s="229" t="e">
        <f t="shared" si="145"/>
        <v>#NUM!</v>
      </c>
      <c r="AU185" s="888" t="str">
        <f t="shared" si="115"/>
        <v>PP</v>
      </c>
      <c r="AV185" s="229" t="e">
        <f t="shared" si="116"/>
        <v>#NUM!</v>
      </c>
      <c r="AW185" s="229" t="e">
        <f t="shared" si="117"/>
        <v>#NUM!</v>
      </c>
      <c r="AX185" s="229" t="e">
        <f t="shared" si="118"/>
        <v>#N/A</v>
      </c>
      <c r="AY185" s="229" t="e">
        <f t="shared" si="119"/>
        <v>#NUM!</v>
      </c>
      <c r="BA185" s="427">
        <f t="shared" si="146"/>
        <v>5</v>
      </c>
      <c r="BB185" s="884">
        <f t="shared" si="147"/>
        <v>140</v>
      </c>
      <c r="BC185" s="121" t="b">
        <f>IF($N$36="Fixed",$N$42,IF($N$36="Variable",VLOOKUP(BB185,'Financing Constants'!$A$8:$L$148,$BB$179)+$N$41/10000))</f>
        <v>0</v>
      </c>
      <c r="BD185" s="229" t="e">
        <f t="shared" si="148"/>
        <v>#NUM!</v>
      </c>
      <c r="BE185" s="888" t="str">
        <f t="shared" si="120"/>
        <v>PP</v>
      </c>
      <c r="BF185" s="229" t="e">
        <f t="shared" si="121"/>
        <v>#NUM!</v>
      </c>
      <c r="BG185" s="229" t="e">
        <f t="shared" si="122"/>
        <v>#NUM!</v>
      </c>
      <c r="BH185" s="229" t="e">
        <f t="shared" si="123"/>
        <v>#N/A</v>
      </c>
      <c r="BI185" s="229" t="e">
        <f t="shared" si="124"/>
        <v>#NUM!</v>
      </c>
      <c r="BK185" s="427">
        <f t="shared" si="149"/>
        <v>5</v>
      </c>
      <c r="BL185" s="884">
        <f t="shared" si="150"/>
        <v>140</v>
      </c>
      <c r="BM185" s="121" t="b">
        <f>IF($Q$36="Fixed",$Q$42,IF($Q$36="Variable",VLOOKUP(BL185,'Financing Constants'!$A$8:$L$148,$BL$179)+$Q$41/10000))</f>
        <v>0</v>
      </c>
      <c r="BN185" s="229" t="e">
        <f t="shared" si="151"/>
        <v>#NUM!</v>
      </c>
      <c r="BO185" s="888" t="str">
        <f t="shared" si="125"/>
        <v>PP</v>
      </c>
      <c r="BP185" s="229" t="e">
        <f t="shared" si="126"/>
        <v>#NUM!</v>
      </c>
      <c r="BQ185" s="229" t="e">
        <f t="shared" si="127"/>
        <v>#NUM!</v>
      </c>
      <c r="BR185" s="229" t="e">
        <f t="shared" si="128"/>
        <v>#N/A</v>
      </c>
      <c r="BS185" s="229" t="e">
        <f t="shared" si="129"/>
        <v>#NUM!</v>
      </c>
      <c r="BU185" s="427">
        <f t="shared" si="152"/>
        <v>5</v>
      </c>
      <c r="BV185" s="884">
        <f t="shared" si="153"/>
        <v>140</v>
      </c>
      <c r="BW185" s="121" t="b">
        <f>IF($T$36="Fixed",$T$42,IF($T$36="Variable",VLOOKUP(BV185,'Financing Constants'!$A$8:$L$148,$BV$179)+$T$41/10000))</f>
        <v>0</v>
      </c>
      <c r="BX185" s="229" t="e">
        <f t="shared" si="154"/>
        <v>#NUM!</v>
      </c>
      <c r="BY185" s="888" t="str">
        <f t="shared" si="130"/>
        <v>PP</v>
      </c>
      <c r="BZ185" s="229" t="e">
        <f t="shared" si="131"/>
        <v>#NUM!</v>
      </c>
      <c r="CA185" s="229" t="e">
        <f t="shared" si="132"/>
        <v>#NUM!</v>
      </c>
      <c r="CB185" s="229" t="e">
        <f t="shared" si="133"/>
        <v>#N/A</v>
      </c>
      <c r="CC185" s="229" t="e">
        <f t="shared" si="134"/>
        <v>#NUM!</v>
      </c>
    </row>
    <row r="186" spans="23:81" x14ac:dyDescent="0.25">
      <c r="W186" s="427">
        <f t="shared" si="135"/>
        <v>6</v>
      </c>
      <c r="X186" s="884">
        <f t="shared" si="136"/>
        <v>170</v>
      </c>
      <c r="Y186" s="121" t="b">
        <f>IF($E$36="Fixed",$E$42,IF($E$36="Variable",VLOOKUP(X186,'Financing Constants'!$A$8:$L$148,$X$179)+$E$41/10000))</f>
        <v>0</v>
      </c>
      <c r="Z186" s="229" t="e">
        <f t="shared" si="137"/>
        <v>#N/A</v>
      </c>
      <c r="AA186" s="888" t="str">
        <f t="shared" si="138"/>
        <v>PP</v>
      </c>
      <c r="AB186" s="229" t="e">
        <f t="shared" si="139"/>
        <v>#N/A</v>
      </c>
      <c r="AC186" s="229" t="e">
        <f t="shared" si="107"/>
        <v>#N/A</v>
      </c>
      <c r="AD186" s="229" t="e">
        <f t="shared" si="108"/>
        <v>#N/A</v>
      </c>
      <c r="AE186" s="229" t="e">
        <f t="shared" si="109"/>
        <v>#N/A</v>
      </c>
      <c r="AG186" s="427">
        <f t="shared" si="140"/>
        <v>6</v>
      </c>
      <c r="AH186" s="884">
        <f t="shared" si="141"/>
        <v>170</v>
      </c>
      <c r="AI186" s="121" t="b">
        <f>IF($H$36="Fixed",$H$42,IF($H$36="Variable",VLOOKUP(AH186,'Financing Constants'!$A$8:$L$148,$AH$179)+$H$41/10000))</f>
        <v>0</v>
      </c>
      <c r="AJ186" s="229" t="e">
        <f t="shared" si="142"/>
        <v>#NUM!</v>
      </c>
      <c r="AK186" s="888" t="str">
        <f t="shared" si="110"/>
        <v>PP</v>
      </c>
      <c r="AL186" s="229" t="e">
        <f t="shared" si="111"/>
        <v>#NUM!</v>
      </c>
      <c r="AM186" s="229" t="e">
        <f t="shared" si="112"/>
        <v>#NUM!</v>
      </c>
      <c r="AN186" s="229" t="e">
        <f t="shared" si="113"/>
        <v>#N/A</v>
      </c>
      <c r="AO186" s="229" t="e">
        <f t="shared" si="114"/>
        <v>#NUM!</v>
      </c>
      <c r="AQ186" s="427">
        <f t="shared" si="143"/>
        <v>6</v>
      </c>
      <c r="AR186" s="884">
        <f t="shared" si="144"/>
        <v>170</v>
      </c>
      <c r="AS186" s="121" t="b">
        <f>IF($K$36="Fixed",$K$42,IF($K$36="Variable",VLOOKUP(AR186,'Financing Constants'!$A$8:$L$148,$AR$179)+$K$41/10000))</f>
        <v>0</v>
      </c>
      <c r="AT186" s="229" t="e">
        <f t="shared" si="145"/>
        <v>#NUM!</v>
      </c>
      <c r="AU186" s="888" t="str">
        <f t="shared" si="115"/>
        <v>PP</v>
      </c>
      <c r="AV186" s="229" t="e">
        <f t="shared" si="116"/>
        <v>#NUM!</v>
      </c>
      <c r="AW186" s="229" t="e">
        <f t="shared" si="117"/>
        <v>#NUM!</v>
      </c>
      <c r="AX186" s="229" t="e">
        <f t="shared" si="118"/>
        <v>#N/A</v>
      </c>
      <c r="AY186" s="229" t="e">
        <f t="shared" si="119"/>
        <v>#NUM!</v>
      </c>
      <c r="BA186" s="427">
        <f t="shared" si="146"/>
        <v>6</v>
      </c>
      <c r="BB186" s="884">
        <f t="shared" si="147"/>
        <v>170</v>
      </c>
      <c r="BC186" s="121" t="b">
        <f>IF($N$36="Fixed",$N$42,IF($N$36="Variable",VLOOKUP(BB186,'Financing Constants'!$A$8:$L$148,$BB$179)+$N$41/10000))</f>
        <v>0</v>
      </c>
      <c r="BD186" s="229" t="e">
        <f t="shared" si="148"/>
        <v>#NUM!</v>
      </c>
      <c r="BE186" s="888" t="str">
        <f t="shared" si="120"/>
        <v>PP</v>
      </c>
      <c r="BF186" s="229" t="e">
        <f t="shared" si="121"/>
        <v>#NUM!</v>
      </c>
      <c r="BG186" s="229" t="e">
        <f t="shared" si="122"/>
        <v>#NUM!</v>
      </c>
      <c r="BH186" s="229" t="e">
        <f t="shared" si="123"/>
        <v>#N/A</v>
      </c>
      <c r="BI186" s="229" t="e">
        <f t="shared" si="124"/>
        <v>#NUM!</v>
      </c>
      <c r="BK186" s="427">
        <f t="shared" si="149"/>
        <v>6</v>
      </c>
      <c r="BL186" s="884">
        <f t="shared" si="150"/>
        <v>170</v>
      </c>
      <c r="BM186" s="121" t="b">
        <f>IF($Q$36="Fixed",$Q$42,IF($Q$36="Variable",VLOOKUP(BL186,'Financing Constants'!$A$8:$L$148,$BL$179)+$Q$41/10000))</f>
        <v>0</v>
      </c>
      <c r="BN186" s="229" t="e">
        <f t="shared" si="151"/>
        <v>#NUM!</v>
      </c>
      <c r="BO186" s="888" t="str">
        <f t="shared" si="125"/>
        <v>PP</v>
      </c>
      <c r="BP186" s="229" t="e">
        <f t="shared" si="126"/>
        <v>#NUM!</v>
      </c>
      <c r="BQ186" s="229" t="e">
        <f t="shared" si="127"/>
        <v>#NUM!</v>
      </c>
      <c r="BR186" s="229" t="e">
        <f t="shared" si="128"/>
        <v>#N/A</v>
      </c>
      <c r="BS186" s="229" t="e">
        <f t="shared" si="129"/>
        <v>#NUM!</v>
      </c>
      <c r="BU186" s="427">
        <f t="shared" si="152"/>
        <v>6</v>
      </c>
      <c r="BV186" s="884">
        <f t="shared" si="153"/>
        <v>170</v>
      </c>
      <c r="BW186" s="121" t="b">
        <f>IF($T$36="Fixed",$T$42,IF($T$36="Variable",VLOOKUP(BV186,'Financing Constants'!$A$8:$L$148,$BV$179)+$T$41/10000))</f>
        <v>0</v>
      </c>
      <c r="BX186" s="229" t="e">
        <f t="shared" si="154"/>
        <v>#NUM!</v>
      </c>
      <c r="BY186" s="888" t="str">
        <f t="shared" si="130"/>
        <v>PP</v>
      </c>
      <c r="BZ186" s="229" t="e">
        <f t="shared" si="131"/>
        <v>#NUM!</v>
      </c>
      <c r="CA186" s="229" t="e">
        <f t="shared" si="132"/>
        <v>#NUM!</v>
      </c>
      <c r="CB186" s="229" t="e">
        <f t="shared" si="133"/>
        <v>#N/A</v>
      </c>
      <c r="CC186" s="229" t="e">
        <f t="shared" si="134"/>
        <v>#NUM!</v>
      </c>
    </row>
    <row r="187" spans="23:81" x14ac:dyDescent="0.25">
      <c r="W187" s="427">
        <f t="shared" si="135"/>
        <v>7</v>
      </c>
      <c r="X187" s="884">
        <f t="shared" si="136"/>
        <v>200</v>
      </c>
      <c r="Y187" s="121" t="b">
        <f>IF($E$36="Fixed",$E$42,IF($E$36="Variable",VLOOKUP(X187,'Financing Constants'!$A$8:$L$148,$X$179)+$E$41/10000))</f>
        <v>0</v>
      </c>
      <c r="Z187" s="229" t="e">
        <f t="shared" si="137"/>
        <v>#N/A</v>
      </c>
      <c r="AA187" s="888" t="str">
        <f t="shared" si="138"/>
        <v>PP</v>
      </c>
      <c r="AB187" s="229" t="e">
        <f t="shared" si="139"/>
        <v>#N/A</v>
      </c>
      <c r="AC187" s="229" t="e">
        <f t="shared" si="107"/>
        <v>#N/A</v>
      </c>
      <c r="AD187" s="229" t="e">
        <f t="shared" si="108"/>
        <v>#N/A</v>
      </c>
      <c r="AE187" s="229" t="e">
        <f t="shared" si="109"/>
        <v>#N/A</v>
      </c>
      <c r="AG187" s="427">
        <f t="shared" si="140"/>
        <v>7</v>
      </c>
      <c r="AH187" s="884">
        <f t="shared" si="141"/>
        <v>200</v>
      </c>
      <c r="AI187" s="121" t="b">
        <f>IF($H$36="Fixed",$H$42,IF($H$36="Variable",VLOOKUP(AH187,'Financing Constants'!$A$8:$L$148,$AH$179)+$H$41/10000))</f>
        <v>0</v>
      </c>
      <c r="AJ187" s="229" t="e">
        <f t="shared" si="142"/>
        <v>#NUM!</v>
      </c>
      <c r="AK187" s="888" t="str">
        <f t="shared" si="110"/>
        <v>PP</v>
      </c>
      <c r="AL187" s="229" t="e">
        <f t="shared" si="111"/>
        <v>#NUM!</v>
      </c>
      <c r="AM187" s="229" t="e">
        <f t="shared" si="112"/>
        <v>#NUM!</v>
      </c>
      <c r="AN187" s="229" t="e">
        <f t="shared" si="113"/>
        <v>#N/A</v>
      </c>
      <c r="AO187" s="229" t="e">
        <f t="shared" si="114"/>
        <v>#NUM!</v>
      </c>
      <c r="AQ187" s="427">
        <f t="shared" si="143"/>
        <v>7</v>
      </c>
      <c r="AR187" s="884">
        <f t="shared" si="144"/>
        <v>200</v>
      </c>
      <c r="AS187" s="121" t="b">
        <f>IF($K$36="Fixed",$K$42,IF($K$36="Variable",VLOOKUP(AR187,'Financing Constants'!$A$8:$L$148,$AR$179)+$K$41/10000))</f>
        <v>0</v>
      </c>
      <c r="AT187" s="229" t="e">
        <f t="shared" si="145"/>
        <v>#NUM!</v>
      </c>
      <c r="AU187" s="888" t="str">
        <f t="shared" si="115"/>
        <v>PP</v>
      </c>
      <c r="AV187" s="229" t="e">
        <f t="shared" si="116"/>
        <v>#NUM!</v>
      </c>
      <c r="AW187" s="229" t="e">
        <f t="shared" si="117"/>
        <v>#NUM!</v>
      </c>
      <c r="AX187" s="229" t="e">
        <f t="shared" si="118"/>
        <v>#N/A</v>
      </c>
      <c r="AY187" s="229" t="e">
        <f t="shared" si="119"/>
        <v>#NUM!</v>
      </c>
      <c r="BA187" s="427">
        <f t="shared" si="146"/>
        <v>7</v>
      </c>
      <c r="BB187" s="884">
        <f t="shared" si="147"/>
        <v>200</v>
      </c>
      <c r="BC187" s="121" t="b">
        <f>IF($N$36="Fixed",$N$42,IF($N$36="Variable",VLOOKUP(BB187,'Financing Constants'!$A$8:$L$148,$BB$179)+$N$41/10000))</f>
        <v>0</v>
      </c>
      <c r="BD187" s="229" t="e">
        <f t="shared" si="148"/>
        <v>#NUM!</v>
      </c>
      <c r="BE187" s="888" t="str">
        <f t="shared" si="120"/>
        <v>PP</v>
      </c>
      <c r="BF187" s="229" t="e">
        <f t="shared" si="121"/>
        <v>#NUM!</v>
      </c>
      <c r="BG187" s="229" t="e">
        <f t="shared" si="122"/>
        <v>#NUM!</v>
      </c>
      <c r="BH187" s="229" t="e">
        <f t="shared" si="123"/>
        <v>#N/A</v>
      </c>
      <c r="BI187" s="229" t="e">
        <f t="shared" si="124"/>
        <v>#NUM!</v>
      </c>
      <c r="BK187" s="427">
        <f t="shared" si="149"/>
        <v>7</v>
      </c>
      <c r="BL187" s="884">
        <f t="shared" si="150"/>
        <v>200</v>
      </c>
      <c r="BM187" s="121" t="b">
        <f>IF($Q$36="Fixed",$Q$42,IF($Q$36="Variable",VLOOKUP(BL187,'Financing Constants'!$A$8:$L$148,$BL$179)+$Q$41/10000))</f>
        <v>0</v>
      </c>
      <c r="BN187" s="229" t="e">
        <f t="shared" si="151"/>
        <v>#NUM!</v>
      </c>
      <c r="BO187" s="888" t="str">
        <f t="shared" si="125"/>
        <v>PP</v>
      </c>
      <c r="BP187" s="229" t="e">
        <f t="shared" si="126"/>
        <v>#NUM!</v>
      </c>
      <c r="BQ187" s="229" t="e">
        <f t="shared" si="127"/>
        <v>#NUM!</v>
      </c>
      <c r="BR187" s="229" t="e">
        <f t="shared" si="128"/>
        <v>#N/A</v>
      </c>
      <c r="BS187" s="229" t="e">
        <f t="shared" si="129"/>
        <v>#NUM!</v>
      </c>
      <c r="BU187" s="427">
        <f t="shared" si="152"/>
        <v>7</v>
      </c>
      <c r="BV187" s="884">
        <f t="shared" si="153"/>
        <v>200</v>
      </c>
      <c r="BW187" s="121" t="b">
        <f>IF($T$36="Fixed",$T$42,IF($T$36="Variable",VLOOKUP(BV187,'Financing Constants'!$A$8:$L$148,$BV$179)+$T$41/10000))</f>
        <v>0</v>
      </c>
      <c r="BX187" s="229" t="e">
        <f t="shared" si="154"/>
        <v>#NUM!</v>
      </c>
      <c r="BY187" s="888" t="str">
        <f t="shared" si="130"/>
        <v>PP</v>
      </c>
      <c r="BZ187" s="229" t="e">
        <f t="shared" si="131"/>
        <v>#NUM!</v>
      </c>
      <c r="CA187" s="229" t="e">
        <f t="shared" si="132"/>
        <v>#NUM!</v>
      </c>
      <c r="CB187" s="229" t="e">
        <f t="shared" si="133"/>
        <v>#N/A</v>
      </c>
      <c r="CC187" s="229" t="e">
        <f t="shared" si="134"/>
        <v>#NUM!</v>
      </c>
    </row>
    <row r="188" spans="23:81" x14ac:dyDescent="0.25">
      <c r="W188" s="427">
        <f t="shared" si="135"/>
        <v>8</v>
      </c>
      <c r="X188" s="884">
        <f t="shared" si="136"/>
        <v>230</v>
      </c>
      <c r="Y188" s="121" t="b">
        <f>IF($E$36="Fixed",$E$42,IF($E$36="Variable",VLOOKUP(X188,'Financing Constants'!$A$8:$L$148,$X$179)+$E$41/10000))</f>
        <v>0</v>
      </c>
      <c r="Z188" s="229" t="e">
        <f t="shared" si="137"/>
        <v>#N/A</v>
      </c>
      <c r="AA188" s="888" t="str">
        <f t="shared" si="138"/>
        <v>PP</v>
      </c>
      <c r="AB188" s="229" t="e">
        <f t="shared" si="139"/>
        <v>#N/A</v>
      </c>
      <c r="AC188" s="229" t="e">
        <f t="shared" si="107"/>
        <v>#N/A</v>
      </c>
      <c r="AD188" s="229" t="e">
        <f t="shared" si="108"/>
        <v>#N/A</v>
      </c>
      <c r="AE188" s="229" t="e">
        <f t="shared" si="109"/>
        <v>#N/A</v>
      </c>
      <c r="AG188" s="427">
        <f t="shared" si="140"/>
        <v>8</v>
      </c>
      <c r="AH188" s="884">
        <f t="shared" si="141"/>
        <v>230</v>
      </c>
      <c r="AI188" s="121" t="b">
        <f>IF($H$36="Fixed",$H$42,IF($H$36="Variable",VLOOKUP(AH188,'Financing Constants'!$A$8:$L$148,$AH$179)+$H$41/10000))</f>
        <v>0</v>
      </c>
      <c r="AJ188" s="229" t="e">
        <f t="shared" si="142"/>
        <v>#NUM!</v>
      </c>
      <c r="AK188" s="888" t="str">
        <f t="shared" si="110"/>
        <v>PP</v>
      </c>
      <c r="AL188" s="229" t="e">
        <f t="shared" si="111"/>
        <v>#NUM!</v>
      </c>
      <c r="AM188" s="229" t="e">
        <f t="shared" si="112"/>
        <v>#NUM!</v>
      </c>
      <c r="AN188" s="229" t="e">
        <f t="shared" si="113"/>
        <v>#N/A</v>
      </c>
      <c r="AO188" s="229" t="e">
        <f t="shared" si="114"/>
        <v>#NUM!</v>
      </c>
      <c r="AQ188" s="427">
        <f t="shared" si="143"/>
        <v>8</v>
      </c>
      <c r="AR188" s="884">
        <f t="shared" si="144"/>
        <v>230</v>
      </c>
      <c r="AS188" s="121" t="b">
        <f>IF($K$36="Fixed",$K$42,IF($K$36="Variable",VLOOKUP(AR188,'Financing Constants'!$A$8:$L$148,$AR$179)+$K$41/10000))</f>
        <v>0</v>
      </c>
      <c r="AT188" s="229" t="e">
        <f t="shared" si="145"/>
        <v>#NUM!</v>
      </c>
      <c r="AU188" s="888" t="str">
        <f t="shared" si="115"/>
        <v>PP</v>
      </c>
      <c r="AV188" s="229" t="e">
        <f t="shared" si="116"/>
        <v>#NUM!</v>
      </c>
      <c r="AW188" s="229" t="e">
        <f t="shared" si="117"/>
        <v>#NUM!</v>
      </c>
      <c r="AX188" s="229" t="e">
        <f t="shared" si="118"/>
        <v>#N/A</v>
      </c>
      <c r="AY188" s="229" t="e">
        <f t="shared" si="119"/>
        <v>#NUM!</v>
      </c>
      <c r="BA188" s="427">
        <f t="shared" si="146"/>
        <v>8</v>
      </c>
      <c r="BB188" s="884">
        <f t="shared" si="147"/>
        <v>230</v>
      </c>
      <c r="BC188" s="121" t="b">
        <f>IF($N$36="Fixed",$N$42,IF($N$36="Variable",VLOOKUP(BB188,'Financing Constants'!$A$8:$L$148,$BB$179)+$N$41/10000))</f>
        <v>0</v>
      </c>
      <c r="BD188" s="229" t="e">
        <f t="shared" si="148"/>
        <v>#NUM!</v>
      </c>
      <c r="BE188" s="888" t="str">
        <f t="shared" si="120"/>
        <v>PP</v>
      </c>
      <c r="BF188" s="229" t="e">
        <f t="shared" si="121"/>
        <v>#NUM!</v>
      </c>
      <c r="BG188" s="229" t="e">
        <f t="shared" si="122"/>
        <v>#NUM!</v>
      </c>
      <c r="BH188" s="229" t="e">
        <f t="shared" si="123"/>
        <v>#N/A</v>
      </c>
      <c r="BI188" s="229" t="e">
        <f t="shared" si="124"/>
        <v>#NUM!</v>
      </c>
      <c r="BK188" s="427">
        <f t="shared" si="149"/>
        <v>8</v>
      </c>
      <c r="BL188" s="884">
        <f t="shared" si="150"/>
        <v>230</v>
      </c>
      <c r="BM188" s="121" t="b">
        <f>IF($Q$36="Fixed",$Q$42,IF($Q$36="Variable",VLOOKUP(BL188,'Financing Constants'!$A$8:$L$148,$BL$179)+$Q$41/10000))</f>
        <v>0</v>
      </c>
      <c r="BN188" s="229" t="e">
        <f t="shared" si="151"/>
        <v>#NUM!</v>
      </c>
      <c r="BO188" s="888" t="str">
        <f t="shared" si="125"/>
        <v>PP</v>
      </c>
      <c r="BP188" s="229" t="e">
        <f t="shared" si="126"/>
        <v>#NUM!</v>
      </c>
      <c r="BQ188" s="229" t="e">
        <f t="shared" si="127"/>
        <v>#NUM!</v>
      </c>
      <c r="BR188" s="229" t="e">
        <f t="shared" si="128"/>
        <v>#N/A</v>
      </c>
      <c r="BS188" s="229" t="e">
        <f t="shared" si="129"/>
        <v>#NUM!</v>
      </c>
      <c r="BU188" s="427">
        <f t="shared" si="152"/>
        <v>8</v>
      </c>
      <c r="BV188" s="884">
        <f t="shared" si="153"/>
        <v>230</v>
      </c>
      <c r="BW188" s="121" t="b">
        <f>IF($T$36="Fixed",$T$42,IF($T$36="Variable",VLOOKUP(BV188,'Financing Constants'!$A$8:$L$148,$BV$179)+$T$41/10000))</f>
        <v>0</v>
      </c>
      <c r="BX188" s="229" t="e">
        <f t="shared" si="154"/>
        <v>#NUM!</v>
      </c>
      <c r="BY188" s="888" t="str">
        <f t="shared" si="130"/>
        <v>PP</v>
      </c>
      <c r="BZ188" s="229" t="e">
        <f t="shared" si="131"/>
        <v>#NUM!</v>
      </c>
      <c r="CA188" s="229" t="e">
        <f t="shared" si="132"/>
        <v>#NUM!</v>
      </c>
      <c r="CB188" s="229" t="e">
        <f t="shared" si="133"/>
        <v>#N/A</v>
      </c>
      <c r="CC188" s="229" t="e">
        <f t="shared" si="134"/>
        <v>#NUM!</v>
      </c>
    </row>
    <row r="189" spans="23:81" x14ac:dyDescent="0.25">
      <c r="W189" s="427">
        <f t="shared" si="135"/>
        <v>9</v>
      </c>
      <c r="X189" s="884">
        <f t="shared" si="136"/>
        <v>260</v>
      </c>
      <c r="Y189" s="121" t="b">
        <f>IF($E$36="Fixed",$E$42,IF($E$36="Variable",VLOOKUP(X189,'Financing Constants'!$A$8:$L$148,$X$179)+$E$41/10000))</f>
        <v>0</v>
      </c>
      <c r="Z189" s="229" t="e">
        <f t="shared" si="137"/>
        <v>#N/A</v>
      </c>
      <c r="AA189" s="888" t="str">
        <f t="shared" si="138"/>
        <v>PP</v>
      </c>
      <c r="AB189" s="229" t="e">
        <f t="shared" si="139"/>
        <v>#N/A</v>
      </c>
      <c r="AC189" s="229" t="e">
        <f t="shared" si="107"/>
        <v>#N/A</v>
      </c>
      <c r="AD189" s="229" t="e">
        <f t="shared" si="108"/>
        <v>#N/A</v>
      </c>
      <c r="AE189" s="229" t="e">
        <f t="shared" si="109"/>
        <v>#N/A</v>
      </c>
      <c r="AG189" s="427">
        <f t="shared" si="140"/>
        <v>9</v>
      </c>
      <c r="AH189" s="884">
        <f t="shared" si="141"/>
        <v>260</v>
      </c>
      <c r="AI189" s="121" t="b">
        <f>IF($H$36="Fixed",$H$42,IF($H$36="Variable",VLOOKUP(AH189,'Financing Constants'!$A$8:$L$148,$AH$179)+$H$41/10000))</f>
        <v>0</v>
      </c>
      <c r="AJ189" s="229" t="e">
        <f t="shared" si="142"/>
        <v>#NUM!</v>
      </c>
      <c r="AK189" s="888" t="str">
        <f t="shared" si="110"/>
        <v>PP</v>
      </c>
      <c r="AL189" s="229" t="e">
        <f t="shared" si="111"/>
        <v>#NUM!</v>
      </c>
      <c r="AM189" s="229" t="e">
        <f t="shared" si="112"/>
        <v>#NUM!</v>
      </c>
      <c r="AN189" s="229" t="e">
        <f t="shared" si="113"/>
        <v>#N/A</v>
      </c>
      <c r="AO189" s="229" t="e">
        <f t="shared" si="114"/>
        <v>#NUM!</v>
      </c>
      <c r="AQ189" s="427">
        <f t="shared" si="143"/>
        <v>9</v>
      </c>
      <c r="AR189" s="884">
        <f t="shared" si="144"/>
        <v>260</v>
      </c>
      <c r="AS189" s="121" t="b">
        <f>IF($K$36="Fixed",$K$42,IF($K$36="Variable",VLOOKUP(AR189,'Financing Constants'!$A$8:$L$148,$AR$179)+$K$41/10000))</f>
        <v>0</v>
      </c>
      <c r="AT189" s="229" t="e">
        <f t="shared" si="145"/>
        <v>#NUM!</v>
      </c>
      <c r="AU189" s="888" t="str">
        <f t="shared" si="115"/>
        <v>PP</v>
      </c>
      <c r="AV189" s="229" t="e">
        <f t="shared" si="116"/>
        <v>#NUM!</v>
      </c>
      <c r="AW189" s="229" t="e">
        <f t="shared" si="117"/>
        <v>#NUM!</v>
      </c>
      <c r="AX189" s="229" t="e">
        <f t="shared" si="118"/>
        <v>#N/A</v>
      </c>
      <c r="AY189" s="229" t="e">
        <f t="shared" si="119"/>
        <v>#NUM!</v>
      </c>
      <c r="BA189" s="427">
        <f t="shared" si="146"/>
        <v>9</v>
      </c>
      <c r="BB189" s="884">
        <f t="shared" si="147"/>
        <v>260</v>
      </c>
      <c r="BC189" s="121" t="b">
        <f>IF($N$36="Fixed",$N$42,IF($N$36="Variable",VLOOKUP(BB189,'Financing Constants'!$A$8:$L$148,$BB$179)+$N$41/10000))</f>
        <v>0</v>
      </c>
      <c r="BD189" s="229" t="e">
        <f t="shared" si="148"/>
        <v>#NUM!</v>
      </c>
      <c r="BE189" s="888" t="str">
        <f t="shared" si="120"/>
        <v>PP</v>
      </c>
      <c r="BF189" s="229" t="e">
        <f t="shared" si="121"/>
        <v>#NUM!</v>
      </c>
      <c r="BG189" s="229" t="e">
        <f t="shared" si="122"/>
        <v>#NUM!</v>
      </c>
      <c r="BH189" s="229" t="e">
        <f t="shared" si="123"/>
        <v>#N/A</v>
      </c>
      <c r="BI189" s="229" t="e">
        <f t="shared" si="124"/>
        <v>#NUM!</v>
      </c>
      <c r="BK189" s="427">
        <f t="shared" si="149"/>
        <v>9</v>
      </c>
      <c r="BL189" s="884">
        <f t="shared" si="150"/>
        <v>260</v>
      </c>
      <c r="BM189" s="121" t="b">
        <f>IF($Q$36="Fixed",$Q$42,IF($Q$36="Variable",VLOOKUP(BL189,'Financing Constants'!$A$8:$L$148,$BL$179)+$Q$41/10000))</f>
        <v>0</v>
      </c>
      <c r="BN189" s="229" t="e">
        <f t="shared" si="151"/>
        <v>#NUM!</v>
      </c>
      <c r="BO189" s="888" t="str">
        <f t="shared" si="125"/>
        <v>PP</v>
      </c>
      <c r="BP189" s="229" t="e">
        <f t="shared" si="126"/>
        <v>#NUM!</v>
      </c>
      <c r="BQ189" s="229" t="e">
        <f t="shared" si="127"/>
        <v>#NUM!</v>
      </c>
      <c r="BR189" s="229" t="e">
        <f t="shared" si="128"/>
        <v>#N/A</v>
      </c>
      <c r="BS189" s="229" t="e">
        <f t="shared" si="129"/>
        <v>#NUM!</v>
      </c>
      <c r="BU189" s="427">
        <f t="shared" si="152"/>
        <v>9</v>
      </c>
      <c r="BV189" s="884">
        <f t="shared" si="153"/>
        <v>260</v>
      </c>
      <c r="BW189" s="121" t="b">
        <f>IF($T$36="Fixed",$T$42,IF($T$36="Variable",VLOOKUP(BV189,'Financing Constants'!$A$8:$L$148,$BV$179)+$T$41/10000))</f>
        <v>0</v>
      </c>
      <c r="BX189" s="229" t="e">
        <f t="shared" si="154"/>
        <v>#NUM!</v>
      </c>
      <c r="BY189" s="888" t="str">
        <f t="shared" si="130"/>
        <v>PP</v>
      </c>
      <c r="BZ189" s="229" t="e">
        <f t="shared" si="131"/>
        <v>#NUM!</v>
      </c>
      <c r="CA189" s="229" t="e">
        <f t="shared" si="132"/>
        <v>#NUM!</v>
      </c>
      <c r="CB189" s="229" t="e">
        <f t="shared" si="133"/>
        <v>#N/A</v>
      </c>
      <c r="CC189" s="229" t="e">
        <f t="shared" si="134"/>
        <v>#NUM!</v>
      </c>
    </row>
    <row r="190" spans="23:81" x14ac:dyDescent="0.25">
      <c r="W190" s="427">
        <f t="shared" si="135"/>
        <v>10</v>
      </c>
      <c r="X190" s="884">
        <f t="shared" si="136"/>
        <v>290</v>
      </c>
      <c r="Y190" s="121" t="b">
        <f>IF($E$36="Fixed",$E$42,IF($E$36="Variable",VLOOKUP(X190,'Financing Constants'!$A$8:$L$148,$X$179)+$E$41/10000))</f>
        <v>0</v>
      </c>
      <c r="Z190" s="229" t="e">
        <f t="shared" si="137"/>
        <v>#N/A</v>
      </c>
      <c r="AA190" s="888" t="str">
        <f t="shared" si="138"/>
        <v>PP</v>
      </c>
      <c r="AB190" s="229" t="e">
        <f t="shared" si="139"/>
        <v>#N/A</v>
      </c>
      <c r="AC190" s="229" t="e">
        <f t="shared" si="107"/>
        <v>#N/A</v>
      </c>
      <c r="AD190" s="229" t="e">
        <f t="shared" si="108"/>
        <v>#N/A</v>
      </c>
      <c r="AE190" s="229" t="e">
        <f t="shared" si="109"/>
        <v>#N/A</v>
      </c>
      <c r="AG190" s="427">
        <f t="shared" si="140"/>
        <v>10</v>
      </c>
      <c r="AH190" s="884">
        <f t="shared" si="141"/>
        <v>290</v>
      </c>
      <c r="AI190" s="121" t="b">
        <f>IF($H$36="Fixed",$H$42,IF($H$36="Variable",VLOOKUP(AH190,'Financing Constants'!$A$8:$L$148,$AH$179)+$H$41/10000))</f>
        <v>0</v>
      </c>
      <c r="AJ190" s="229" t="e">
        <f t="shared" si="142"/>
        <v>#NUM!</v>
      </c>
      <c r="AK190" s="888" t="str">
        <f t="shared" si="110"/>
        <v>PP</v>
      </c>
      <c r="AL190" s="229" t="e">
        <f t="shared" si="111"/>
        <v>#NUM!</v>
      </c>
      <c r="AM190" s="229" t="e">
        <f t="shared" si="112"/>
        <v>#NUM!</v>
      </c>
      <c r="AN190" s="229" t="e">
        <f t="shared" si="113"/>
        <v>#N/A</v>
      </c>
      <c r="AO190" s="229" t="e">
        <f t="shared" si="114"/>
        <v>#NUM!</v>
      </c>
      <c r="AQ190" s="427">
        <f t="shared" si="143"/>
        <v>10</v>
      </c>
      <c r="AR190" s="884">
        <f t="shared" si="144"/>
        <v>290</v>
      </c>
      <c r="AS190" s="121" t="b">
        <f>IF($K$36="Fixed",$K$42,IF($K$36="Variable",VLOOKUP(AR190,'Financing Constants'!$A$8:$L$148,$AR$179)+$K$41/10000))</f>
        <v>0</v>
      </c>
      <c r="AT190" s="229" t="e">
        <f t="shared" si="145"/>
        <v>#NUM!</v>
      </c>
      <c r="AU190" s="888" t="str">
        <f t="shared" si="115"/>
        <v>PP</v>
      </c>
      <c r="AV190" s="229" t="e">
        <f t="shared" si="116"/>
        <v>#NUM!</v>
      </c>
      <c r="AW190" s="229" t="e">
        <f t="shared" si="117"/>
        <v>#NUM!</v>
      </c>
      <c r="AX190" s="229" t="e">
        <f t="shared" si="118"/>
        <v>#N/A</v>
      </c>
      <c r="AY190" s="229" t="e">
        <f t="shared" si="119"/>
        <v>#NUM!</v>
      </c>
      <c r="BA190" s="427">
        <f t="shared" si="146"/>
        <v>10</v>
      </c>
      <c r="BB190" s="884">
        <f t="shared" si="147"/>
        <v>290</v>
      </c>
      <c r="BC190" s="121" t="b">
        <f>IF($N$36="Fixed",$N$42,IF($N$36="Variable",VLOOKUP(BB190,'Financing Constants'!$A$8:$L$148,$BB$179)+$N$41/10000))</f>
        <v>0</v>
      </c>
      <c r="BD190" s="229" t="e">
        <f t="shared" si="148"/>
        <v>#NUM!</v>
      </c>
      <c r="BE190" s="888" t="str">
        <f t="shared" si="120"/>
        <v>PP</v>
      </c>
      <c r="BF190" s="229" t="e">
        <f t="shared" si="121"/>
        <v>#NUM!</v>
      </c>
      <c r="BG190" s="229" t="e">
        <f t="shared" si="122"/>
        <v>#NUM!</v>
      </c>
      <c r="BH190" s="229" t="e">
        <f t="shared" si="123"/>
        <v>#N/A</v>
      </c>
      <c r="BI190" s="229" t="e">
        <f t="shared" si="124"/>
        <v>#NUM!</v>
      </c>
      <c r="BK190" s="427">
        <f t="shared" si="149"/>
        <v>10</v>
      </c>
      <c r="BL190" s="884">
        <f t="shared" si="150"/>
        <v>290</v>
      </c>
      <c r="BM190" s="121" t="b">
        <f>IF($Q$36="Fixed",$Q$42,IF($Q$36="Variable",VLOOKUP(BL190,'Financing Constants'!$A$8:$L$148,$BL$179)+$Q$41/10000))</f>
        <v>0</v>
      </c>
      <c r="BN190" s="229" t="e">
        <f t="shared" si="151"/>
        <v>#NUM!</v>
      </c>
      <c r="BO190" s="888" t="str">
        <f t="shared" si="125"/>
        <v>PP</v>
      </c>
      <c r="BP190" s="229" t="e">
        <f t="shared" si="126"/>
        <v>#NUM!</v>
      </c>
      <c r="BQ190" s="229" t="e">
        <f t="shared" si="127"/>
        <v>#NUM!</v>
      </c>
      <c r="BR190" s="229" t="e">
        <f t="shared" si="128"/>
        <v>#N/A</v>
      </c>
      <c r="BS190" s="229" t="e">
        <f t="shared" si="129"/>
        <v>#NUM!</v>
      </c>
      <c r="BU190" s="427">
        <f t="shared" si="152"/>
        <v>10</v>
      </c>
      <c r="BV190" s="884">
        <f t="shared" si="153"/>
        <v>290</v>
      </c>
      <c r="BW190" s="121" t="b">
        <f>IF($T$36="Fixed",$T$42,IF($T$36="Variable",VLOOKUP(BV190,'Financing Constants'!$A$8:$L$148,$BV$179)+$T$41/10000))</f>
        <v>0</v>
      </c>
      <c r="BX190" s="229" t="e">
        <f t="shared" si="154"/>
        <v>#NUM!</v>
      </c>
      <c r="BY190" s="888" t="str">
        <f t="shared" si="130"/>
        <v>PP</v>
      </c>
      <c r="BZ190" s="229" t="e">
        <f t="shared" si="131"/>
        <v>#NUM!</v>
      </c>
      <c r="CA190" s="229" t="e">
        <f t="shared" si="132"/>
        <v>#NUM!</v>
      </c>
      <c r="CB190" s="229" t="e">
        <f t="shared" si="133"/>
        <v>#N/A</v>
      </c>
      <c r="CC190" s="229" t="e">
        <f t="shared" si="134"/>
        <v>#NUM!</v>
      </c>
    </row>
    <row r="191" spans="23:81" x14ac:dyDescent="0.25">
      <c r="W191" s="427">
        <f t="shared" si="135"/>
        <v>11</v>
      </c>
      <c r="X191" s="884">
        <f t="shared" si="136"/>
        <v>320</v>
      </c>
      <c r="Y191" s="121" t="b">
        <f>IF($E$36="Fixed",$E$42,IF($E$36="Variable",VLOOKUP(X191,'Financing Constants'!$A$8:$L$148,$X$179)+$E$41/10000))</f>
        <v>0</v>
      </c>
      <c r="Z191" s="229" t="e">
        <f t="shared" si="137"/>
        <v>#N/A</v>
      </c>
      <c r="AA191" s="888" t="str">
        <f t="shared" si="138"/>
        <v>PP</v>
      </c>
      <c r="AB191" s="229" t="e">
        <f t="shared" si="139"/>
        <v>#N/A</v>
      </c>
      <c r="AC191" s="229" t="e">
        <f t="shared" si="107"/>
        <v>#N/A</v>
      </c>
      <c r="AD191" s="229" t="e">
        <f t="shared" si="108"/>
        <v>#N/A</v>
      </c>
      <c r="AE191" s="229" t="e">
        <f t="shared" si="109"/>
        <v>#N/A</v>
      </c>
      <c r="AG191" s="427">
        <f t="shared" si="140"/>
        <v>11</v>
      </c>
      <c r="AH191" s="884">
        <f t="shared" si="141"/>
        <v>320</v>
      </c>
      <c r="AI191" s="121" t="b">
        <f>IF($H$36="Fixed",$H$42,IF($H$36="Variable",VLOOKUP(AH191,'Financing Constants'!$A$8:$L$148,$AH$179)+$H$41/10000))</f>
        <v>0</v>
      </c>
      <c r="AJ191" s="229" t="e">
        <f t="shared" si="142"/>
        <v>#NUM!</v>
      </c>
      <c r="AK191" s="888" t="str">
        <f t="shared" si="110"/>
        <v>PP</v>
      </c>
      <c r="AL191" s="229" t="e">
        <f t="shared" si="111"/>
        <v>#NUM!</v>
      </c>
      <c r="AM191" s="229" t="e">
        <f t="shared" si="112"/>
        <v>#NUM!</v>
      </c>
      <c r="AN191" s="229" t="e">
        <f t="shared" si="113"/>
        <v>#N/A</v>
      </c>
      <c r="AO191" s="229" t="e">
        <f t="shared" si="114"/>
        <v>#NUM!</v>
      </c>
      <c r="AQ191" s="427">
        <f t="shared" si="143"/>
        <v>11</v>
      </c>
      <c r="AR191" s="884">
        <f t="shared" si="144"/>
        <v>320</v>
      </c>
      <c r="AS191" s="121" t="b">
        <f>IF($K$36="Fixed",$K$42,IF($K$36="Variable",VLOOKUP(AR191,'Financing Constants'!$A$8:$L$148,$AR$179)+$K$41/10000))</f>
        <v>0</v>
      </c>
      <c r="AT191" s="229" t="e">
        <f t="shared" si="145"/>
        <v>#NUM!</v>
      </c>
      <c r="AU191" s="888" t="str">
        <f t="shared" si="115"/>
        <v>PP</v>
      </c>
      <c r="AV191" s="229" t="e">
        <f t="shared" si="116"/>
        <v>#NUM!</v>
      </c>
      <c r="AW191" s="229" t="e">
        <f t="shared" si="117"/>
        <v>#NUM!</v>
      </c>
      <c r="AX191" s="229" t="e">
        <f t="shared" si="118"/>
        <v>#N/A</v>
      </c>
      <c r="AY191" s="229" t="e">
        <f t="shared" si="119"/>
        <v>#NUM!</v>
      </c>
      <c r="BA191" s="427">
        <f t="shared" si="146"/>
        <v>11</v>
      </c>
      <c r="BB191" s="884">
        <f t="shared" si="147"/>
        <v>320</v>
      </c>
      <c r="BC191" s="121" t="b">
        <f>IF($N$36="Fixed",$N$42,IF($N$36="Variable",VLOOKUP(BB191,'Financing Constants'!$A$8:$L$148,$BB$179)+$N$41/10000))</f>
        <v>0</v>
      </c>
      <c r="BD191" s="229" t="e">
        <f t="shared" si="148"/>
        <v>#NUM!</v>
      </c>
      <c r="BE191" s="888" t="str">
        <f t="shared" si="120"/>
        <v>PP</v>
      </c>
      <c r="BF191" s="229" t="e">
        <f t="shared" si="121"/>
        <v>#NUM!</v>
      </c>
      <c r="BG191" s="229" t="e">
        <f t="shared" si="122"/>
        <v>#NUM!</v>
      </c>
      <c r="BH191" s="229" t="e">
        <f t="shared" si="123"/>
        <v>#N/A</v>
      </c>
      <c r="BI191" s="229" t="e">
        <f t="shared" si="124"/>
        <v>#NUM!</v>
      </c>
      <c r="BK191" s="427">
        <f t="shared" si="149"/>
        <v>11</v>
      </c>
      <c r="BL191" s="884">
        <f t="shared" si="150"/>
        <v>320</v>
      </c>
      <c r="BM191" s="121" t="b">
        <f>IF($Q$36="Fixed",$Q$42,IF($Q$36="Variable",VLOOKUP(BL191,'Financing Constants'!$A$8:$L$148,$BL$179)+$Q$41/10000))</f>
        <v>0</v>
      </c>
      <c r="BN191" s="229" t="e">
        <f t="shared" si="151"/>
        <v>#NUM!</v>
      </c>
      <c r="BO191" s="888" t="str">
        <f t="shared" si="125"/>
        <v>PP</v>
      </c>
      <c r="BP191" s="229" t="e">
        <f t="shared" si="126"/>
        <v>#NUM!</v>
      </c>
      <c r="BQ191" s="229" t="e">
        <f t="shared" si="127"/>
        <v>#NUM!</v>
      </c>
      <c r="BR191" s="229" t="e">
        <f t="shared" si="128"/>
        <v>#N/A</v>
      </c>
      <c r="BS191" s="229" t="e">
        <f t="shared" si="129"/>
        <v>#NUM!</v>
      </c>
      <c r="BU191" s="427">
        <f t="shared" si="152"/>
        <v>11</v>
      </c>
      <c r="BV191" s="884">
        <f t="shared" si="153"/>
        <v>320</v>
      </c>
      <c r="BW191" s="121" t="b">
        <f>IF($T$36="Fixed",$T$42,IF($T$36="Variable",VLOOKUP(BV191,'Financing Constants'!$A$8:$L$148,$BV$179)+$T$41/10000))</f>
        <v>0</v>
      </c>
      <c r="BX191" s="229" t="e">
        <f t="shared" si="154"/>
        <v>#NUM!</v>
      </c>
      <c r="BY191" s="888" t="str">
        <f t="shared" si="130"/>
        <v>PP</v>
      </c>
      <c r="BZ191" s="229" t="e">
        <f t="shared" si="131"/>
        <v>#NUM!</v>
      </c>
      <c r="CA191" s="229" t="e">
        <f t="shared" si="132"/>
        <v>#NUM!</v>
      </c>
      <c r="CB191" s="229" t="e">
        <f t="shared" si="133"/>
        <v>#N/A</v>
      </c>
      <c r="CC191" s="229" t="e">
        <f t="shared" si="134"/>
        <v>#NUM!</v>
      </c>
    </row>
    <row r="192" spans="23:81" x14ac:dyDescent="0.25">
      <c r="W192" s="427">
        <f t="shared" si="135"/>
        <v>12</v>
      </c>
      <c r="X192" s="884">
        <f t="shared" si="136"/>
        <v>350</v>
      </c>
      <c r="Y192" s="121" t="b">
        <f>IF($E$36="Fixed",$E$42,IF($E$36="Variable",VLOOKUP(X192,'Financing Constants'!$A$8:$L$148,$X$179)+$E$41/10000))</f>
        <v>0</v>
      </c>
      <c r="Z192" s="229" t="e">
        <f t="shared" si="137"/>
        <v>#N/A</v>
      </c>
      <c r="AA192" s="888" t="str">
        <f t="shared" si="138"/>
        <v>PP</v>
      </c>
      <c r="AB192" s="229" t="e">
        <f t="shared" si="139"/>
        <v>#N/A</v>
      </c>
      <c r="AC192" s="229" t="e">
        <f t="shared" si="107"/>
        <v>#N/A</v>
      </c>
      <c r="AD192" s="229" t="e">
        <f t="shared" si="108"/>
        <v>#N/A</v>
      </c>
      <c r="AE192" s="229" t="e">
        <f t="shared" si="109"/>
        <v>#N/A</v>
      </c>
      <c r="AG192" s="427">
        <f t="shared" si="140"/>
        <v>12</v>
      </c>
      <c r="AH192" s="884">
        <f t="shared" si="141"/>
        <v>350</v>
      </c>
      <c r="AI192" s="121" t="b">
        <f>IF($H$36="Fixed",$H$42,IF($H$36="Variable",VLOOKUP(AH192,'Financing Constants'!$A$8:$L$148,$AH$179)+$H$41/10000))</f>
        <v>0</v>
      </c>
      <c r="AJ192" s="229" t="e">
        <f t="shared" si="142"/>
        <v>#NUM!</v>
      </c>
      <c r="AK192" s="888" t="str">
        <f t="shared" si="110"/>
        <v>PP</v>
      </c>
      <c r="AL192" s="229" t="e">
        <f t="shared" si="111"/>
        <v>#NUM!</v>
      </c>
      <c r="AM192" s="229" t="e">
        <f t="shared" si="112"/>
        <v>#NUM!</v>
      </c>
      <c r="AN192" s="229" t="e">
        <f t="shared" si="113"/>
        <v>#N/A</v>
      </c>
      <c r="AO192" s="229" t="e">
        <f t="shared" si="114"/>
        <v>#NUM!</v>
      </c>
      <c r="AQ192" s="427">
        <f t="shared" si="143"/>
        <v>12</v>
      </c>
      <c r="AR192" s="884">
        <f t="shared" si="144"/>
        <v>350</v>
      </c>
      <c r="AS192" s="121" t="b">
        <f>IF($K$36="Fixed",$K$42,IF($K$36="Variable",VLOOKUP(AR192,'Financing Constants'!$A$8:$L$148,$AR$179)+$K$41/10000))</f>
        <v>0</v>
      </c>
      <c r="AT192" s="229" t="e">
        <f t="shared" si="145"/>
        <v>#NUM!</v>
      </c>
      <c r="AU192" s="888" t="str">
        <f t="shared" si="115"/>
        <v>PP</v>
      </c>
      <c r="AV192" s="229" t="e">
        <f t="shared" si="116"/>
        <v>#NUM!</v>
      </c>
      <c r="AW192" s="229" t="e">
        <f t="shared" si="117"/>
        <v>#NUM!</v>
      </c>
      <c r="AX192" s="229" t="e">
        <f t="shared" si="118"/>
        <v>#N/A</v>
      </c>
      <c r="AY192" s="229" t="e">
        <f t="shared" si="119"/>
        <v>#NUM!</v>
      </c>
      <c r="BA192" s="427">
        <f t="shared" si="146"/>
        <v>12</v>
      </c>
      <c r="BB192" s="884">
        <f t="shared" si="147"/>
        <v>350</v>
      </c>
      <c r="BC192" s="121" t="b">
        <f>IF($N$36="Fixed",$N$42,IF($N$36="Variable",VLOOKUP(BB192,'Financing Constants'!$A$8:$L$148,$BB$179)+$N$41/10000))</f>
        <v>0</v>
      </c>
      <c r="BD192" s="229" t="e">
        <f t="shared" si="148"/>
        <v>#NUM!</v>
      </c>
      <c r="BE192" s="888" t="str">
        <f t="shared" si="120"/>
        <v>PP</v>
      </c>
      <c r="BF192" s="229" t="e">
        <f t="shared" si="121"/>
        <v>#NUM!</v>
      </c>
      <c r="BG192" s="229" t="e">
        <f t="shared" si="122"/>
        <v>#NUM!</v>
      </c>
      <c r="BH192" s="229" t="e">
        <f t="shared" si="123"/>
        <v>#N/A</v>
      </c>
      <c r="BI192" s="229" t="e">
        <f t="shared" si="124"/>
        <v>#NUM!</v>
      </c>
      <c r="BK192" s="427">
        <f t="shared" si="149"/>
        <v>12</v>
      </c>
      <c r="BL192" s="884">
        <f t="shared" si="150"/>
        <v>350</v>
      </c>
      <c r="BM192" s="121" t="b">
        <f>IF($Q$36="Fixed",$Q$42,IF($Q$36="Variable",VLOOKUP(BL192,'Financing Constants'!$A$8:$L$148,$BL$179)+$Q$41/10000))</f>
        <v>0</v>
      </c>
      <c r="BN192" s="229" t="e">
        <f t="shared" si="151"/>
        <v>#NUM!</v>
      </c>
      <c r="BO192" s="888" t="str">
        <f t="shared" si="125"/>
        <v>PP</v>
      </c>
      <c r="BP192" s="229" t="e">
        <f t="shared" si="126"/>
        <v>#NUM!</v>
      </c>
      <c r="BQ192" s="229" t="e">
        <f t="shared" si="127"/>
        <v>#NUM!</v>
      </c>
      <c r="BR192" s="229" t="e">
        <f t="shared" si="128"/>
        <v>#N/A</v>
      </c>
      <c r="BS192" s="229" t="e">
        <f t="shared" si="129"/>
        <v>#NUM!</v>
      </c>
      <c r="BU192" s="427">
        <f t="shared" si="152"/>
        <v>12</v>
      </c>
      <c r="BV192" s="884">
        <f t="shared" si="153"/>
        <v>350</v>
      </c>
      <c r="BW192" s="121" t="b">
        <f>IF($T$36="Fixed",$T$42,IF($T$36="Variable",VLOOKUP(BV192,'Financing Constants'!$A$8:$L$148,$BV$179)+$T$41/10000))</f>
        <v>0</v>
      </c>
      <c r="BX192" s="229" t="e">
        <f t="shared" si="154"/>
        <v>#NUM!</v>
      </c>
      <c r="BY192" s="888" t="str">
        <f t="shared" si="130"/>
        <v>PP</v>
      </c>
      <c r="BZ192" s="229" t="e">
        <f t="shared" si="131"/>
        <v>#NUM!</v>
      </c>
      <c r="CA192" s="229" t="e">
        <f t="shared" si="132"/>
        <v>#NUM!</v>
      </c>
      <c r="CB192" s="229" t="e">
        <f t="shared" si="133"/>
        <v>#N/A</v>
      </c>
      <c r="CC192" s="229" t="e">
        <f t="shared" si="134"/>
        <v>#NUM!</v>
      </c>
    </row>
    <row r="193" spans="23:81" x14ac:dyDescent="0.25">
      <c r="W193" s="321">
        <f t="shared" si="135"/>
        <v>13</v>
      </c>
      <c r="X193" s="889">
        <f t="shared" si="136"/>
        <v>380</v>
      </c>
      <c r="Y193" s="890" t="b">
        <f>IF($E$36="Fixed",$E$42,IF($E$36="Variable",VLOOKUP(X193,'Financing Constants'!$A$8:$L$148,$X$179)+$E$41/10000))</f>
        <v>0</v>
      </c>
      <c r="Z193" s="891" t="e">
        <f t="shared" si="137"/>
        <v>#N/A</v>
      </c>
      <c r="AA193" s="892" t="str">
        <f t="shared" si="138"/>
        <v>PP</v>
      </c>
      <c r="AB193" s="891" t="e">
        <f t="shared" si="139"/>
        <v>#N/A</v>
      </c>
      <c r="AC193" s="891" t="e">
        <f t="shared" si="107"/>
        <v>#N/A</v>
      </c>
      <c r="AD193" s="891" t="e">
        <f t="shared" si="108"/>
        <v>#N/A</v>
      </c>
      <c r="AE193" s="891" t="e">
        <f t="shared" si="109"/>
        <v>#N/A</v>
      </c>
      <c r="AG193" s="321">
        <f t="shared" si="140"/>
        <v>13</v>
      </c>
      <c r="AH193" s="889">
        <f t="shared" si="141"/>
        <v>380</v>
      </c>
      <c r="AI193" s="890" t="b">
        <f>IF($H$36="Fixed",$H$42,IF($H$36="Variable",VLOOKUP(AH193,'Financing Constants'!$A$8:$L$148,$AH$179)+$H$41/10000))</f>
        <v>0</v>
      </c>
      <c r="AJ193" s="891" t="e">
        <f t="shared" si="142"/>
        <v>#NUM!</v>
      </c>
      <c r="AK193" s="892" t="str">
        <f t="shared" si="110"/>
        <v>PP</v>
      </c>
      <c r="AL193" s="891" t="e">
        <f t="shared" si="111"/>
        <v>#NUM!</v>
      </c>
      <c r="AM193" s="891" t="e">
        <f t="shared" si="112"/>
        <v>#NUM!</v>
      </c>
      <c r="AN193" s="891" t="e">
        <f t="shared" si="113"/>
        <v>#N/A</v>
      </c>
      <c r="AO193" s="891" t="e">
        <f t="shared" si="114"/>
        <v>#NUM!</v>
      </c>
      <c r="AQ193" s="321">
        <f t="shared" si="143"/>
        <v>13</v>
      </c>
      <c r="AR193" s="889">
        <f t="shared" si="144"/>
        <v>380</v>
      </c>
      <c r="AS193" s="890" t="b">
        <f>IF($K$36="Fixed",$K$42,IF($K$36="Variable",VLOOKUP(AR193,'Financing Constants'!$A$8:$L$148,$AR$179)+$K$41/10000))</f>
        <v>0</v>
      </c>
      <c r="AT193" s="891" t="e">
        <f t="shared" si="145"/>
        <v>#NUM!</v>
      </c>
      <c r="AU193" s="892" t="str">
        <f t="shared" si="115"/>
        <v>PP</v>
      </c>
      <c r="AV193" s="891" t="e">
        <f t="shared" si="116"/>
        <v>#NUM!</v>
      </c>
      <c r="AW193" s="891" t="e">
        <f t="shared" si="117"/>
        <v>#NUM!</v>
      </c>
      <c r="AX193" s="891" t="e">
        <f t="shared" si="118"/>
        <v>#N/A</v>
      </c>
      <c r="AY193" s="891" t="e">
        <f t="shared" si="119"/>
        <v>#NUM!</v>
      </c>
      <c r="BA193" s="321">
        <f t="shared" si="146"/>
        <v>13</v>
      </c>
      <c r="BB193" s="889">
        <f t="shared" si="147"/>
        <v>380</v>
      </c>
      <c r="BC193" s="890" t="b">
        <f>IF($N$36="Fixed",$N$42,IF($N$36="Variable",VLOOKUP(BB193,'Financing Constants'!$A$8:$L$148,$BB$179)+$N$41/10000))</f>
        <v>0</v>
      </c>
      <c r="BD193" s="891" t="e">
        <f t="shared" si="148"/>
        <v>#NUM!</v>
      </c>
      <c r="BE193" s="892" t="str">
        <f t="shared" si="120"/>
        <v>PP</v>
      </c>
      <c r="BF193" s="891" t="e">
        <f t="shared" si="121"/>
        <v>#NUM!</v>
      </c>
      <c r="BG193" s="891" t="e">
        <f t="shared" si="122"/>
        <v>#NUM!</v>
      </c>
      <c r="BH193" s="891" t="e">
        <f t="shared" si="123"/>
        <v>#N/A</v>
      </c>
      <c r="BI193" s="891" t="e">
        <f t="shared" si="124"/>
        <v>#NUM!</v>
      </c>
      <c r="BK193" s="321">
        <f t="shared" si="149"/>
        <v>13</v>
      </c>
      <c r="BL193" s="889">
        <f t="shared" si="150"/>
        <v>380</v>
      </c>
      <c r="BM193" s="890" t="b">
        <f>IF($Q$36="Fixed",$Q$42,IF($Q$36="Variable",VLOOKUP(BL193,'Financing Constants'!$A$8:$L$148,$BL$179)+$Q$41/10000))</f>
        <v>0</v>
      </c>
      <c r="BN193" s="891" t="e">
        <f t="shared" si="151"/>
        <v>#NUM!</v>
      </c>
      <c r="BO193" s="892" t="str">
        <f t="shared" si="125"/>
        <v>PP</v>
      </c>
      <c r="BP193" s="891" t="e">
        <f t="shared" si="126"/>
        <v>#NUM!</v>
      </c>
      <c r="BQ193" s="891" t="e">
        <f t="shared" si="127"/>
        <v>#NUM!</v>
      </c>
      <c r="BR193" s="891" t="e">
        <f t="shared" si="128"/>
        <v>#N/A</v>
      </c>
      <c r="BS193" s="891" t="e">
        <f t="shared" si="129"/>
        <v>#NUM!</v>
      </c>
      <c r="BU193" s="321">
        <f t="shared" si="152"/>
        <v>13</v>
      </c>
      <c r="BV193" s="889">
        <f t="shared" si="153"/>
        <v>380</v>
      </c>
      <c r="BW193" s="890" t="b">
        <f>IF($T$36="Fixed",$T$42,IF($T$36="Variable",VLOOKUP(BV193,'Financing Constants'!$A$8:$L$148,$BV$179)+$T$41/10000))</f>
        <v>0</v>
      </c>
      <c r="BX193" s="891" t="e">
        <f t="shared" si="154"/>
        <v>#NUM!</v>
      </c>
      <c r="BY193" s="892" t="str">
        <f t="shared" si="130"/>
        <v>PP</v>
      </c>
      <c r="BZ193" s="891" t="e">
        <f t="shared" si="131"/>
        <v>#NUM!</v>
      </c>
      <c r="CA193" s="891" t="e">
        <f t="shared" si="132"/>
        <v>#NUM!</v>
      </c>
      <c r="CB193" s="891" t="e">
        <f t="shared" si="133"/>
        <v>#N/A</v>
      </c>
      <c r="CC193" s="891" t="e">
        <f t="shared" si="134"/>
        <v>#NUM!</v>
      </c>
    </row>
    <row r="194" spans="23:81" x14ac:dyDescent="0.25">
      <c r="W194" s="427">
        <f t="shared" si="135"/>
        <v>14</v>
      </c>
      <c r="X194" s="884">
        <f t="shared" si="136"/>
        <v>410</v>
      </c>
      <c r="Y194" s="121" t="b">
        <f>IF($E$36="Fixed",$E$42,IF($E$36="Variable",VLOOKUP(X194,'Financing Constants'!$A$8:$L$148,$X$179)+$E$41/10000))</f>
        <v>0</v>
      </c>
      <c r="Z194" s="229" t="e">
        <f t="shared" si="137"/>
        <v>#N/A</v>
      </c>
      <c r="AA194" s="888" t="str">
        <f t="shared" si="138"/>
        <v>PP</v>
      </c>
      <c r="AB194" s="229" t="e">
        <f t="shared" si="139"/>
        <v>#N/A</v>
      </c>
      <c r="AC194" s="229" t="e">
        <f t="shared" si="107"/>
        <v>#N/A</v>
      </c>
      <c r="AD194" s="229" t="e">
        <f t="shared" si="108"/>
        <v>#N/A</v>
      </c>
      <c r="AE194" s="229" t="e">
        <f t="shared" si="109"/>
        <v>#N/A</v>
      </c>
      <c r="AG194" s="427">
        <f t="shared" si="140"/>
        <v>14</v>
      </c>
      <c r="AH194" s="884">
        <f t="shared" si="141"/>
        <v>410</v>
      </c>
      <c r="AI194" s="121" t="b">
        <f>IF($H$36="Fixed",$H$42,IF($H$36="Variable",VLOOKUP(AH194,'Financing Constants'!$A$8:$L$148,$AH$179)+$H$41/10000))</f>
        <v>0</v>
      </c>
      <c r="AJ194" s="229" t="e">
        <f t="shared" si="142"/>
        <v>#NUM!</v>
      </c>
      <c r="AK194" s="888" t="str">
        <f t="shared" si="110"/>
        <v>PP</v>
      </c>
      <c r="AL194" s="229" t="e">
        <f t="shared" si="111"/>
        <v>#NUM!</v>
      </c>
      <c r="AM194" s="229" t="e">
        <f t="shared" si="112"/>
        <v>#NUM!</v>
      </c>
      <c r="AN194" s="229" t="e">
        <f t="shared" si="113"/>
        <v>#N/A</v>
      </c>
      <c r="AO194" s="229" t="e">
        <f t="shared" si="114"/>
        <v>#NUM!</v>
      </c>
      <c r="AQ194" s="427">
        <f t="shared" si="143"/>
        <v>14</v>
      </c>
      <c r="AR194" s="884">
        <f t="shared" si="144"/>
        <v>410</v>
      </c>
      <c r="AS194" s="121" t="b">
        <f>IF($K$36="Fixed",$K$42,IF($K$36="Variable",VLOOKUP(AR194,'Financing Constants'!$A$8:$L$148,$AR$179)+$K$41/10000))</f>
        <v>0</v>
      </c>
      <c r="AT194" s="229" t="e">
        <f t="shared" si="145"/>
        <v>#NUM!</v>
      </c>
      <c r="AU194" s="888" t="str">
        <f t="shared" si="115"/>
        <v>PP</v>
      </c>
      <c r="AV194" s="229" t="e">
        <f t="shared" si="116"/>
        <v>#NUM!</v>
      </c>
      <c r="AW194" s="229" t="e">
        <f t="shared" si="117"/>
        <v>#NUM!</v>
      </c>
      <c r="AX194" s="229" t="e">
        <f t="shared" si="118"/>
        <v>#N/A</v>
      </c>
      <c r="AY194" s="229" t="e">
        <f t="shared" si="119"/>
        <v>#NUM!</v>
      </c>
      <c r="BA194" s="427">
        <f t="shared" si="146"/>
        <v>14</v>
      </c>
      <c r="BB194" s="884">
        <f t="shared" si="147"/>
        <v>410</v>
      </c>
      <c r="BC194" s="121" t="b">
        <f>IF($N$36="Fixed",$N$42,IF($N$36="Variable",VLOOKUP(BB194,'Financing Constants'!$A$8:$L$148,$BB$179)+$N$41/10000))</f>
        <v>0</v>
      </c>
      <c r="BD194" s="229" t="e">
        <f t="shared" si="148"/>
        <v>#NUM!</v>
      </c>
      <c r="BE194" s="888" t="str">
        <f t="shared" si="120"/>
        <v>PP</v>
      </c>
      <c r="BF194" s="229" t="e">
        <f t="shared" si="121"/>
        <v>#NUM!</v>
      </c>
      <c r="BG194" s="229" t="e">
        <f t="shared" si="122"/>
        <v>#NUM!</v>
      </c>
      <c r="BH194" s="229" t="e">
        <f t="shared" si="123"/>
        <v>#N/A</v>
      </c>
      <c r="BI194" s="229" t="e">
        <f t="shared" si="124"/>
        <v>#NUM!</v>
      </c>
      <c r="BK194" s="427">
        <f t="shared" si="149"/>
        <v>14</v>
      </c>
      <c r="BL194" s="884">
        <f t="shared" si="150"/>
        <v>410</v>
      </c>
      <c r="BM194" s="121" t="b">
        <f>IF($Q$36="Fixed",$Q$42,IF($Q$36="Variable",VLOOKUP(BL194,'Financing Constants'!$A$8:$L$148,$BL$179)+$Q$41/10000))</f>
        <v>0</v>
      </c>
      <c r="BN194" s="229" t="e">
        <f t="shared" si="151"/>
        <v>#NUM!</v>
      </c>
      <c r="BO194" s="888" t="str">
        <f t="shared" si="125"/>
        <v>PP</v>
      </c>
      <c r="BP194" s="229" t="e">
        <f t="shared" si="126"/>
        <v>#NUM!</v>
      </c>
      <c r="BQ194" s="229" t="e">
        <f t="shared" si="127"/>
        <v>#NUM!</v>
      </c>
      <c r="BR194" s="229" t="e">
        <f t="shared" si="128"/>
        <v>#N/A</v>
      </c>
      <c r="BS194" s="229" t="e">
        <f t="shared" si="129"/>
        <v>#NUM!</v>
      </c>
      <c r="BU194" s="427">
        <f t="shared" si="152"/>
        <v>14</v>
      </c>
      <c r="BV194" s="884">
        <f t="shared" si="153"/>
        <v>410</v>
      </c>
      <c r="BW194" s="121" t="b">
        <f>IF($T$36="Fixed",$T$42,IF($T$36="Variable",VLOOKUP(BV194,'Financing Constants'!$A$8:$L$148,$BV$179)+$T$41/10000))</f>
        <v>0</v>
      </c>
      <c r="BX194" s="229" t="e">
        <f t="shared" si="154"/>
        <v>#NUM!</v>
      </c>
      <c r="BY194" s="888" t="str">
        <f t="shared" si="130"/>
        <v>PP</v>
      </c>
      <c r="BZ194" s="229" t="e">
        <f t="shared" si="131"/>
        <v>#NUM!</v>
      </c>
      <c r="CA194" s="229" t="e">
        <f t="shared" si="132"/>
        <v>#NUM!</v>
      </c>
      <c r="CB194" s="229" t="e">
        <f t="shared" si="133"/>
        <v>#N/A</v>
      </c>
      <c r="CC194" s="229" t="e">
        <f t="shared" si="134"/>
        <v>#NUM!</v>
      </c>
    </row>
    <row r="195" spans="23:81" x14ac:dyDescent="0.25">
      <c r="W195" s="427">
        <f t="shared" si="135"/>
        <v>15</v>
      </c>
      <c r="X195" s="884">
        <f t="shared" si="136"/>
        <v>440</v>
      </c>
      <c r="Y195" s="121" t="b">
        <f>IF($E$36="Fixed",$E$42,IF($E$36="Variable",VLOOKUP(X195,'Financing Constants'!$A$8:$L$148,$X$179)+$E$41/10000))</f>
        <v>0</v>
      </c>
      <c r="Z195" s="229" t="e">
        <f t="shared" si="137"/>
        <v>#N/A</v>
      </c>
      <c r="AA195" s="888" t="str">
        <f t="shared" si="138"/>
        <v>PP</v>
      </c>
      <c r="AB195" s="229" t="e">
        <f t="shared" si="139"/>
        <v>#N/A</v>
      </c>
      <c r="AC195" s="229" t="e">
        <f t="shared" si="107"/>
        <v>#N/A</v>
      </c>
      <c r="AD195" s="229" t="e">
        <f t="shared" si="108"/>
        <v>#N/A</v>
      </c>
      <c r="AE195" s="229" t="e">
        <f t="shared" si="109"/>
        <v>#N/A</v>
      </c>
      <c r="AG195" s="427">
        <f t="shared" si="140"/>
        <v>15</v>
      </c>
      <c r="AH195" s="884">
        <f t="shared" si="141"/>
        <v>440</v>
      </c>
      <c r="AI195" s="121" t="b">
        <f>IF($H$36="Fixed",$H$42,IF($H$36="Variable",VLOOKUP(AH195,'Financing Constants'!$A$8:$L$148,$AH$179)+$H$41/10000))</f>
        <v>0</v>
      </c>
      <c r="AJ195" s="229" t="e">
        <f t="shared" si="142"/>
        <v>#NUM!</v>
      </c>
      <c r="AK195" s="888" t="str">
        <f t="shared" si="110"/>
        <v>PP</v>
      </c>
      <c r="AL195" s="229" t="e">
        <f t="shared" si="111"/>
        <v>#NUM!</v>
      </c>
      <c r="AM195" s="229" t="e">
        <f t="shared" si="112"/>
        <v>#NUM!</v>
      </c>
      <c r="AN195" s="229" t="e">
        <f t="shared" si="113"/>
        <v>#N/A</v>
      </c>
      <c r="AO195" s="229" t="e">
        <f t="shared" si="114"/>
        <v>#NUM!</v>
      </c>
      <c r="AQ195" s="427">
        <f t="shared" si="143"/>
        <v>15</v>
      </c>
      <c r="AR195" s="884">
        <f t="shared" si="144"/>
        <v>440</v>
      </c>
      <c r="AS195" s="121" t="b">
        <f>IF($K$36="Fixed",$K$42,IF($K$36="Variable",VLOOKUP(AR195,'Financing Constants'!$A$8:$L$148,$AR$179)+$K$41/10000))</f>
        <v>0</v>
      </c>
      <c r="AT195" s="229" t="e">
        <f t="shared" si="145"/>
        <v>#NUM!</v>
      </c>
      <c r="AU195" s="888" t="str">
        <f t="shared" si="115"/>
        <v>PP</v>
      </c>
      <c r="AV195" s="229" t="e">
        <f t="shared" si="116"/>
        <v>#NUM!</v>
      </c>
      <c r="AW195" s="229" t="e">
        <f t="shared" si="117"/>
        <v>#NUM!</v>
      </c>
      <c r="AX195" s="229" t="e">
        <f t="shared" si="118"/>
        <v>#N/A</v>
      </c>
      <c r="AY195" s="229" t="e">
        <f t="shared" si="119"/>
        <v>#NUM!</v>
      </c>
      <c r="BA195" s="427">
        <f t="shared" si="146"/>
        <v>15</v>
      </c>
      <c r="BB195" s="884">
        <f t="shared" si="147"/>
        <v>440</v>
      </c>
      <c r="BC195" s="121" t="b">
        <f>IF($N$36="Fixed",$N$42,IF($N$36="Variable",VLOOKUP(BB195,'Financing Constants'!$A$8:$L$148,$BB$179)+$N$41/10000))</f>
        <v>0</v>
      </c>
      <c r="BD195" s="229" t="e">
        <f t="shared" si="148"/>
        <v>#NUM!</v>
      </c>
      <c r="BE195" s="888" t="str">
        <f t="shared" si="120"/>
        <v>PP</v>
      </c>
      <c r="BF195" s="229" t="e">
        <f t="shared" si="121"/>
        <v>#NUM!</v>
      </c>
      <c r="BG195" s="229" t="e">
        <f t="shared" si="122"/>
        <v>#NUM!</v>
      </c>
      <c r="BH195" s="229" t="e">
        <f t="shared" si="123"/>
        <v>#N/A</v>
      </c>
      <c r="BI195" s="229" t="e">
        <f t="shared" si="124"/>
        <v>#NUM!</v>
      </c>
      <c r="BK195" s="427">
        <f t="shared" si="149"/>
        <v>15</v>
      </c>
      <c r="BL195" s="884">
        <f t="shared" si="150"/>
        <v>440</v>
      </c>
      <c r="BM195" s="121" t="b">
        <f>IF($Q$36="Fixed",$Q$42,IF($Q$36="Variable",VLOOKUP(BL195,'Financing Constants'!$A$8:$L$148,$BL$179)+$Q$41/10000))</f>
        <v>0</v>
      </c>
      <c r="BN195" s="229" t="e">
        <f t="shared" si="151"/>
        <v>#NUM!</v>
      </c>
      <c r="BO195" s="888" t="str">
        <f t="shared" si="125"/>
        <v>PP</v>
      </c>
      <c r="BP195" s="229" t="e">
        <f t="shared" si="126"/>
        <v>#NUM!</v>
      </c>
      <c r="BQ195" s="229" t="e">
        <f t="shared" si="127"/>
        <v>#NUM!</v>
      </c>
      <c r="BR195" s="229" t="e">
        <f t="shared" si="128"/>
        <v>#N/A</v>
      </c>
      <c r="BS195" s="229" t="e">
        <f t="shared" si="129"/>
        <v>#NUM!</v>
      </c>
      <c r="BU195" s="427">
        <f t="shared" si="152"/>
        <v>15</v>
      </c>
      <c r="BV195" s="884">
        <f t="shared" si="153"/>
        <v>440</v>
      </c>
      <c r="BW195" s="121" t="b">
        <f>IF($T$36="Fixed",$T$42,IF($T$36="Variable",VLOOKUP(BV195,'Financing Constants'!$A$8:$L$148,$BV$179)+$T$41/10000))</f>
        <v>0</v>
      </c>
      <c r="BX195" s="229" t="e">
        <f t="shared" si="154"/>
        <v>#NUM!</v>
      </c>
      <c r="BY195" s="888" t="str">
        <f t="shared" si="130"/>
        <v>PP</v>
      </c>
      <c r="BZ195" s="229" t="e">
        <f t="shared" si="131"/>
        <v>#NUM!</v>
      </c>
      <c r="CA195" s="229" t="e">
        <f t="shared" si="132"/>
        <v>#NUM!</v>
      </c>
      <c r="CB195" s="229" t="e">
        <f t="shared" si="133"/>
        <v>#N/A</v>
      </c>
      <c r="CC195" s="229" t="e">
        <f t="shared" si="134"/>
        <v>#NUM!</v>
      </c>
    </row>
    <row r="196" spans="23:81" x14ac:dyDescent="0.25">
      <c r="W196" s="427">
        <f t="shared" si="135"/>
        <v>16</v>
      </c>
      <c r="X196" s="884">
        <f t="shared" si="136"/>
        <v>470</v>
      </c>
      <c r="Y196" s="121" t="b">
        <f>IF($E$36="Fixed",$E$42,IF($E$36="Variable",VLOOKUP(X196,'Financing Constants'!$A$8:$L$148,$X$179)+$E$41/10000))</f>
        <v>0</v>
      </c>
      <c r="Z196" s="229" t="e">
        <f t="shared" si="137"/>
        <v>#N/A</v>
      </c>
      <c r="AA196" s="888" t="str">
        <f t="shared" si="138"/>
        <v>PP</v>
      </c>
      <c r="AB196" s="229" t="e">
        <f t="shared" si="139"/>
        <v>#N/A</v>
      </c>
      <c r="AC196" s="229" t="e">
        <f t="shared" si="107"/>
        <v>#N/A</v>
      </c>
      <c r="AD196" s="229" t="e">
        <f t="shared" si="108"/>
        <v>#N/A</v>
      </c>
      <c r="AE196" s="229" t="e">
        <f t="shared" si="109"/>
        <v>#N/A</v>
      </c>
      <c r="AG196" s="427">
        <f t="shared" si="140"/>
        <v>16</v>
      </c>
      <c r="AH196" s="884">
        <f t="shared" si="141"/>
        <v>470</v>
      </c>
      <c r="AI196" s="121" t="b">
        <f>IF($H$36="Fixed",$H$42,IF($H$36="Variable",VLOOKUP(AH196,'Financing Constants'!$A$8:$L$148,$AH$179)+$H$41/10000))</f>
        <v>0</v>
      </c>
      <c r="AJ196" s="229" t="e">
        <f t="shared" si="142"/>
        <v>#NUM!</v>
      </c>
      <c r="AK196" s="888" t="str">
        <f t="shared" si="110"/>
        <v>PP</v>
      </c>
      <c r="AL196" s="229" t="e">
        <f t="shared" si="111"/>
        <v>#NUM!</v>
      </c>
      <c r="AM196" s="229" t="e">
        <f t="shared" si="112"/>
        <v>#NUM!</v>
      </c>
      <c r="AN196" s="229" t="e">
        <f t="shared" si="113"/>
        <v>#N/A</v>
      </c>
      <c r="AO196" s="229" t="e">
        <f t="shared" si="114"/>
        <v>#NUM!</v>
      </c>
      <c r="AQ196" s="427">
        <f t="shared" si="143"/>
        <v>16</v>
      </c>
      <c r="AR196" s="884">
        <f t="shared" si="144"/>
        <v>470</v>
      </c>
      <c r="AS196" s="121" t="b">
        <f>IF($K$36="Fixed",$K$42,IF($K$36="Variable",VLOOKUP(AR196,'Financing Constants'!$A$8:$L$148,$AR$179)+$K$41/10000))</f>
        <v>0</v>
      </c>
      <c r="AT196" s="229" t="e">
        <f t="shared" si="145"/>
        <v>#NUM!</v>
      </c>
      <c r="AU196" s="888" t="str">
        <f t="shared" si="115"/>
        <v>PP</v>
      </c>
      <c r="AV196" s="229" t="e">
        <f t="shared" si="116"/>
        <v>#NUM!</v>
      </c>
      <c r="AW196" s="229" t="e">
        <f t="shared" si="117"/>
        <v>#NUM!</v>
      </c>
      <c r="AX196" s="229" t="e">
        <f t="shared" si="118"/>
        <v>#N/A</v>
      </c>
      <c r="AY196" s="229" t="e">
        <f t="shared" si="119"/>
        <v>#NUM!</v>
      </c>
      <c r="BA196" s="427">
        <f t="shared" si="146"/>
        <v>16</v>
      </c>
      <c r="BB196" s="884">
        <f t="shared" si="147"/>
        <v>470</v>
      </c>
      <c r="BC196" s="121" t="b">
        <f>IF($N$36="Fixed",$N$42,IF($N$36="Variable",VLOOKUP(BB196,'Financing Constants'!$A$8:$L$148,$BB$179)+$N$41/10000))</f>
        <v>0</v>
      </c>
      <c r="BD196" s="229" t="e">
        <f t="shared" si="148"/>
        <v>#NUM!</v>
      </c>
      <c r="BE196" s="888" t="str">
        <f t="shared" si="120"/>
        <v>PP</v>
      </c>
      <c r="BF196" s="229" t="e">
        <f t="shared" si="121"/>
        <v>#NUM!</v>
      </c>
      <c r="BG196" s="229" t="e">
        <f t="shared" si="122"/>
        <v>#NUM!</v>
      </c>
      <c r="BH196" s="229" t="e">
        <f t="shared" si="123"/>
        <v>#N/A</v>
      </c>
      <c r="BI196" s="229" t="e">
        <f t="shared" si="124"/>
        <v>#NUM!</v>
      </c>
      <c r="BK196" s="427">
        <f t="shared" si="149"/>
        <v>16</v>
      </c>
      <c r="BL196" s="884">
        <f t="shared" si="150"/>
        <v>470</v>
      </c>
      <c r="BM196" s="121" t="b">
        <f>IF($Q$36="Fixed",$Q$42,IF($Q$36="Variable",VLOOKUP(BL196,'Financing Constants'!$A$8:$L$148,$BL$179)+$Q$41/10000))</f>
        <v>0</v>
      </c>
      <c r="BN196" s="229" t="e">
        <f t="shared" si="151"/>
        <v>#NUM!</v>
      </c>
      <c r="BO196" s="888" t="str">
        <f t="shared" si="125"/>
        <v>PP</v>
      </c>
      <c r="BP196" s="229" t="e">
        <f t="shared" si="126"/>
        <v>#NUM!</v>
      </c>
      <c r="BQ196" s="229" t="e">
        <f t="shared" si="127"/>
        <v>#NUM!</v>
      </c>
      <c r="BR196" s="229" t="e">
        <f t="shared" si="128"/>
        <v>#N/A</v>
      </c>
      <c r="BS196" s="229" t="e">
        <f t="shared" si="129"/>
        <v>#NUM!</v>
      </c>
      <c r="BU196" s="427">
        <f t="shared" si="152"/>
        <v>16</v>
      </c>
      <c r="BV196" s="884">
        <f t="shared" si="153"/>
        <v>470</v>
      </c>
      <c r="BW196" s="121" t="b">
        <f>IF($T$36="Fixed",$T$42,IF($T$36="Variable",VLOOKUP(BV196,'Financing Constants'!$A$8:$L$148,$BV$179)+$T$41/10000))</f>
        <v>0</v>
      </c>
      <c r="BX196" s="229" t="e">
        <f t="shared" si="154"/>
        <v>#NUM!</v>
      </c>
      <c r="BY196" s="888" t="str">
        <f t="shared" si="130"/>
        <v>PP</v>
      </c>
      <c r="BZ196" s="229" t="e">
        <f t="shared" si="131"/>
        <v>#NUM!</v>
      </c>
      <c r="CA196" s="229" t="e">
        <f t="shared" si="132"/>
        <v>#NUM!</v>
      </c>
      <c r="CB196" s="229" t="e">
        <f t="shared" si="133"/>
        <v>#N/A</v>
      </c>
      <c r="CC196" s="229" t="e">
        <f t="shared" si="134"/>
        <v>#NUM!</v>
      </c>
    </row>
    <row r="197" spans="23:81" x14ac:dyDescent="0.25">
      <c r="W197" s="427">
        <f t="shared" si="135"/>
        <v>17</v>
      </c>
      <c r="X197" s="884">
        <f t="shared" si="136"/>
        <v>500</v>
      </c>
      <c r="Y197" s="121" t="b">
        <f>IF($E$36="Fixed",$E$42,IF($E$36="Variable",VLOOKUP(X197,'Financing Constants'!$A$8:$L$148,$X$179)+$E$41/10000))</f>
        <v>0</v>
      </c>
      <c r="Z197" s="229" t="e">
        <f t="shared" si="137"/>
        <v>#N/A</v>
      </c>
      <c r="AA197" s="888" t="str">
        <f t="shared" si="138"/>
        <v>PP</v>
      </c>
      <c r="AB197" s="229" t="e">
        <f t="shared" si="139"/>
        <v>#N/A</v>
      </c>
      <c r="AC197" s="229" t="e">
        <f t="shared" si="107"/>
        <v>#N/A</v>
      </c>
      <c r="AD197" s="229" t="e">
        <f t="shared" si="108"/>
        <v>#N/A</v>
      </c>
      <c r="AE197" s="229" t="e">
        <f t="shared" si="109"/>
        <v>#N/A</v>
      </c>
      <c r="AG197" s="427">
        <f t="shared" si="140"/>
        <v>17</v>
      </c>
      <c r="AH197" s="884">
        <f t="shared" si="141"/>
        <v>500</v>
      </c>
      <c r="AI197" s="121" t="b">
        <f>IF($H$36="Fixed",$H$42,IF($H$36="Variable",VLOOKUP(AH197,'Financing Constants'!$A$8:$L$148,$AH$179)+$H$41/10000))</f>
        <v>0</v>
      </c>
      <c r="AJ197" s="229" t="e">
        <f t="shared" si="142"/>
        <v>#NUM!</v>
      </c>
      <c r="AK197" s="888" t="str">
        <f t="shared" si="110"/>
        <v>PP</v>
      </c>
      <c r="AL197" s="229" t="e">
        <f t="shared" si="111"/>
        <v>#NUM!</v>
      </c>
      <c r="AM197" s="229" t="e">
        <f t="shared" si="112"/>
        <v>#NUM!</v>
      </c>
      <c r="AN197" s="229" t="e">
        <f t="shared" si="113"/>
        <v>#N/A</v>
      </c>
      <c r="AO197" s="229" t="e">
        <f t="shared" si="114"/>
        <v>#NUM!</v>
      </c>
      <c r="AQ197" s="427">
        <f t="shared" si="143"/>
        <v>17</v>
      </c>
      <c r="AR197" s="884">
        <f t="shared" si="144"/>
        <v>500</v>
      </c>
      <c r="AS197" s="121" t="b">
        <f>IF($K$36="Fixed",$K$42,IF($K$36="Variable",VLOOKUP(AR197,'Financing Constants'!$A$8:$L$148,$AR$179)+$K$41/10000))</f>
        <v>0</v>
      </c>
      <c r="AT197" s="229" t="e">
        <f t="shared" si="145"/>
        <v>#NUM!</v>
      </c>
      <c r="AU197" s="888" t="str">
        <f t="shared" si="115"/>
        <v>PP</v>
      </c>
      <c r="AV197" s="229" t="e">
        <f t="shared" si="116"/>
        <v>#NUM!</v>
      </c>
      <c r="AW197" s="229" t="e">
        <f t="shared" si="117"/>
        <v>#NUM!</v>
      </c>
      <c r="AX197" s="229" t="e">
        <f t="shared" si="118"/>
        <v>#N/A</v>
      </c>
      <c r="AY197" s="229" t="e">
        <f t="shared" si="119"/>
        <v>#NUM!</v>
      </c>
      <c r="BA197" s="427">
        <f t="shared" si="146"/>
        <v>17</v>
      </c>
      <c r="BB197" s="884">
        <f t="shared" si="147"/>
        <v>500</v>
      </c>
      <c r="BC197" s="121" t="b">
        <f>IF($N$36="Fixed",$N$42,IF($N$36="Variable",VLOOKUP(BB197,'Financing Constants'!$A$8:$L$148,$BB$179)+$N$41/10000))</f>
        <v>0</v>
      </c>
      <c r="BD197" s="229" t="e">
        <f t="shared" si="148"/>
        <v>#NUM!</v>
      </c>
      <c r="BE197" s="888" t="str">
        <f t="shared" si="120"/>
        <v>PP</v>
      </c>
      <c r="BF197" s="229" t="e">
        <f t="shared" si="121"/>
        <v>#NUM!</v>
      </c>
      <c r="BG197" s="229" t="e">
        <f t="shared" si="122"/>
        <v>#NUM!</v>
      </c>
      <c r="BH197" s="229" t="e">
        <f t="shared" si="123"/>
        <v>#N/A</v>
      </c>
      <c r="BI197" s="229" t="e">
        <f t="shared" si="124"/>
        <v>#NUM!</v>
      </c>
      <c r="BK197" s="427">
        <f t="shared" si="149"/>
        <v>17</v>
      </c>
      <c r="BL197" s="884">
        <f t="shared" si="150"/>
        <v>500</v>
      </c>
      <c r="BM197" s="121" t="b">
        <f>IF($Q$36="Fixed",$Q$42,IF($Q$36="Variable",VLOOKUP(BL197,'Financing Constants'!$A$8:$L$148,$BL$179)+$Q$41/10000))</f>
        <v>0</v>
      </c>
      <c r="BN197" s="229" t="e">
        <f t="shared" si="151"/>
        <v>#NUM!</v>
      </c>
      <c r="BO197" s="888" t="str">
        <f t="shared" si="125"/>
        <v>PP</v>
      </c>
      <c r="BP197" s="229" t="e">
        <f t="shared" si="126"/>
        <v>#NUM!</v>
      </c>
      <c r="BQ197" s="229" t="e">
        <f t="shared" si="127"/>
        <v>#NUM!</v>
      </c>
      <c r="BR197" s="229" t="e">
        <f t="shared" si="128"/>
        <v>#N/A</v>
      </c>
      <c r="BS197" s="229" t="e">
        <f t="shared" si="129"/>
        <v>#NUM!</v>
      </c>
      <c r="BU197" s="427">
        <f t="shared" si="152"/>
        <v>17</v>
      </c>
      <c r="BV197" s="884">
        <f t="shared" si="153"/>
        <v>500</v>
      </c>
      <c r="BW197" s="121" t="b">
        <f>IF($T$36="Fixed",$T$42,IF($T$36="Variable",VLOOKUP(BV197,'Financing Constants'!$A$8:$L$148,$BV$179)+$T$41/10000))</f>
        <v>0</v>
      </c>
      <c r="BX197" s="229" t="e">
        <f t="shared" si="154"/>
        <v>#NUM!</v>
      </c>
      <c r="BY197" s="888" t="str">
        <f t="shared" si="130"/>
        <v>PP</v>
      </c>
      <c r="BZ197" s="229" t="e">
        <f t="shared" si="131"/>
        <v>#NUM!</v>
      </c>
      <c r="CA197" s="229" t="e">
        <f t="shared" si="132"/>
        <v>#NUM!</v>
      </c>
      <c r="CB197" s="229" t="e">
        <f t="shared" si="133"/>
        <v>#N/A</v>
      </c>
      <c r="CC197" s="229" t="e">
        <f t="shared" si="134"/>
        <v>#NUM!</v>
      </c>
    </row>
    <row r="198" spans="23:81" x14ac:dyDescent="0.25">
      <c r="W198" s="427">
        <f t="shared" si="135"/>
        <v>18</v>
      </c>
      <c r="X198" s="884">
        <f t="shared" si="136"/>
        <v>530</v>
      </c>
      <c r="Y198" s="121" t="b">
        <f>IF($E$36="Fixed",$E$42,IF($E$36="Variable",VLOOKUP(X198,'Financing Constants'!$A$8:$L$148,$X$179)+$E$41/10000))</f>
        <v>0</v>
      </c>
      <c r="Z198" s="229" t="e">
        <f t="shared" si="137"/>
        <v>#N/A</v>
      </c>
      <c r="AA198" s="888" t="str">
        <f t="shared" si="138"/>
        <v>PP</v>
      </c>
      <c r="AB198" s="229" t="e">
        <f t="shared" si="139"/>
        <v>#N/A</v>
      </c>
      <c r="AC198" s="229" t="e">
        <f t="shared" si="107"/>
        <v>#N/A</v>
      </c>
      <c r="AD198" s="229" t="e">
        <f t="shared" si="108"/>
        <v>#N/A</v>
      </c>
      <c r="AE198" s="229" t="e">
        <f t="shared" si="109"/>
        <v>#N/A</v>
      </c>
      <c r="AG198" s="427">
        <f t="shared" si="140"/>
        <v>18</v>
      </c>
      <c r="AH198" s="884">
        <f t="shared" si="141"/>
        <v>530</v>
      </c>
      <c r="AI198" s="121" t="b">
        <f>IF($H$36="Fixed",$H$42,IF($H$36="Variable",VLOOKUP(AH198,'Financing Constants'!$A$8:$L$148,$AH$179)+$H$41/10000))</f>
        <v>0</v>
      </c>
      <c r="AJ198" s="229" t="e">
        <f t="shared" si="142"/>
        <v>#NUM!</v>
      </c>
      <c r="AK198" s="888" t="str">
        <f t="shared" si="110"/>
        <v>PP</v>
      </c>
      <c r="AL198" s="229" t="e">
        <f t="shared" si="111"/>
        <v>#NUM!</v>
      </c>
      <c r="AM198" s="229" t="e">
        <f t="shared" si="112"/>
        <v>#NUM!</v>
      </c>
      <c r="AN198" s="229" t="e">
        <f t="shared" si="113"/>
        <v>#N/A</v>
      </c>
      <c r="AO198" s="229" t="e">
        <f t="shared" si="114"/>
        <v>#NUM!</v>
      </c>
      <c r="AQ198" s="427">
        <f t="shared" si="143"/>
        <v>18</v>
      </c>
      <c r="AR198" s="884">
        <f t="shared" si="144"/>
        <v>530</v>
      </c>
      <c r="AS198" s="121" t="b">
        <f>IF($K$36="Fixed",$K$42,IF($K$36="Variable",VLOOKUP(AR198,'Financing Constants'!$A$8:$L$148,$AR$179)+$K$41/10000))</f>
        <v>0</v>
      </c>
      <c r="AT198" s="229" t="e">
        <f t="shared" si="145"/>
        <v>#NUM!</v>
      </c>
      <c r="AU198" s="888" t="str">
        <f t="shared" si="115"/>
        <v>PP</v>
      </c>
      <c r="AV198" s="229" t="e">
        <f t="shared" si="116"/>
        <v>#NUM!</v>
      </c>
      <c r="AW198" s="229" t="e">
        <f t="shared" si="117"/>
        <v>#NUM!</v>
      </c>
      <c r="AX198" s="229" t="e">
        <f t="shared" si="118"/>
        <v>#N/A</v>
      </c>
      <c r="AY198" s="229" t="e">
        <f t="shared" si="119"/>
        <v>#NUM!</v>
      </c>
      <c r="BA198" s="427">
        <f t="shared" si="146"/>
        <v>18</v>
      </c>
      <c r="BB198" s="884">
        <f t="shared" si="147"/>
        <v>530</v>
      </c>
      <c r="BC198" s="121" t="b">
        <f>IF($N$36="Fixed",$N$42,IF($N$36="Variable",VLOOKUP(BB198,'Financing Constants'!$A$8:$L$148,$BB$179)+$N$41/10000))</f>
        <v>0</v>
      </c>
      <c r="BD198" s="229" t="e">
        <f t="shared" si="148"/>
        <v>#NUM!</v>
      </c>
      <c r="BE198" s="888" t="str">
        <f t="shared" si="120"/>
        <v>PP</v>
      </c>
      <c r="BF198" s="229" t="e">
        <f t="shared" si="121"/>
        <v>#NUM!</v>
      </c>
      <c r="BG198" s="229" t="e">
        <f t="shared" si="122"/>
        <v>#NUM!</v>
      </c>
      <c r="BH198" s="229" t="e">
        <f t="shared" si="123"/>
        <v>#N/A</v>
      </c>
      <c r="BI198" s="229" t="e">
        <f t="shared" si="124"/>
        <v>#NUM!</v>
      </c>
      <c r="BK198" s="427">
        <f t="shared" si="149"/>
        <v>18</v>
      </c>
      <c r="BL198" s="884">
        <f t="shared" si="150"/>
        <v>530</v>
      </c>
      <c r="BM198" s="121" t="b">
        <f>IF($Q$36="Fixed",$Q$42,IF($Q$36="Variable",VLOOKUP(BL198,'Financing Constants'!$A$8:$L$148,$BL$179)+$Q$41/10000))</f>
        <v>0</v>
      </c>
      <c r="BN198" s="229" t="e">
        <f t="shared" si="151"/>
        <v>#NUM!</v>
      </c>
      <c r="BO198" s="888" t="str">
        <f t="shared" si="125"/>
        <v>PP</v>
      </c>
      <c r="BP198" s="229" t="e">
        <f t="shared" si="126"/>
        <v>#NUM!</v>
      </c>
      <c r="BQ198" s="229" t="e">
        <f t="shared" si="127"/>
        <v>#NUM!</v>
      </c>
      <c r="BR198" s="229" t="e">
        <f t="shared" si="128"/>
        <v>#N/A</v>
      </c>
      <c r="BS198" s="229" t="e">
        <f t="shared" si="129"/>
        <v>#NUM!</v>
      </c>
      <c r="BU198" s="427">
        <f t="shared" si="152"/>
        <v>18</v>
      </c>
      <c r="BV198" s="884">
        <f t="shared" si="153"/>
        <v>530</v>
      </c>
      <c r="BW198" s="121" t="b">
        <f>IF($T$36="Fixed",$T$42,IF($T$36="Variable",VLOOKUP(BV198,'Financing Constants'!$A$8:$L$148,$BV$179)+$T$41/10000))</f>
        <v>0</v>
      </c>
      <c r="BX198" s="229" t="e">
        <f t="shared" si="154"/>
        <v>#NUM!</v>
      </c>
      <c r="BY198" s="888" t="str">
        <f t="shared" si="130"/>
        <v>PP</v>
      </c>
      <c r="BZ198" s="229" t="e">
        <f t="shared" si="131"/>
        <v>#NUM!</v>
      </c>
      <c r="CA198" s="229" t="e">
        <f t="shared" si="132"/>
        <v>#NUM!</v>
      </c>
      <c r="CB198" s="229" t="e">
        <f t="shared" si="133"/>
        <v>#N/A</v>
      </c>
      <c r="CC198" s="229" t="e">
        <f t="shared" si="134"/>
        <v>#NUM!</v>
      </c>
    </row>
    <row r="199" spans="23:81" x14ac:dyDescent="0.25">
      <c r="W199" s="427">
        <f t="shared" si="135"/>
        <v>19</v>
      </c>
      <c r="X199" s="884">
        <f t="shared" si="136"/>
        <v>560</v>
      </c>
      <c r="Y199" s="121" t="b">
        <f>IF($E$36="Fixed",$E$42,IF($E$36="Variable",VLOOKUP(X199,'Financing Constants'!$A$8:$L$148,$X$179)+$E$41/10000))</f>
        <v>0</v>
      </c>
      <c r="Z199" s="229" t="e">
        <f t="shared" si="137"/>
        <v>#N/A</v>
      </c>
      <c r="AA199" s="888" t="str">
        <f t="shared" si="138"/>
        <v>PP</v>
      </c>
      <c r="AB199" s="229" t="e">
        <f t="shared" si="139"/>
        <v>#N/A</v>
      </c>
      <c r="AC199" s="229" t="e">
        <f t="shared" si="107"/>
        <v>#N/A</v>
      </c>
      <c r="AD199" s="229" t="e">
        <f t="shared" si="108"/>
        <v>#N/A</v>
      </c>
      <c r="AE199" s="229" t="e">
        <f t="shared" si="109"/>
        <v>#N/A</v>
      </c>
      <c r="AG199" s="427">
        <f t="shared" si="140"/>
        <v>19</v>
      </c>
      <c r="AH199" s="884">
        <f t="shared" si="141"/>
        <v>560</v>
      </c>
      <c r="AI199" s="121" t="b">
        <f>IF($H$36="Fixed",$H$42,IF($H$36="Variable",VLOOKUP(AH199,'Financing Constants'!$A$8:$L$148,$AH$179)+$H$41/10000))</f>
        <v>0</v>
      </c>
      <c r="AJ199" s="229" t="e">
        <f t="shared" si="142"/>
        <v>#NUM!</v>
      </c>
      <c r="AK199" s="888" t="str">
        <f t="shared" si="110"/>
        <v>PP</v>
      </c>
      <c r="AL199" s="229" t="e">
        <f t="shared" si="111"/>
        <v>#NUM!</v>
      </c>
      <c r="AM199" s="229" t="e">
        <f t="shared" si="112"/>
        <v>#NUM!</v>
      </c>
      <c r="AN199" s="229" t="e">
        <f t="shared" si="113"/>
        <v>#N/A</v>
      </c>
      <c r="AO199" s="229" t="e">
        <f t="shared" si="114"/>
        <v>#NUM!</v>
      </c>
      <c r="AQ199" s="427">
        <f t="shared" si="143"/>
        <v>19</v>
      </c>
      <c r="AR199" s="884">
        <f t="shared" si="144"/>
        <v>560</v>
      </c>
      <c r="AS199" s="121" t="b">
        <f>IF($K$36="Fixed",$K$42,IF($K$36="Variable",VLOOKUP(AR199,'Financing Constants'!$A$8:$L$148,$AR$179)+$K$41/10000))</f>
        <v>0</v>
      </c>
      <c r="AT199" s="229" t="e">
        <f t="shared" si="145"/>
        <v>#NUM!</v>
      </c>
      <c r="AU199" s="888" t="str">
        <f t="shared" si="115"/>
        <v>PP</v>
      </c>
      <c r="AV199" s="229" t="e">
        <f t="shared" si="116"/>
        <v>#NUM!</v>
      </c>
      <c r="AW199" s="229" t="e">
        <f t="shared" si="117"/>
        <v>#NUM!</v>
      </c>
      <c r="AX199" s="229" t="e">
        <f t="shared" si="118"/>
        <v>#N/A</v>
      </c>
      <c r="AY199" s="229" t="e">
        <f t="shared" si="119"/>
        <v>#NUM!</v>
      </c>
      <c r="BA199" s="427">
        <f t="shared" si="146"/>
        <v>19</v>
      </c>
      <c r="BB199" s="884">
        <f t="shared" si="147"/>
        <v>560</v>
      </c>
      <c r="BC199" s="121" t="b">
        <f>IF($N$36="Fixed",$N$42,IF($N$36="Variable",VLOOKUP(BB199,'Financing Constants'!$A$8:$L$148,$BB$179)+$N$41/10000))</f>
        <v>0</v>
      </c>
      <c r="BD199" s="229" t="e">
        <f t="shared" si="148"/>
        <v>#NUM!</v>
      </c>
      <c r="BE199" s="888" t="str">
        <f t="shared" si="120"/>
        <v>PP</v>
      </c>
      <c r="BF199" s="229" t="e">
        <f t="shared" si="121"/>
        <v>#NUM!</v>
      </c>
      <c r="BG199" s="229" t="e">
        <f t="shared" si="122"/>
        <v>#NUM!</v>
      </c>
      <c r="BH199" s="229" t="e">
        <f t="shared" si="123"/>
        <v>#N/A</v>
      </c>
      <c r="BI199" s="229" t="e">
        <f t="shared" si="124"/>
        <v>#NUM!</v>
      </c>
      <c r="BK199" s="427">
        <f t="shared" si="149"/>
        <v>19</v>
      </c>
      <c r="BL199" s="884">
        <f t="shared" si="150"/>
        <v>560</v>
      </c>
      <c r="BM199" s="121" t="b">
        <f>IF($Q$36="Fixed",$Q$42,IF($Q$36="Variable",VLOOKUP(BL199,'Financing Constants'!$A$8:$L$148,$BL$179)+$Q$41/10000))</f>
        <v>0</v>
      </c>
      <c r="BN199" s="229" t="e">
        <f t="shared" si="151"/>
        <v>#NUM!</v>
      </c>
      <c r="BO199" s="888" t="str">
        <f t="shared" si="125"/>
        <v>PP</v>
      </c>
      <c r="BP199" s="229" t="e">
        <f t="shared" si="126"/>
        <v>#NUM!</v>
      </c>
      <c r="BQ199" s="229" t="e">
        <f t="shared" si="127"/>
        <v>#NUM!</v>
      </c>
      <c r="BR199" s="229" t="e">
        <f t="shared" si="128"/>
        <v>#N/A</v>
      </c>
      <c r="BS199" s="229" t="e">
        <f t="shared" si="129"/>
        <v>#NUM!</v>
      </c>
      <c r="BU199" s="427">
        <f t="shared" si="152"/>
        <v>19</v>
      </c>
      <c r="BV199" s="884">
        <f t="shared" si="153"/>
        <v>560</v>
      </c>
      <c r="BW199" s="121" t="b">
        <f>IF($T$36="Fixed",$T$42,IF($T$36="Variable",VLOOKUP(BV199,'Financing Constants'!$A$8:$L$148,$BV$179)+$T$41/10000))</f>
        <v>0</v>
      </c>
      <c r="BX199" s="229" t="e">
        <f t="shared" si="154"/>
        <v>#NUM!</v>
      </c>
      <c r="BY199" s="888" t="str">
        <f t="shared" si="130"/>
        <v>PP</v>
      </c>
      <c r="BZ199" s="229" t="e">
        <f t="shared" si="131"/>
        <v>#NUM!</v>
      </c>
      <c r="CA199" s="229" t="e">
        <f t="shared" si="132"/>
        <v>#NUM!</v>
      </c>
      <c r="CB199" s="229" t="e">
        <f t="shared" si="133"/>
        <v>#N/A</v>
      </c>
      <c r="CC199" s="229" t="e">
        <f t="shared" si="134"/>
        <v>#NUM!</v>
      </c>
    </row>
    <row r="200" spans="23:81" x14ac:dyDescent="0.25">
      <c r="W200" s="427">
        <f t="shared" si="135"/>
        <v>20</v>
      </c>
      <c r="X200" s="884">
        <f t="shared" si="136"/>
        <v>590</v>
      </c>
      <c r="Y200" s="121" t="b">
        <f>IF($E$36="Fixed",$E$42,IF($E$36="Variable",VLOOKUP(X200,'Financing Constants'!$A$8:$L$148,$X$179)+$E$41/10000))</f>
        <v>0</v>
      </c>
      <c r="Z200" s="229" t="e">
        <f t="shared" si="137"/>
        <v>#N/A</v>
      </c>
      <c r="AA200" s="888" t="str">
        <f t="shared" si="138"/>
        <v>PP</v>
      </c>
      <c r="AB200" s="229" t="e">
        <f t="shared" si="139"/>
        <v>#N/A</v>
      </c>
      <c r="AC200" s="229" t="e">
        <f t="shared" si="107"/>
        <v>#N/A</v>
      </c>
      <c r="AD200" s="229" t="e">
        <f t="shared" si="108"/>
        <v>#N/A</v>
      </c>
      <c r="AE200" s="229" t="e">
        <f t="shared" si="109"/>
        <v>#N/A</v>
      </c>
      <c r="AG200" s="427">
        <f t="shared" si="140"/>
        <v>20</v>
      </c>
      <c r="AH200" s="884">
        <f t="shared" si="141"/>
        <v>590</v>
      </c>
      <c r="AI200" s="121" t="b">
        <f>IF($H$36="Fixed",$H$42,IF($H$36="Variable",VLOOKUP(AH200,'Financing Constants'!$A$8:$L$148,$AH$179)+$H$41/10000))</f>
        <v>0</v>
      </c>
      <c r="AJ200" s="229" t="e">
        <f t="shared" si="142"/>
        <v>#NUM!</v>
      </c>
      <c r="AK200" s="888" t="str">
        <f t="shared" si="110"/>
        <v>PP</v>
      </c>
      <c r="AL200" s="229" t="e">
        <f t="shared" si="111"/>
        <v>#NUM!</v>
      </c>
      <c r="AM200" s="229" t="e">
        <f t="shared" si="112"/>
        <v>#NUM!</v>
      </c>
      <c r="AN200" s="229" t="e">
        <f t="shared" si="113"/>
        <v>#N/A</v>
      </c>
      <c r="AO200" s="229" t="e">
        <f t="shared" si="114"/>
        <v>#NUM!</v>
      </c>
      <c r="AQ200" s="427">
        <f t="shared" si="143"/>
        <v>20</v>
      </c>
      <c r="AR200" s="884">
        <f t="shared" si="144"/>
        <v>590</v>
      </c>
      <c r="AS200" s="121" t="b">
        <f>IF($K$36="Fixed",$K$42,IF($K$36="Variable",VLOOKUP(AR200,'Financing Constants'!$A$8:$L$148,$AR$179)+$K$41/10000))</f>
        <v>0</v>
      </c>
      <c r="AT200" s="229" t="e">
        <f t="shared" si="145"/>
        <v>#NUM!</v>
      </c>
      <c r="AU200" s="888" t="str">
        <f t="shared" si="115"/>
        <v>PP</v>
      </c>
      <c r="AV200" s="229" t="e">
        <f t="shared" si="116"/>
        <v>#NUM!</v>
      </c>
      <c r="AW200" s="229" t="e">
        <f t="shared" si="117"/>
        <v>#NUM!</v>
      </c>
      <c r="AX200" s="229" t="e">
        <f t="shared" si="118"/>
        <v>#N/A</v>
      </c>
      <c r="AY200" s="229" t="e">
        <f t="shared" si="119"/>
        <v>#NUM!</v>
      </c>
      <c r="BA200" s="427">
        <f t="shared" si="146"/>
        <v>20</v>
      </c>
      <c r="BB200" s="884">
        <f t="shared" si="147"/>
        <v>590</v>
      </c>
      <c r="BC200" s="121" t="b">
        <f>IF($N$36="Fixed",$N$42,IF($N$36="Variable",VLOOKUP(BB200,'Financing Constants'!$A$8:$L$148,$BB$179)+$N$41/10000))</f>
        <v>0</v>
      </c>
      <c r="BD200" s="229" t="e">
        <f t="shared" si="148"/>
        <v>#NUM!</v>
      </c>
      <c r="BE200" s="888" t="str">
        <f t="shared" si="120"/>
        <v>PP</v>
      </c>
      <c r="BF200" s="229" t="e">
        <f t="shared" si="121"/>
        <v>#NUM!</v>
      </c>
      <c r="BG200" s="229" t="e">
        <f t="shared" si="122"/>
        <v>#NUM!</v>
      </c>
      <c r="BH200" s="229" t="e">
        <f t="shared" si="123"/>
        <v>#N/A</v>
      </c>
      <c r="BI200" s="229" t="e">
        <f t="shared" si="124"/>
        <v>#NUM!</v>
      </c>
      <c r="BK200" s="427">
        <f t="shared" si="149"/>
        <v>20</v>
      </c>
      <c r="BL200" s="884">
        <f t="shared" si="150"/>
        <v>590</v>
      </c>
      <c r="BM200" s="121" t="b">
        <f>IF($Q$36="Fixed",$Q$42,IF($Q$36="Variable",VLOOKUP(BL200,'Financing Constants'!$A$8:$L$148,$BL$179)+$Q$41/10000))</f>
        <v>0</v>
      </c>
      <c r="BN200" s="229" t="e">
        <f t="shared" si="151"/>
        <v>#NUM!</v>
      </c>
      <c r="BO200" s="888" t="str">
        <f t="shared" si="125"/>
        <v>PP</v>
      </c>
      <c r="BP200" s="229" t="e">
        <f t="shared" si="126"/>
        <v>#NUM!</v>
      </c>
      <c r="BQ200" s="229" t="e">
        <f t="shared" si="127"/>
        <v>#NUM!</v>
      </c>
      <c r="BR200" s="229" t="e">
        <f t="shared" si="128"/>
        <v>#N/A</v>
      </c>
      <c r="BS200" s="229" t="e">
        <f t="shared" si="129"/>
        <v>#NUM!</v>
      </c>
      <c r="BU200" s="427">
        <f t="shared" si="152"/>
        <v>20</v>
      </c>
      <c r="BV200" s="884">
        <f t="shared" si="153"/>
        <v>590</v>
      </c>
      <c r="BW200" s="121" t="b">
        <f>IF($T$36="Fixed",$T$42,IF($T$36="Variable",VLOOKUP(BV200,'Financing Constants'!$A$8:$L$148,$BV$179)+$T$41/10000))</f>
        <v>0</v>
      </c>
      <c r="BX200" s="229" t="e">
        <f t="shared" si="154"/>
        <v>#NUM!</v>
      </c>
      <c r="BY200" s="888" t="str">
        <f t="shared" si="130"/>
        <v>PP</v>
      </c>
      <c r="BZ200" s="229" t="e">
        <f t="shared" si="131"/>
        <v>#NUM!</v>
      </c>
      <c r="CA200" s="229" t="e">
        <f t="shared" si="132"/>
        <v>#NUM!</v>
      </c>
      <c r="CB200" s="229" t="e">
        <f t="shared" si="133"/>
        <v>#N/A</v>
      </c>
      <c r="CC200" s="229" t="e">
        <f t="shared" si="134"/>
        <v>#NUM!</v>
      </c>
    </row>
    <row r="201" spans="23:81" x14ac:dyDescent="0.25">
      <c r="W201" s="427">
        <f t="shared" si="135"/>
        <v>21</v>
      </c>
      <c r="X201" s="884">
        <f t="shared" si="136"/>
        <v>620</v>
      </c>
      <c r="Y201" s="121" t="b">
        <f>IF($E$36="Fixed",$E$42,IF($E$36="Variable",VLOOKUP(X201,'Financing Constants'!$A$8:$L$148,$X$179)+$E$41/10000))</f>
        <v>0</v>
      </c>
      <c r="Z201" s="229" t="e">
        <f t="shared" si="137"/>
        <v>#N/A</v>
      </c>
      <c r="AA201" s="888" t="str">
        <f t="shared" si="138"/>
        <v>PP</v>
      </c>
      <c r="AB201" s="229" t="e">
        <f t="shared" si="139"/>
        <v>#N/A</v>
      </c>
      <c r="AC201" s="229" t="e">
        <f t="shared" si="107"/>
        <v>#N/A</v>
      </c>
      <c r="AD201" s="229" t="e">
        <f t="shared" si="108"/>
        <v>#N/A</v>
      </c>
      <c r="AE201" s="229" t="e">
        <f t="shared" si="109"/>
        <v>#N/A</v>
      </c>
      <c r="AG201" s="427">
        <f t="shared" si="140"/>
        <v>21</v>
      </c>
      <c r="AH201" s="884">
        <f t="shared" si="141"/>
        <v>620</v>
      </c>
      <c r="AI201" s="121" t="b">
        <f>IF($H$36="Fixed",$H$42,IF($H$36="Variable",VLOOKUP(AH201,'Financing Constants'!$A$8:$L$148,$AH$179)+$H$41/10000))</f>
        <v>0</v>
      </c>
      <c r="AJ201" s="229" t="e">
        <f t="shared" si="142"/>
        <v>#NUM!</v>
      </c>
      <c r="AK201" s="888" t="str">
        <f t="shared" si="110"/>
        <v>PP</v>
      </c>
      <c r="AL201" s="229" t="e">
        <f t="shared" si="111"/>
        <v>#NUM!</v>
      </c>
      <c r="AM201" s="229" t="e">
        <f t="shared" si="112"/>
        <v>#NUM!</v>
      </c>
      <c r="AN201" s="229" t="e">
        <f t="shared" si="113"/>
        <v>#N/A</v>
      </c>
      <c r="AO201" s="229" t="e">
        <f t="shared" si="114"/>
        <v>#NUM!</v>
      </c>
      <c r="AQ201" s="427">
        <f t="shared" si="143"/>
        <v>21</v>
      </c>
      <c r="AR201" s="884">
        <f t="shared" si="144"/>
        <v>620</v>
      </c>
      <c r="AS201" s="121" t="b">
        <f>IF($K$36="Fixed",$K$42,IF($K$36="Variable",VLOOKUP(AR201,'Financing Constants'!$A$8:$L$148,$AR$179)+$K$41/10000))</f>
        <v>0</v>
      </c>
      <c r="AT201" s="229" t="e">
        <f t="shared" si="145"/>
        <v>#NUM!</v>
      </c>
      <c r="AU201" s="888" t="str">
        <f t="shared" si="115"/>
        <v>PP</v>
      </c>
      <c r="AV201" s="229" t="e">
        <f t="shared" si="116"/>
        <v>#NUM!</v>
      </c>
      <c r="AW201" s="229" t="e">
        <f t="shared" si="117"/>
        <v>#NUM!</v>
      </c>
      <c r="AX201" s="229" t="e">
        <f t="shared" si="118"/>
        <v>#N/A</v>
      </c>
      <c r="AY201" s="229" t="e">
        <f t="shared" si="119"/>
        <v>#NUM!</v>
      </c>
      <c r="BA201" s="427">
        <f t="shared" si="146"/>
        <v>21</v>
      </c>
      <c r="BB201" s="884">
        <f t="shared" si="147"/>
        <v>620</v>
      </c>
      <c r="BC201" s="121" t="b">
        <f>IF($N$36="Fixed",$N$42,IF($N$36="Variable",VLOOKUP(BB201,'Financing Constants'!$A$8:$L$148,$BB$179)+$N$41/10000))</f>
        <v>0</v>
      </c>
      <c r="BD201" s="229" t="e">
        <f t="shared" si="148"/>
        <v>#NUM!</v>
      </c>
      <c r="BE201" s="888" t="str">
        <f t="shared" si="120"/>
        <v>PP</v>
      </c>
      <c r="BF201" s="229" t="e">
        <f t="shared" si="121"/>
        <v>#NUM!</v>
      </c>
      <c r="BG201" s="229" t="e">
        <f t="shared" si="122"/>
        <v>#NUM!</v>
      </c>
      <c r="BH201" s="229" t="e">
        <f t="shared" si="123"/>
        <v>#N/A</v>
      </c>
      <c r="BI201" s="229" t="e">
        <f t="shared" si="124"/>
        <v>#NUM!</v>
      </c>
      <c r="BK201" s="427">
        <f t="shared" si="149"/>
        <v>21</v>
      </c>
      <c r="BL201" s="884">
        <f t="shared" si="150"/>
        <v>620</v>
      </c>
      <c r="BM201" s="121" t="b">
        <f>IF($Q$36="Fixed",$Q$42,IF($Q$36="Variable",VLOOKUP(BL201,'Financing Constants'!$A$8:$L$148,$BL$179)+$Q$41/10000))</f>
        <v>0</v>
      </c>
      <c r="BN201" s="229" t="e">
        <f t="shared" si="151"/>
        <v>#NUM!</v>
      </c>
      <c r="BO201" s="888" t="str">
        <f t="shared" si="125"/>
        <v>PP</v>
      </c>
      <c r="BP201" s="229" t="e">
        <f t="shared" si="126"/>
        <v>#NUM!</v>
      </c>
      <c r="BQ201" s="229" t="e">
        <f t="shared" si="127"/>
        <v>#NUM!</v>
      </c>
      <c r="BR201" s="229" t="e">
        <f t="shared" si="128"/>
        <v>#N/A</v>
      </c>
      <c r="BS201" s="229" t="e">
        <f t="shared" si="129"/>
        <v>#NUM!</v>
      </c>
      <c r="BU201" s="427">
        <f t="shared" si="152"/>
        <v>21</v>
      </c>
      <c r="BV201" s="884">
        <f t="shared" si="153"/>
        <v>620</v>
      </c>
      <c r="BW201" s="121" t="b">
        <f>IF($T$36="Fixed",$T$42,IF($T$36="Variable",VLOOKUP(BV201,'Financing Constants'!$A$8:$L$148,$BV$179)+$T$41/10000))</f>
        <v>0</v>
      </c>
      <c r="BX201" s="229" t="e">
        <f t="shared" si="154"/>
        <v>#NUM!</v>
      </c>
      <c r="BY201" s="888" t="str">
        <f t="shared" si="130"/>
        <v>PP</v>
      </c>
      <c r="BZ201" s="229" t="e">
        <f t="shared" si="131"/>
        <v>#NUM!</v>
      </c>
      <c r="CA201" s="229" t="e">
        <f t="shared" si="132"/>
        <v>#NUM!</v>
      </c>
      <c r="CB201" s="229" t="e">
        <f t="shared" si="133"/>
        <v>#N/A</v>
      </c>
      <c r="CC201" s="229" t="e">
        <f t="shared" si="134"/>
        <v>#NUM!</v>
      </c>
    </row>
    <row r="202" spans="23:81" x14ac:dyDescent="0.25">
      <c r="W202" s="427">
        <f t="shared" si="135"/>
        <v>22</v>
      </c>
      <c r="X202" s="884">
        <f t="shared" si="136"/>
        <v>650</v>
      </c>
      <c r="Y202" s="121" t="b">
        <f>IF($E$36="Fixed",$E$42,IF($E$36="Variable",VLOOKUP(X202,'Financing Constants'!$A$8:$L$148,$X$179)+$E$41/10000))</f>
        <v>0</v>
      </c>
      <c r="Z202" s="229" t="e">
        <f t="shared" si="137"/>
        <v>#N/A</v>
      </c>
      <c r="AA202" s="888" t="str">
        <f t="shared" si="138"/>
        <v>PP</v>
      </c>
      <c r="AB202" s="229" t="e">
        <f t="shared" si="139"/>
        <v>#N/A</v>
      </c>
      <c r="AC202" s="229" t="e">
        <f t="shared" si="107"/>
        <v>#N/A</v>
      </c>
      <c r="AD202" s="229" t="e">
        <f t="shared" si="108"/>
        <v>#N/A</v>
      </c>
      <c r="AE202" s="229" t="e">
        <f t="shared" si="109"/>
        <v>#N/A</v>
      </c>
      <c r="AG202" s="427">
        <f t="shared" si="140"/>
        <v>22</v>
      </c>
      <c r="AH202" s="884">
        <f t="shared" si="141"/>
        <v>650</v>
      </c>
      <c r="AI202" s="121" t="b">
        <f>IF($H$36="Fixed",$H$42,IF($H$36="Variable",VLOOKUP(AH202,'Financing Constants'!$A$8:$L$148,$AH$179)+$H$41/10000))</f>
        <v>0</v>
      </c>
      <c r="AJ202" s="229" t="e">
        <f t="shared" si="142"/>
        <v>#NUM!</v>
      </c>
      <c r="AK202" s="888" t="str">
        <f t="shared" si="110"/>
        <v>PP</v>
      </c>
      <c r="AL202" s="229" t="e">
        <f t="shared" si="111"/>
        <v>#NUM!</v>
      </c>
      <c r="AM202" s="229" t="e">
        <f t="shared" si="112"/>
        <v>#NUM!</v>
      </c>
      <c r="AN202" s="229" t="e">
        <f t="shared" si="113"/>
        <v>#N/A</v>
      </c>
      <c r="AO202" s="229" t="e">
        <f t="shared" si="114"/>
        <v>#NUM!</v>
      </c>
      <c r="AQ202" s="427">
        <f t="shared" si="143"/>
        <v>22</v>
      </c>
      <c r="AR202" s="884">
        <f t="shared" si="144"/>
        <v>650</v>
      </c>
      <c r="AS202" s="121" t="b">
        <f>IF($K$36="Fixed",$K$42,IF($K$36="Variable",VLOOKUP(AR202,'Financing Constants'!$A$8:$L$148,$AR$179)+$K$41/10000))</f>
        <v>0</v>
      </c>
      <c r="AT202" s="229" t="e">
        <f t="shared" si="145"/>
        <v>#NUM!</v>
      </c>
      <c r="AU202" s="888" t="str">
        <f t="shared" si="115"/>
        <v>PP</v>
      </c>
      <c r="AV202" s="229" t="e">
        <f t="shared" si="116"/>
        <v>#NUM!</v>
      </c>
      <c r="AW202" s="229" t="e">
        <f t="shared" si="117"/>
        <v>#NUM!</v>
      </c>
      <c r="AX202" s="229" t="e">
        <f t="shared" si="118"/>
        <v>#N/A</v>
      </c>
      <c r="AY202" s="229" t="e">
        <f t="shared" si="119"/>
        <v>#NUM!</v>
      </c>
      <c r="BA202" s="427">
        <f t="shared" si="146"/>
        <v>22</v>
      </c>
      <c r="BB202" s="884">
        <f t="shared" si="147"/>
        <v>650</v>
      </c>
      <c r="BC202" s="121" t="b">
        <f>IF($N$36="Fixed",$N$42,IF($N$36="Variable",VLOOKUP(BB202,'Financing Constants'!$A$8:$L$148,$BB$179)+$N$41/10000))</f>
        <v>0</v>
      </c>
      <c r="BD202" s="229" t="e">
        <f t="shared" si="148"/>
        <v>#NUM!</v>
      </c>
      <c r="BE202" s="888" t="str">
        <f t="shared" si="120"/>
        <v>PP</v>
      </c>
      <c r="BF202" s="229" t="e">
        <f t="shared" si="121"/>
        <v>#NUM!</v>
      </c>
      <c r="BG202" s="229" t="e">
        <f t="shared" si="122"/>
        <v>#NUM!</v>
      </c>
      <c r="BH202" s="229" t="e">
        <f t="shared" si="123"/>
        <v>#N/A</v>
      </c>
      <c r="BI202" s="229" t="e">
        <f t="shared" si="124"/>
        <v>#NUM!</v>
      </c>
      <c r="BK202" s="427">
        <f t="shared" si="149"/>
        <v>22</v>
      </c>
      <c r="BL202" s="884">
        <f t="shared" si="150"/>
        <v>650</v>
      </c>
      <c r="BM202" s="121" t="b">
        <f>IF($Q$36="Fixed",$Q$42,IF($Q$36="Variable",VLOOKUP(BL202,'Financing Constants'!$A$8:$L$148,$BL$179)+$Q$41/10000))</f>
        <v>0</v>
      </c>
      <c r="BN202" s="229" t="e">
        <f t="shared" si="151"/>
        <v>#NUM!</v>
      </c>
      <c r="BO202" s="888" t="str">
        <f t="shared" si="125"/>
        <v>PP</v>
      </c>
      <c r="BP202" s="229" t="e">
        <f t="shared" si="126"/>
        <v>#NUM!</v>
      </c>
      <c r="BQ202" s="229" t="e">
        <f t="shared" si="127"/>
        <v>#NUM!</v>
      </c>
      <c r="BR202" s="229" t="e">
        <f t="shared" si="128"/>
        <v>#N/A</v>
      </c>
      <c r="BS202" s="229" t="e">
        <f t="shared" si="129"/>
        <v>#NUM!</v>
      </c>
      <c r="BU202" s="427">
        <f t="shared" si="152"/>
        <v>22</v>
      </c>
      <c r="BV202" s="884">
        <f t="shared" si="153"/>
        <v>650</v>
      </c>
      <c r="BW202" s="121" t="b">
        <f>IF($T$36="Fixed",$T$42,IF($T$36="Variable",VLOOKUP(BV202,'Financing Constants'!$A$8:$L$148,$BV$179)+$T$41/10000))</f>
        <v>0</v>
      </c>
      <c r="BX202" s="229" t="e">
        <f t="shared" si="154"/>
        <v>#NUM!</v>
      </c>
      <c r="BY202" s="888" t="str">
        <f t="shared" si="130"/>
        <v>PP</v>
      </c>
      <c r="BZ202" s="229" t="e">
        <f t="shared" si="131"/>
        <v>#NUM!</v>
      </c>
      <c r="CA202" s="229" t="e">
        <f t="shared" si="132"/>
        <v>#NUM!</v>
      </c>
      <c r="CB202" s="229" t="e">
        <f t="shared" si="133"/>
        <v>#N/A</v>
      </c>
      <c r="CC202" s="229" t="e">
        <f t="shared" si="134"/>
        <v>#NUM!</v>
      </c>
    </row>
    <row r="203" spans="23:81" x14ac:dyDescent="0.25">
      <c r="W203" s="427">
        <f t="shared" si="135"/>
        <v>23</v>
      </c>
      <c r="X203" s="884">
        <f t="shared" si="136"/>
        <v>680</v>
      </c>
      <c r="Y203" s="121" t="b">
        <f>IF($E$36="Fixed",$E$42,IF($E$36="Variable",VLOOKUP(X203,'Financing Constants'!$A$8:$L$148,$X$179)+$E$41/10000))</f>
        <v>0</v>
      </c>
      <c r="Z203" s="229" t="e">
        <f t="shared" si="137"/>
        <v>#N/A</v>
      </c>
      <c r="AA203" s="888" t="str">
        <f t="shared" si="138"/>
        <v>PP</v>
      </c>
      <c r="AB203" s="229" t="e">
        <f t="shared" si="139"/>
        <v>#N/A</v>
      </c>
      <c r="AC203" s="229" t="e">
        <f t="shared" si="107"/>
        <v>#N/A</v>
      </c>
      <c r="AD203" s="229" t="e">
        <f t="shared" si="108"/>
        <v>#N/A</v>
      </c>
      <c r="AE203" s="229" t="e">
        <f t="shared" si="109"/>
        <v>#N/A</v>
      </c>
      <c r="AG203" s="427">
        <f t="shared" si="140"/>
        <v>23</v>
      </c>
      <c r="AH203" s="884">
        <f t="shared" si="141"/>
        <v>680</v>
      </c>
      <c r="AI203" s="121" t="b">
        <f>IF($H$36="Fixed",$H$42,IF($H$36="Variable",VLOOKUP(AH203,'Financing Constants'!$A$8:$L$148,$AH$179)+$H$41/10000))</f>
        <v>0</v>
      </c>
      <c r="AJ203" s="229" t="e">
        <f t="shared" si="142"/>
        <v>#NUM!</v>
      </c>
      <c r="AK203" s="888" t="str">
        <f t="shared" si="110"/>
        <v>PP</v>
      </c>
      <c r="AL203" s="229" t="e">
        <f t="shared" si="111"/>
        <v>#NUM!</v>
      </c>
      <c r="AM203" s="229" t="e">
        <f t="shared" si="112"/>
        <v>#NUM!</v>
      </c>
      <c r="AN203" s="229" t="e">
        <f t="shared" si="113"/>
        <v>#N/A</v>
      </c>
      <c r="AO203" s="229" t="e">
        <f t="shared" si="114"/>
        <v>#NUM!</v>
      </c>
      <c r="AQ203" s="427">
        <f t="shared" si="143"/>
        <v>23</v>
      </c>
      <c r="AR203" s="884">
        <f t="shared" si="144"/>
        <v>680</v>
      </c>
      <c r="AS203" s="121" t="b">
        <f>IF($K$36="Fixed",$K$42,IF($K$36="Variable",VLOOKUP(AR203,'Financing Constants'!$A$8:$L$148,$AR$179)+$K$41/10000))</f>
        <v>0</v>
      </c>
      <c r="AT203" s="229" t="e">
        <f t="shared" si="145"/>
        <v>#NUM!</v>
      </c>
      <c r="AU203" s="888" t="str">
        <f t="shared" si="115"/>
        <v>PP</v>
      </c>
      <c r="AV203" s="229" t="e">
        <f t="shared" si="116"/>
        <v>#NUM!</v>
      </c>
      <c r="AW203" s="229" t="e">
        <f t="shared" si="117"/>
        <v>#NUM!</v>
      </c>
      <c r="AX203" s="229" t="e">
        <f t="shared" si="118"/>
        <v>#N/A</v>
      </c>
      <c r="AY203" s="229" t="e">
        <f t="shared" si="119"/>
        <v>#NUM!</v>
      </c>
      <c r="BA203" s="427">
        <f t="shared" si="146"/>
        <v>23</v>
      </c>
      <c r="BB203" s="884">
        <f t="shared" si="147"/>
        <v>680</v>
      </c>
      <c r="BC203" s="121" t="b">
        <f>IF($N$36="Fixed",$N$42,IF($N$36="Variable",VLOOKUP(BB203,'Financing Constants'!$A$8:$L$148,$BB$179)+$N$41/10000))</f>
        <v>0</v>
      </c>
      <c r="BD203" s="229" t="e">
        <f t="shared" si="148"/>
        <v>#NUM!</v>
      </c>
      <c r="BE203" s="888" t="str">
        <f t="shared" si="120"/>
        <v>PP</v>
      </c>
      <c r="BF203" s="229" t="e">
        <f t="shared" si="121"/>
        <v>#NUM!</v>
      </c>
      <c r="BG203" s="229" t="e">
        <f t="shared" si="122"/>
        <v>#NUM!</v>
      </c>
      <c r="BH203" s="229" t="e">
        <f t="shared" si="123"/>
        <v>#N/A</v>
      </c>
      <c r="BI203" s="229" t="e">
        <f t="shared" si="124"/>
        <v>#NUM!</v>
      </c>
      <c r="BK203" s="427">
        <f t="shared" si="149"/>
        <v>23</v>
      </c>
      <c r="BL203" s="884">
        <f t="shared" si="150"/>
        <v>680</v>
      </c>
      <c r="BM203" s="121" t="b">
        <f>IF($Q$36="Fixed",$Q$42,IF($Q$36="Variable",VLOOKUP(BL203,'Financing Constants'!$A$8:$L$148,$BL$179)+$Q$41/10000))</f>
        <v>0</v>
      </c>
      <c r="BN203" s="229" t="e">
        <f t="shared" si="151"/>
        <v>#NUM!</v>
      </c>
      <c r="BO203" s="888" t="str">
        <f t="shared" si="125"/>
        <v>PP</v>
      </c>
      <c r="BP203" s="229" t="e">
        <f t="shared" si="126"/>
        <v>#NUM!</v>
      </c>
      <c r="BQ203" s="229" t="e">
        <f t="shared" si="127"/>
        <v>#NUM!</v>
      </c>
      <c r="BR203" s="229" t="e">
        <f t="shared" si="128"/>
        <v>#N/A</v>
      </c>
      <c r="BS203" s="229" t="e">
        <f t="shared" si="129"/>
        <v>#NUM!</v>
      </c>
      <c r="BU203" s="427">
        <f t="shared" si="152"/>
        <v>23</v>
      </c>
      <c r="BV203" s="884">
        <f t="shared" si="153"/>
        <v>680</v>
      </c>
      <c r="BW203" s="121" t="b">
        <f>IF($T$36="Fixed",$T$42,IF($T$36="Variable",VLOOKUP(BV203,'Financing Constants'!$A$8:$L$148,$BV$179)+$T$41/10000))</f>
        <v>0</v>
      </c>
      <c r="BX203" s="229" t="e">
        <f t="shared" si="154"/>
        <v>#NUM!</v>
      </c>
      <c r="BY203" s="888" t="str">
        <f t="shared" si="130"/>
        <v>PP</v>
      </c>
      <c r="BZ203" s="229" t="e">
        <f t="shared" si="131"/>
        <v>#NUM!</v>
      </c>
      <c r="CA203" s="229" t="e">
        <f t="shared" si="132"/>
        <v>#NUM!</v>
      </c>
      <c r="CB203" s="229" t="e">
        <f t="shared" si="133"/>
        <v>#N/A</v>
      </c>
      <c r="CC203" s="229" t="e">
        <f t="shared" si="134"/>
        <v>#NUM!</v>
      </c>
    </row>
    <row r="204" spans="23:81" x14ac:dyDescent="0.25">
      <c r="W204" s="427">
        <f t="shared" si="135"/>
        <v>24</v>
      </c>
      <c r="X204" s="884">
        <f t="shared" si="136"/>
        <v>710</v>
      </c>
      <c r="Y204" s="121" t="b">
        <f>IF($E$36="Fixed",$E$42,IF($E$36="Variable",VLOOKUP(X204,'Financing Constants'!$A$8:$L$148,$X$179)+$E$41/10000))</f>
        <v>0</v>
      </c>
      <c r="Z204" s="229" t="e">
        <f t="shared" si="137"/>
        <v>#N/A</v>
      </c>
      <c r="AA204" s="888" t="str">
        <f t="shared" si="138"/>
        <v>PP</v>
      </c>
      <c r="AB204" s="229" t="e">
        <f t="shared" si="139"/>
        <v>#N/A</v>
      </c>
      <c r="AC204" s="229" t="e">
        <f t="shared" si="107"/>
        <v>#N/A</v>
      </c>
      <c r="AD204" s="229" t="e">
        <f t="shared" si="108"/>
        <v>#N/A</v>
      </c>
      <c r="AE204" s="229" t="e">
        <f t="shared" si="109"/>
        <v>#N/A</v>
      </c>
      <c r="AG204" s="427">
        <f t="shared" si="140"/>
        <v>24</v>
      </c>
      <c r="AH204" s="884">
        <f t="shared" si="141"/>
        <v>710</v>
      </c>
      <c r="AI204" s="121" t="b">
        <f>IF($H$36="Fixed",$H$42,IF($H$36="Variable",VLOOKUP(AH204,'Financing Constants'!$A$8:$L$148,$AH$179)+$H$41/10000))</f>
        <v>0</v>
      </c>
      <c r="AJ204" s="229" t="e">
        <f t="shared" si="142"/>
        <v>#NUM!</v>
      </c>
      <c r="AK204" s="888" t="str">
        <f t="shared" si="110"/>
        <v>PP</v>
      </c>
      <c r="AL204" s="229" t="e">
        <f t="shared" si="111"/>
        <v>#NUM!</v>
      </c>
      <c r="AM204" s="229" t="e">
        <f t="shared" si="112"/>
        <v>#NUM!</v>
      </c>
      <c r="AN204" s="229" t="e">
        <f t="shared" si="113"/>
        <v>#N/A</v>
      </c>
      <c r="AO204" s="229" t="e">
        <f t="shared" si="114"/>
        <v>#NUM!</v>
      </c>
      <c r="AQ204" s="427">
        <f t="shared" si="143"/>
        <v>24</v>
      </c>
      <c r="AR204" s="884">
        <f t="shared" si="144"/>
        <v>710</v>
      </c>
      <c r="AS204" s="121" t="b">
        <f>IF($K$36="Fixed",$K$42,IF($K$36="Variable",VLOOKUP(AR204,'Financing Constants'!$A$8:$L$148,$AR$179)+$K$41/10000))</f>
        <v>0</v>
      </c>
      <c r="AT204" s="229" t="e">
        <f t="shared" si="145"/>
        <v>#NUM!</v>
      </c>
      <c r="AU204" s="888" t="str">
        <f t="shared" si="115"/>
        <v>PP</v>
      </c>
      <c r="AV204" s="229" t="e">
        <f t="shared" si="116"/>
        <v>#NUM!</v>
      </c>
      <c r="AW204" s="229" t="e">
        <f t="shared" si="117"/>
        <v>#NUM!</v>
      </c>
      <c r="AX204" s="229" t="e">
        <f t="shared" si="118"/>
        <v>#N/A</v>
      </c>
      <c r="AY204" s="229" t="e">
        <f t="shared" si="119"/>
        <v>#NUM!</v>
      </c>
      <c r="BA204" s="427">
        <f t="shared" si="146"/>
        <v>24</v>
      </c>
      <c r="BB204" s="884">
        <f t="shared" si="147"/>
        <v>710</v>
      </c>
      <c r="BC204" s="121" t="b">
        <f>IF($N$36="Fixed",$N$42,IF($N$36="Variable",VLOOKUP(BB204,'Financing Constants'!$A$8:$L$148,$BB$179)+$N$41/10000))</f>
        <v>0</v>
      </c>
      <c r="BD204" s="229" t="e">
        <f t="shared" si="148"/>
        <v>#NUM!</v>
      </c>
      <c r="BE204" s="888" t="str">
        <f t="shared" si="120"/>
        <v>PP</v>
      </c>
      <c r="BF204" s="229" t="e">
        <f t="shared" si="121"/>
        <v>#NUM!</v>
      </c>
      <c r="BG204" s="229" t="e">
        <f t="shared" si="122"/>
        <v>#NUM!</v>
      </c>
      <c r="BH204" s="229" t="e">
        <f t="shared" si="123"/>
        <v>#N/A</v>
      </c>
      <c r="BI204" s="229" t="e">
        <f t="shared" si="124"/>
        <v>#NUM!</v>
      </c>
      <c r="BK204" s="427">
        <f t="shared" si="149"/>
        <v>24</v>
      </c>
      <c r="BL204" s="884">
        <f t="shared" si="150"/>
        <v>710</v>
      </c>
      <c r="BM204" s="121" t="b">
        <f>IF($Q$36="Fixed",$Q$42,IF($Q$36="Variable",VLOOKUP(BL204,'Financing Constants'!$A$8:$L$148,$BL$179)+$Q$41/10000))</f>
        <v>0</v>
      </c>
      <c r="BN204" s="229" t="e">
        <f t="shared" si="151"/>
        <v>#NUM!</v>
      </c>
      <c r="BO204" s="888" t="str">
        <f t="shared" si="125"/>
        <v>PP</v>
      </c>
      <c r="BP204" s="229" t="e">
        <f t="shared" si="126"/>
        <v>#NUM!</v>
      </c>
      <c r="BQ204" s="229" t="e">
        <f t="shared" si="127"/>
        <v>#NUM!</v>
      </c>
      <c r="BR204" s="229" t="e">
        <f t="shared" si="128"/>
        <v>#N/A</v>
      </c>
      <c r="BS204" s="229" t="e">
        <f t="shared" si="129"/>
        <v>#NUM!</v>
      </c>
      <c r="BU204" s="427">
        <f t="shared" si="152"/>
        <v>24</v>
      </c>
      <c r="BV204" s="884">
        <f t="shared" si="153"/>
        <v>710</v>
      </c>
      <c r="BW204" s="121" t="b">
        <f>IF($T$36="Fixed",$T$42,IF($T$36="Variable",VLOOKUP(BV204,'Financing Constants'!$A$8:$L$148,$BV$179)+$T$41/10000))</f>
        <v>0</v>
      </c>
      <c r="BX204" s="229" t="e">
        <f t="shared" si="154"/>
        <v>#NUM!</v>
      </c>
      <c r="BY204" s="888" t="str">
        <f t="shared" si="130"/>
        <v>PP</v>
      </c>
      <c r="BZ204" s="229" t="e">
        <f t="shared" si="131"/>
        <v>#NUM!</v>
      </c>
      <c r="CA204" s="229" t="e">
        <f t="shared" si="132"/>
        <v>#NUM!</v>
      </c>
      <c r="CB204" s="229" t="e">
        <f t="shared" si="133"/>
        <v>#N/A</v>
      </c>
      <c r="CC204" s="229" t="e">
        <f t="shared" si="134"/>
        <v>#NUM!</v>
      </c>
    </row>
    <row r="205" spans="23:81" x14ac:dyDescent="0.25">
      <c r="W205" s="321">
        <f t="shared" si="135"/>
        <v>25</v>
      </c>
      <c r="X205" s="889">
        <f t="shared" si="136"/>
        <v>740</v>
      </c>
      <c r="Y205" s="890" t="b">
        <f>IF($E$36="Fixed",$E$42,IF($E$36="Variable",VLOOKUP(X205,'Financing Constants'!$A$8:$L$148,$X$179)+$E$41/10000))</f>
        <v>0</v>
      </c>
      <c r="Z205" s="891" t="e">
        <f t="shared" si="137"/>
        <v>#N/A</v>
      </c>
      <c r="AA205" s="892" t="str">
        <f t="shared" si="138"/>
        <v>PP</v>
      </c>
      <c r="AB205" s="891" t="e">
        <f t="shared" si="139"/>
        <v>#N/A</v>
      </c>
      <c r="AC205" s="891" t="e">
        <f t="shared" si="107"/>
        <v>#N/A</v>
      </c>
      <c r="AD205" s="891" t="e">
        <f t="shared" si="108"/>
        <v>#N/A</v>
      </c>
      <c r="AE205" s="891" t="e">
        <f t="shared" si="109"/>
        <v>#N/A</v>
      </c>
      <c r="AG205" s="321">
        <f t="shared" si="140"/>
        <v>25</v>
      </c>
      <c r="AH205" s="889">
        <f t="shared" si="141"/>
        <v>740</v>
      </c>
      <c r="AI205" s="890" t="b">
        <f>IF($H$36="Fixed",$H$42,IF($H$36="Variable",VLOOKUP(AH205,'Financing Constants'!$A$8:$L$148,$AH$179)+$H$41/10000))</f>
        <v>0</v>
      </c>
      <c r="AJ205" s="891" t="e">
        <f t="shared" si="142"/>
        <v>#NUM!</v>
      </c>
      <c r="AK205" s="892" t="str">
        <f t="shared" si="110"/>
        <v>PP</v>
      </c>
      <c r="AL205" s="891" t="e">
        <f t="shared" si="111"/>
        <v>#NUM!</v>
      </c>
      <c r="AM205" s="891" t="e">
        <f t="shared" si="112"/>
        <v>#NUM!</v>
      </c>
      <c r="AN205" s="891" t="e">
        <f t="shared" si="113"/>
        <v>#N/A</v>
      </c>
      <c r="AO205" s="891" t="e">
        <f t="shared" si="114"/>
        <v>#NUM!</v>
      </c>
      <c r="AQ205" s="321">
        <f t="shared" si="143"/>
        <v>25</v>
      </c>
      <c r="AR205" s="889">
        <f t="shared" si="144"/>
        <v>740</v>
      </c>
      <c r="AS205" s="890" t="b">
        <f>IF($K$36="Fixed",$K$42,IF($K$36="Variable",VLOOKUP(AR205,'Financing Constants'!$A$8:$L$148,$AR$179)+$K$41/10000))</f>
        <v>0</v>
      </c>
      <c r="AT205" s="891" t="e">
        <f t="shared" si="145"/>
        <v>#NUM!</v>
      </c>
      <c r="AU205" s="892" t="str">
        <f t="shared" si="115"/>
        <v>PP</v>
      </c>
      <c r="AV205" s="891" t="e">
        <f t="shared" si="116"/>
        <v>#NUM!</v>
      </c>
      <c r="AW205" s="891" t="e">
        <f t="shared" si="117"/>
        <v>#NUM!</v>
      </c>
      <c r="AX205" s="891" t="e">
        <f t="shared" si="118"/>
        <v>#N/A</v>
      </c>
      <c r="AY205" s="891" t="e">
        <f t="shared" si="119"/>
        <v>#NUM!</v>
      </c>
      <c r="BA205" s="321">
        <f t="shared" si="146"/>
        <v>25</v>
      </c>
      <c r="BB205" s="889">
        <f t="shared" si="147"/>
        <v>740</v>
      </c>
      <c r="BC205" s="890" t="b">
        <f>IF($N$36="Fixed",$N$42,IF($N$36="Variable",VLOOKUP(BB205,'Financing Constants'!$A$8:$L$148,$BB$179)+$N$41/10000))</f>
        <v>0</v>
      </c>
      <c r="BD205" s="891" t="e">
        <f t="shared" si="148"/>
        <v>#NUM!</v>
      </c>
      <c r="BE205" s="892" t="str">
        <f t="shared" si="120"/>
        <v>PP</v>
      </c>
      <c r="BF205" s="891" t="e">
        <f t="shared" si="121"/>
        <v>#NUM!</v>
      </c>
      <c r="BG205" s="891" t="e">
        <f t="shared" si="122"/>
        <v>#NUM!</v>
      </c>
      <c r="BH205" s="891" t="e">
        <f t="shared" si="123"/>
        <v>#N/A</v>
      </c>
      <c r="BI205" s="891" t="e">
        <f t="shared" si="124"/>
        <v>#NUM!</v>
      </c>
      <c r="BK205" s="321">
        <f t="shared" si="149"/>
        <v>25</v>
      </c>
      <c r="BL205" s="889">
        <f t="shared" si="150"/>
        <v>740</v>
      </c>
      <c r="BM205" s="890" t="b">
        <f>IF($Q$36="Fixed",$Q$42,IF($Q$36="Variable",VLOOKUP(BL205,'Financing Constants'!$A$8:$L$148,$BL$179)+$Q$41/10000))</f>
        <v>0</v>
      </c>
      <c r="BN205" s="891" t="e">
        <f t="shared" si="151"/>
        <v>#NUM!</v>
      </c>
      <c r="BO205" s="892" t="str">
        <f t="shared" si="125"/>
        <v>PP</v>
      </c>
      <c r="BP205" s="891" t="e">
        <f t="shared" si="126"/>
        <v>#NUM!</v>
      </c>
      <c r="BQ205" s="891" t="e">
        <f t="shared" si="127"/>
        <v>#NUM!</v>
      </c>
      <c r="BR205" s="891" t="e">
        <f t="shared" si="128"/>
        <v>#N/A</v>
      </c>
      <c r="BS205" s="891" t="e">
        <f t="shared" si="129"/>
        <v>#NUM!</v>
      </c>
      <c r="BU205" s="321">
        <f t="shared" si="152"/>
        <v>25</v>
      </c>
      <c r="BV205" s="889">
        <f t="shared" si="153"/>
        <v>740</v>
      </c>
      <c r="BW205" s="890" t="b">
        <f>IF($T$36="Fixed",$T$42,IF($T$36="Variable",VLOOKUP(BV205,'Financing Constants'!$A$8:$L$148,$BV$179)+$T$41/10000))</f>
        <v>0</v>
      </c>
      <c r="BX205" s="891" t="e">
        <f t="shared" si="154"/>
        <v>#NUM!</v>
      </c>
      <c r="BY205" s="892" t="str">
        <f t="shared" si="130"/>
        <v>PP</v>
      </c>
      <c r="BZ205" s="891" t="e">
        <f t="shared" si="131"/>
        <v>#NUM!</v>
      </c>
      <c r="CA205" s="891" t="e">
        <f t="shared" si="132"/>
        <v>#NUM!</v>
      </c>
      <c r="CB205" s="891" t="e">
        <f t="shared" si="133"/>
        <v>#N/A</v>
      </c>
      <c r="CC205" s="891" t="e">
        <f t="shared" si="134"/>
        <v>#NUM!</v>
      </c>
    </row>
    <row r="206" spans="23:81" x14ac:dyDescent="0.25">
      <c r="W206" s="427">
        <f t="shared" si="135"/>
        <v>26</v>
      </c>
      <c r="X206" s="884">
        <f t="shared" si="136"/>
        <v>770</v>
      </c>
      <c r="Y206" s="121" t="b">
        <f>IF($E$36="Fixed",$E$42,IF($E$36="Variable",VLOOKUP(X206,'Financing Constants'!$A$8:$L$148,$X$179)+$E$41/10000))</f>
        <v>0</v>
      </c>
      <c r="Z206" s="229" t="e">
        <f t="shared" si="137"/>
        <v>#N/A</v>
      </c>
      <c r="AA206" s="888" t="str">
        <f t="shared" si="138"/>
        <v>PP</v>
      </c>
      <c r="AB206" s="229" t="e">
        <f t="shared" si="139"/>
        <v>#N/A</v>
      </c>
      <c r="AC206" s="229" t="e">
        <f t="shared" si="107"/>
        <v>#N/A</v>
      </c>
      <c r="AD206" s="229" t="e">
        <f t="shared" si="108"/>
        <v>#N/A</v>
      </c>
      <c r="AE206" s="229" t="e">
        <f t="shared" si="109"/>
        <v>#N/A</v>
      </c>
      <c r="AG206" s="427">
        <f t="shared" si="140"/>
        <v>26</v>
      </c>
      <c r="AH206" s="884">
        <f t="shared" si="141"/>
        <v>770</v>
      </c>
      <c r="AI206" s="121" t="b">
        <f>IF($H$36="Fixed",$H$42,IF($H$36="Variable",VLOOKUP(AH206,'Financing Constants'!$A$8:$L$148,$AH$179)+$H$41/10000))</f>
        <v>0</v>
      </c>
      <c r="AJ206" s="229" t="e">
        <f t="shared" si="142"/>
        <v>#NUM!</v>
      </c>
      <c r="AK206" s="888" t="str">
        <f t="shared" si="110"/>
        <v>PP</v>
      </c>
      <c r="AL206" s="229" t="e">
        <f t="shared" si="111"/>
        <v>#NUM!</v>
      </c>
      <c r="AM206" s="229" t="e">
        <f t="shared" si="112"/>
        <v>#NUM!</v>
      </c>
      <c r="AN206" s="229" t="e">
        <f t="shared" si="113"/>
        <v>#N/A</v>
      </c>
      <c r="AO206" s="229" t="e">
        <f t="shared" si="114"/>
        <v>#NUM!</v>
      </c>
      <c r="AQ206" s="427">
        <f t="shared" si="143"/>
        <v>26</v>
      </c>
      <c r="AR206" s="884">
        <f t="shared" si="144"/>
        <v>770</v>
      </c>
      <c r="AS206" s="121" t="b">
        <f>IF($K$36="Fixed",$K$42,IF($K$36="Variable",VLOOKUP(AR206,'Financing Constants'!$A$8:$L$148,$AR$179)+$K$41/10000))</f>
        <v>0</v>
      </c>
      <c r="AT206" s="229" t="e">
        <f t="shared" si="145"/>
        <v>#NUM!</v>
      </c>
      <c r="AU206" s="888" t="str">
        <f t="shared" si="115"/>
        <v>PP</v>
      </c>
      <c r="AV206" s="229" t="e">
        <f t="shared" si="116"/>
        <v>#NUM!</v>
      </c>
      <c r="AW206" s="229" t="e">
        <f t="shared" si="117"/>
        <v>#NUM!</v>
      </c>
      <c r="AX206" s="229" t="e">
        <f t="shared" si="118"/>
        <v>#N/A</v>
      </c>
      <c r="AY206" s="229" t="e">
        <f t="shared" si="119"/>
        <v>#NUM!</v>
      </c>
      <c r="BA206" s="427">
        <f t="shared" si="146"/>
        <v>26</v>
      </c>
      <c r="BB206" s="884">
        <f t="shared" si="147"/>
        <v>770</v>
      </c>
      <c r="BC206" s="121" t="b">
        <f>IF($N$36="Fixed",$N$42,IF($N$36="Variable",VLOOKUP(BB206,'Financing Constants'!$A$8:$L$148,$BB$179)+$N$41/10000))</f>
        <v>0</v>
      </c>
      <c r="BD206" s="229" t="e">
        <f t="shared" si="148"/>
        <v>#NUM!</v>
      </c>
      <c r="BE206" s="888" t="str">
        <f t="shared" si="120"/>
        <v>PP</v>
      </c>
      <c r="BF206" s="229" t="e">
        <f t="shared" si="121"/>
        <v>#NUM!</v>
      </c>
      <c r="BG206" s="229" t="e">
        <f t="shared" si="122"/>
        <v>#NUM!</v>
      </c>
      <c r="BH206" s="229" t="e">
        <f t="shared" si="123"/>
        <v>#N/A</v>
      </c>
      <c r="BI206" s="229" t="e">
        <f t="shared" si="124"/>
        <v>#NUM!</v>
      </c>
      <c r="BK206" s="427">
        <f t="shared" si="149"/>
        <v>26</v>
      </c>
      <c r="BL206" s="884">
        <f t="shared" si="150"/>
        <v>770</v>
      </c>
      <c r="BM206" s="121" t="b">
        <f>IF($Q$36="Fixed",$Q$42,IF($Q$36="Variable",VLOOKUP(BL206,'Financing Constants'!$A$8:$L$148,$BL$179)+$Q$41/10000))</f>
        <v>0</v>
      </c>
      <c r="BN206" s="229" t="e">
        <f t="shared" si="151"/>
        <v>#NUM!</v>
      </c>
      <c r="BO206" s="888" t="str">
        <f t="shared" si="125"/>
        <v>PP</v>
      </c>
      <c r="BP206" s="229" t="e">
        <f t="shared" si="126"/>
        <v>#NUM!</v>
      </c>
      <c r="BQ206" s="229" t="e">
        <f t="shared" si="127"/>
        <v>#NUM!</v>
      </c>
      <c r="BR206" s="229" t="e">
        <f t="shared" si="128"/>
        <v>#N/A</v>
      </c>
      <c r="BS206" s="229" t="e">
        <f t="shared" si="129"/>
        <v>#NUM!</v>
      </c>
      <c r="BU206" s="427">
        <f t="shared" si="152"/>
        <v>26</v>
      </c>
      <c r="BV206" s="884">
        <f t="shared" si="153"/>
        <v>770</v>
      </c>
      <c r="BW206" s="121" t="b">
        <f>IF($T$36="Fixed",$T$42,IF($T$36="Variable",VLOOKUP(BV206,'Financing Constants'!$A$8:$L$148,$BV$179)+$T$41/10000))</f>
        <v>0</v>
      </c>
      <c r="BX206" s="229" t="e">
        <f t="shared" si="154"/>
        <v>#NUM!</v>
      </c>
      <c r="BY206" s="888" t="str">
        <f t="shared" si="130"/>
        <v>PP</v>
      </c>
      <c r="BZ206" s="229" t="e">
        <f t="shared" si="131"/>
        <v>#NUM!</v>
      </c>
      <c r="CA206" s="229" t="e">
        <f t="shared" si="132"/>
        <v>#NUM!</v>
      </c>
      <c r="CB206" s="229" t="e">
        <f t="shared" si="133"/>
        <v>#N/A</v>
      </c>
      <c r="CC206" s="229" t="e">
        <f t="shared" si="134"/>
        <v>#NUM!</v>
      </c>
    </row>
    <row r="207" spans="23:81" x14ac:dyDescent="0.25">
      <c r="W207" s="427">
        <f t="shared" si="135"/>
        <v>27</v>
      </c>
      <c r="X207" s="884">
        <f t="shared" si="136"/>
        <v>800</v>
      </c>
      <c r="Y207" s="121" t="b">
        <f>IF($E$36="Fixed",$E$42,IF($E$36="Variable",VLOOKUP(X207,'Financing Constants'!$A$8:$L$148,$X$179)+$E$41/10000))</f>
        <v>0</v>
      </c>
      <c r="Z207" s="229" t="e">
        <f t="shared" si="137"/>
        <v>#N/A</v>
      </c>
      <c r="AA207" s="888" t="str">
        <f t="shared" si="138"/>
        <v>PP</v>
      </c>
      <c r="AB207" s="229" t="e">
        <f t="shared" si="139"/>
        <v>#N/A</v>
      </c>
      <c r="AC207" s="229" t="e">
        <f t="shared" si="107"/>
        <v>#N/A</v>
      </c>
      <c r="AD207" s="229" t="e">
        <f t="shared" si="108"/>
        <v>#N/A</v>
      </c>
      <c r="AE207" s="229" t="e">
        <f t="shared" si="109"/>
        <v>#N/A</v>
      </c>
      <c r="AG207" s="427">
        <f t="shared" si="140"/>
        <v>27</v>
      </c>
      <c r="AH207" s="884">
        <f t="shared" si="141"/>
        <v>800</v>
      </c>
      <c r="AI207" s="121" t="b">
        <f>IF($H$36="Fixed",$H$42,IF($H$36="Variable",VLOOKUP(AH207,'Financing Constants'!$A$8:$L$148,$AH$179)+$H$41/10000))</f>
        <v>0</v>
      </c>
      <c r="AJ207" s="229" t="e">
        <f t="shared" si="142"/>
        <v>#NUM!</v>
      </c>
      <c r="AK207" s="888" t="str">
        <f t="shared" si="110"/>
        <v>PP</v>
      </c>
      <c r="AL207" s="229" t="e">
        <f t="shared" si="111"/>
        <v>#NUM!</v>
      </c>
      <c r="AM207" s="229" t="e">
        <f t="shared" si="112"/>
        <v>#NUM!</v>
      </c>
      <c r="AN207" s="229" t="e">
        <f t="shared" si="113"/>
        <v>#N/A</v>
      </c>
      <c r="AO207" s="229" t="e">
        <f t="shared" si="114"/>
        <v>#NUM!</v>
      </c>
      <c r="AQ207" s="427">
        <f t="shared" si="143"/>
        <v>27</v>
      </c>
      <c r="AR207" s="884">
        <f t="shared" si="144"/>
        <v>800</v>
      </c>
      <c r="AS207" s="121" t="b">
        <f>IF($K$36="Fixed",$K$42,IF($K$36="Variable",VLOOKUP(AR207,'Financing Constants'!$A$8:$L$148,$AR$179)+$K$41/10000))</f>
        <v>0</v>
      </c>
      <c r="AT207" s="229" t="e">
        <f t="shared" si="145"/>
        <v>#NUM!</v>
      </c>
      <c r="AU207" s="888" t="str">
        <f t="shared" si="115"/>
        <v>PP</v>
      </c>
      <c r="AV207" s="229" t="e">
        <f t="shared" si="116"/>
        <v>#NUM!</v>
      </c>
      <c r="AW207" s="229" t="e">
        <f t="shared" si="117"/>
        <v>#NUM!</v>
      </c>
      <c r="AX207" s="229" t="e">
        <f t="shared" si="118"/>
        <v>#N/A</v>
      </c>
      <c r="AY207" s="229" t="e">
        <f t="shared" si="119"/>
        <v>#NUM!</v>
      </c>
      <c r="BA207" s="427">
        <f t="shared" si="146"/>
        <v>27</v>
      </c>
      <c r="BB207" s="884">
        <f t="shared" si="147"/>
        <v>800</v>
      </c>
      <c r="BC207" s="121" t="b">
        <f>IF($N$36="Fixed",$N$42,IF($N$36="Variable",VLOOKUP(BB207,'Financing Constants'!$A$8:$L$148,$BB$179)+$N$41/10000))</f>
        <v>0</v>
      </c>
      <c r="BD207" s="229" t="e">
        <f t="shared" si="148"/>
        <v>#NUM!</v>
      </c>
      <c r="BE207" s="888" t="str">
        <f t="shared" si="120"/>
        <v>PP</v>
      </c>
      <c r="BF207" s="229" t="e">
        <f t="shared" si="121"/>
        <v>#NUM!</v>
      </c>
      <c r="BG207" s="229" t="e">
        <f t="shared" si="122"/>
        <v>#NUM!</v>
      </c>
      <c r="BH207" s="229" t="e">
        <f t="shared" si="123"/>
        <v>#N/A</v>
      </c>
      <c r="BI207" s="229" t="e">
        <f t="shared" si="124"/>
        <v>#NUM!</v>
      </c>
      <c r="BK207" s="427">
        <f t="shared" si="149"/>
        <v>27</v>
      </c>
      <c r="BL207" s="884">
        <f t="shared" si="150"/>
        <v>800</v>
      </c>
      <c r="BM207" s="121" t="b">
        <f>IF($Q$36="Fixed",$Q$42,IF($Q$36="Variable",VLOOKUP(BL207,'Financing Constants'!$A$8:$L$148,$BL$179)+$Q$41/10000))</f>
        <v>0</v>
      </c>
      <c r="BN207" s="229" t="e">
        <f t="shared" si="151"/>
        <v>#NUM!</v>
      </c>
      <c r="BO207" s="888" t="str">
        <f t="shared" si="125"/>
        <v>PP</v>
      </c>
      <c r="BP207" s="229" t="e">
        <f t="shared" si="126"/>
        <v>#NUM!</v>
      </c>
      <c r="BQ207" s="229" t="e">
        <f t="shared" si="127"/>
        <v>#NUM!</v>
      </c>
      <c r="BR207" s="229" t="e">
        <f t="shared" si="128"/>
        <v>#N/A</v>
      </c>
      <c r="BS207" s="229" t="e">
        <f t="shared" si="129"/>
        <v>#NUM!</v>
      </c>
      <c r="BU207" s="427">
        <f t="shared" si="152"/>
        <v>27</v>
      </c>
      <c r="BV207" s="884">
        <f t="shared" si="153"/>
        <v>800</v>
      </c>
      <c r="BW207" s="121" t="b">
        <f>IF($T$36="Fixed",$T$42,IF($T$36="Variable",VLOOKUP(BV207,'Financing Constants'!$A$8:$L$148,$BV$179)+$T$41/10000))</f>
        <v>0</v>
      </c>
      <c r="BX207" s="229" t="e">
        <f t="shared" si="154"/>
        <v>#NUM!</v>
      </c>
      <c r="BY207" s="888" t="str">
        <f t="shared" si="130"/>
        <v>PP</v>
      </c>
      <c r="BZ207" s="229" t="e">
        <f t="shared" si="131"/>
        <v>#NUM!</v>
      </c>
      <c r="CA207" s="229" t="e">
        <f t="shared" si="132"/>
        <v>#NUM!</v>
      </c>
      <c r="CB207" s="229" t="e">
        <f t="shared" si="133"/>
        <v>#N/A</v>
      </c>
      <c r="CC207" s="229" t="e">
        <f t="shared" si="134"/>
        <v>#NUM!</v>
      </c>
    </row>
    <row r="208" spans="23:81" x14ac:dyDescent="0.25">
      <c r="W208" s="427">
        <f t="shared" si="135"/>
        <v>28</v>
      </c>
      <c r="X208" s="884">
        <f t="shared" si="136"/>
        <v>830</v>
      </c>
      <c r="Y208" s="121" t="b">
        <f>IF($E$36="Fixed",$E$42,IF($E$36="Variable",VLOOKUP(X208,'Financing Constants'!$A$8:$L$148,$X$179)+$E$41/10000))</f>
        <v>0</v>
      </c>
      <c r="Z208" s="229" t="e">
        <f t="shared" si="137"/>
        <v>#N/A</v>
      </c>
      <c r="AA208" s="888" t="str">
        <f t="shared" si="138"/>
        <v>PP</v>
      </c>
      <c r="AB208" s="229" t="e">
        <f t="shared" si="139"/>
        <v>#N/A</v>
      </c>
      <c r="AC208" s="229" t="e">
        <f t="shared" si="107"/>
        <v>#N/A</v>
      </c>
      <c r="AD208" s="229" t="e">
        <f t="shared" si="108"/>
        <v>#N/A</v>
      </c>
      <c r="AE208" s="229" t="e">
        <f t="shared" si="109"/>
        <v>#N/A</v>
      </c>
      <c r="AG208" s="427">
        <f t="shared" si="140"/>
        <v>28</v>
      </c>
      <c r="AH208" s="884">
        <f t="shared" si="141"/>
        <v>830</v>
      </c>
      <c r="AI208" s="121" t="b">
        <f>IF($H$36="Fixed",$H$42,IF($H$36="Variable",VLOOKUP(AH208,'Financing Constants'!$A$8:$L$148,$AH$179)+$H$41/10000))</f>
        <v>0</v>
      </c>
      <c r="AJ208" s="229" t="e">
        <f t="shared" si="142"/>
        <v>#NUM!</v>
      </c>
      <c r="AK208" s="888" t="str">
        <f t="shared" si="110"/>
        <v>PP</v>
      </c>
      <c r="AL208" s="229" t="e">
        <f t="shared" si="111"/>
        <v>#NUM!</v>
      </c>
      <c r="AM208" s="229" t="e">
        <f t="shared" si="112"/>
        <v>#NUM!</v>
      </c>
      <c r="AN208" s="229" t="e">
        <f t="shared" si="113"/>
        <v>#N/A</v>
      </c>
      <c r="AO208" s="229" t="e">
        <f t="shared" si="114"/>
        <v>#NUM!</v>
      </c>
      <c r="AQ208" s="427">
        <f t="shared" si="143"/>
        <v>28</v>
      </c>
      <c r="AR208" s="884">
        <f t="shared" si="144"/>
        <v>830</v>
      </c>
      <c r="AS208" s="121" t="b">
        <f>IF($K$36="Fixed",$K$42,IF($K$36="Variable",VLOOKUP(AR208,'Financing Constants'!$A$8:$L$148,$AR$179)+$K$41/10000))</f>
        <v>0</v>
      </c>
      <c r="AT208" s="229" t="e">
        <f t="shared" si="145"/>
        <v>#NUM!</v>
      </c>
      <c r="AU208" s="888" t="str">
        <f t="shared" si="115"/>
        <v>PP</v>
      </c>
      <c r="AV208" s="229" t="e">
        <f t="shared" si="116"/>
        <v>#NUM!</v>
      </c>
      <c r="AW208" s="229" t="e">
        <f t="shared" si="117"/>
        <v>#NUM!</v>
      </c>
      <c r="AX208" s="229" t="e">
        <f t="shared" si="118"/>
        <v>#N/A</v>
      </c>
      <c r="AY208" s="229" t="e">
        <f t="shared" si="119"/>
        <v>#NUM!</v>
      </c>
      <c r="BA208" s="427">
        <f t="shared" si="146"/>
        <v>28</v>
      </c>
      <c r="BB208" s="884">
        <f t="shared" si="147"/>
        <v>830</v>
      </c>
      <c r="BC208" s="121" t="b">
        <f>IF($N$36="Fixed",$N$42,IF($N$36="Variable",VLOOKUP(BB208,'Financing Constants'!$A$8:$L$148,$BB$179)+$N$41/10000))</f>
        <v>0</v>
      </c>
      <c r="BD208" s="229" t="e">
        <f t="shared" si="148"/>
        <v>#NUM!</v>
      </c>
      <c r="BE208" s="888" t="str">
        <f t="shared" si="120"/>
        <v>PP</v>
      </c>
      <c r="BF208" s="229" t="e">
        <f t="shared" si="121"/>
        <v>#NUM!</v>
      </c>
      <c r="BG208" s="229" t="e">
        <f t="shared" si="122"/>
        <v>#NUM!</v>
      </c>
      <c r="BH208" s="229" t="e">
        <f t="shared" si="123"/>
        <v>#N/A</v>
      </c>
      <c r="BI208" s="229" t="e">
        <f t="shared" si="124"/>
        <v>#NUM!</v>
      </c>
      <c r="BK208" s="427">
        <f t="shared" si="149"/>
        <v>28</v>
      </c>
      <c r="BL208" s="884">
        <f t="shared" si="150"/>
        <v>830</v>
      </c>
      <c r="BM208" s="121" t="b">
        <f>IF($Q$36="Fixed",$Q$42,IF($Q$36="Variable",VLOOKUP(BL208,'Financing Constants'!$A$8:$L$148,$BL$179)+$Q$41/10000))</f>
        <v>0</v>
      </c>
      <c r="BN208" s="229" t="e">
        <f t="shared" si="151"/>
        <v>#NUM!</v>
      </c>
      <c r="BO208" s="888" t="str">
        <f t="shared" si="125"/>
        <v>PP</v>
      </c>
      <c r="BP208" s="229" t="e">
        <f t="shared" si="126"/>
        <v>#NUM!</v>
      </c>
      <c r="BQ208" s="229" t="e">
        <f t="shared" si="127"/>
        <v>#NUM!</v>
      </c>
      <c r="BR208" s="229" t="e">
        <f t="shared" si="128"/>
        <v>#N/A</v>
      </c>
      <c r="BS208" s="229" t="e">
        <f t="shared" si="129"/>
        <v>#NUM!</v>
      </c>
      <c r="BU208" s="427">
        <f t="shared" si="152"/>
        <v>28</v>
      </c>
      <c r="BV208" s="884">
        <f t="shared" si="153"/>
        <v>830</v>
      </c>
      <c r="BW208" s="121" t="b">
        <f>IF($T$36="Fixed",$T$42,IF($T$36="Variable",VLOOKUP(BV208,'Financing Constants'!$A$8:$L$148,$BV$179)+$T$41/10000))</f>
        <v>0</v>
      </c>
      <c r="BX208" s="229" t="e">
        <f t="shared" si="154"/>
        <v>#NUM!</v>
      </c>
      <c r="BY208" s="888" t="str">
        <f t="shared" si="130"/>
        <v>PP</v>
      </c>
      <c r="BZ208" s="229" t="e">
        <f t="shared" si="131"/>
        <v>#NUM!</v>
      </c>
      <c r="CA208" s="229" t="e">
        <f t="shared" si="132"/>
        <v>#NUM!</v>
      </c>
      <c r="CB208" s="229" t="e">
        <f t="shared" si="133"/>
        <v>#N/A</v>
      </c>
      <c r="CC208" s="229" t="e">
        <f t="shared" si="134"/>
        <v>#NUM!</v>
      </c>
    </row>
    <row r="209" spans="23:81" x14ac:dyDescent="0.25">
      <c r="W209" s="427">
        <f t="shared" si="135"/>
        <v>29</v>
      </c>
      <c r="X209" s="884">
        <f t="shared" si="136"/>
        <v>860</v>
      </c>
      <c r="Y209" s="121" t="b">
        <f>IF($E$36="Fixed",$E$42,IF($E$36="Variable",VLOOKUP(X209,'Financing Constants'!$A$8:$L$148,$X$179)+$E$41/10000))</f>
        <v>0</v>
      </c>
      <c r="Z209" s="229" t="e">
        <f t="shared" si="137"/>
        <v>#N/A</v>
      </c>
      <c r="AA209" s="888" t="str">
        <f t="shared" si="138"/>
        <v>PP</v>
      </c>
      <c r="AB209" s="229" t="e">
        <f t="shared" si="139"/>
        <v>#N/A</v>
      </c>
      <c r="AC209" s="229" t="e">
        <f t="shared" si="107"/>
        <v>#N/A</v>
      </c>
      <c r="AD209" s="229" t="e">
        <f t="shared" si="108"/>
        <v>#N/A</v>
      </c>
      <c r="AE209" s="229" t="e">
        <f t="shared" si="109"/>
        <v>#N/A</v>
      </c>
      <c r="AG209" s="427">
        <f t="shared" si="140"/>
        <v>29</v>
      </c>
      <c r="AH209" s="884">
        <f t="shared" si="141"/>
        <v>860</v>
      </c>
      <c r="AI209" s="121" t="b">
        <f>IF($H$36="Fixed",$H$42,IF($H$36="Variable",VLOOKUP(AH209,'Financing Constants'!$A$8:$L$148,$AH$179)+$H$41/10000))</f>
        <v>0</v>
      </c>
      <c r="AJ209" s="229" t="e">
        <f t="shared" si="142"/>
        <v>#NUM!</v>
      </c>
      <c r="AK209" s="888" t="str">
        <f t="shared" si="110"/>
        <v>PP</v>
      </c>
      <c r="AL209" s="229" t="e">
        <f t="shared" si="111"/>
        <v>#NUM!</v>
      </c>
      <c r="AM209" s="229" t="e">
        <f t="shared" si="112"/>
        <v>#NUM!</v>
      </c>
      <c r="AN209" s="229" t="e">
        <f t="shared" si="113"/>
        <v>#N/A</v>
      </c>
      <c r="AO209" s="229" t="e">
        <f t="shared" si="114"/>
        <v>#NUM!</v>
      </c>
      <c r="AQ209" s="427">
        <f t="shared" si="143"/>
        <v>29</v>
      </c>
      <c r="AR209" s="884">
        <f t="shared" si="144"/>
        <v>860</v>
      </c>
      <c r="AS209" s="121" t="b">
        <f>IF($K$36="Fixed",$K$42,IF($K$36="Variable",VLOOKUP(AR209,'Financing Constants'!$A$8:$L$148,$AR$179)+$K$41/10000))</f>
        <v>0</v>
      </c>
      <c r="AT209" s="229" t="e">
        <f t="shared" si="145"/>
        <v>#NUM!</v>
      </c>
      <c r="AU209" s="888" t="str">
        <f t="shared" si="115"/>
        <v>PP</v>
      </c>
      <c r="AV209" s="229" t="e">
        <f t="shared" si="116"/>
        <v>#NUM!</v>
      </c>
      <c r="AW209" s="229" t="e">
        <f t="shared" si="117"/>
        <v>#NUM!</v>
      </c>
      <c r="AX209" s="229" t="e">
        <f t="shared" si="118"/>
        <v>#N/A</v>
      </c>
      <c r="AY209" s="229" t="e">
        <f t="shared" si="119"/>
        <v>#NUM!</v>
      </c>
      <c r="BA209" s="427">
        <f t="shared" si="146"/>
        <v>29</v>
      </c>
      <c r="BB209" s="884">
        <f t="shared" si="147"/>
        <v>860</v>
      </c>
      <c r="BC209" s="121" t="b">
        <f>IF($N$36="Fixed",$N$42,IF($N$36="Variable",VLOOKUP(BB209,'Financing Constants'!$A$8:$L$148,$BB$179)+$N$41/10000))</f>
        <v>0</v>
      </c>
      <c r="BD209" s="229" t="e">
        <f t="shared" si="148"/>
        <v>#NUM!</v>
      </c>
      <c r="BE209" s="888" t="str">
        <f t="shared" si="120"/>
        <v>PP</v>
      </c>
      <c r="BF209" s="229" t="e">
        <f t="shared" si="121"/>
        <v>#NUM!</v>
      </c>
      <c r="BG209" s="229" t="e">
        <f t="shared" si="122"/>
        <v>#NUM!</v>
      </c>
      <c r="BH209" s="229" t="e">
        <f t="shared" si="123"/>
        <v>#N/A</v>
      </c>
      <c r="BI209" s="229" t="e">
        <f t="shared" si="124"/>
        <v>#NUM!</v>
      </c>
      <c r="BK209" s="427">
        <f t="shared" si="149"/>
        <v>29</v>
      </c>
      <c r="BL209" s="884">
        <f t="shared" si="150"/>
        <v>860</v>
      </c>
      <c r="BM209" s="121" t="b">
        <f>IF($Q$36="Fixed",$Q$42,IF($Q$36="Variable",VLOOKUP(BL209,'Financing Constants'!$A$8:$L$148,$BL$179)+$Q$41/10000))</f>
        <v>0</v>
      </c>
      <c r="BN209" s="229" t="e">
        <f t="shared" si="151"/>
        <v>#NUM!</v>
      </c>
      <c r="BO209" s="888" t="str">
        <f t="shared" si="125"/>
        <v>PP</v>
      </c>
      <c r="BP209" s="229" t="e">
        <f t="shared" si="126"/>
        <v>#NUM!</v>
      </c>
      <c r="BQ209" s="229" t="e">
        <f t="shared" si="127"/>
        <v>#NUM!</v>
      </c>
      <c r="BR209" s="229" t="e">
        <f t="shared" si="128"/>
        <v>#N/A</v>
      </c>
      <c r="BS209" s="229" t="e">
        <f t="shared" si="129"/>
        <v>#NUM!</v>
      </c>
      <c r="BU209" s="427">
        <f t="shared" si="152"/>
        <v>29</v>
      </c>
      <c r="BV209" s="884">
        <f t="shared" si="153"/>
        <v>860</v>
      </c>
      <c r="BW209" s="121" t="b">
        <f>IF($T$36="Fixed",$T$42,IF($T$36="Variable",VLOOKUP(BV209,'Financing Constants'!$A$8:$L$148,$BV$179)+$T$41/10000))</f>
        <v>0</v>
      </c>
      <c r="BX209" s="229" t="e">
        <f t="shared" si="154"/>
        <v>#NUM!</v>
      </c>
      <c r="BY209" s="888" t="str">
        <f t="shared" si="130"/>
        <v>PP</v>
      </c>
      <c r="BZ209" s="229" t="e">
        <f t="shared" si="131"/>
        <v>#NUM!</v>
      </c>
      <c r="CA209" s="229" t="e">
        <f t="shared" si="132"/>
        <v>#NUM!</v>
      </c>
      <c r="CB209" s="229" t="e">
        <f t="shared" si="133"/>
        <v>#N/A</v>
      </c>
      <c r="CC209" s="229" t="e">
        <f t="shared" si="134"/>
        <v>#NUM!</v>
      </c>
    </row>
    <row r="210" spans="23:81" x14ac:dyDescent="0.25">
      <c r="W210" s="427">
        <f t="shared" si="135"/>
        <v>30</v>
      </c>
      <c r="X210" s="884">
        <f t="shared" si="136"/>
        <v>890</v>
      </c>
      <c r="Y210" s="121" t="b">
        <f>IF($E$36="Fixed",$E$42,IF($E$36="Variable",VLOOKUP(X210,'Financing Constants'!$A$8:$L$148,$X$179)+$E$41/10000))</f>
        <v>0</v>
      </c>
      <c r="Z210" s="229" t="e">
        <f t="shared" si="137"/>
        <v>#N/A</v>
      </c>
      <c r="AA210" s="888" t="str">
        <f t="shared" si="138"/>
        <v>PP</v>
      </c>
      <c r="AB210" s="229" t="e">
        <f t="shared" si="139"/>
        <v>#N/A</v>
      </c>
      <c r="AC210" s="229" t="e">
        <f t="shared" si="107"/>
        <v>#N/A</v>
      </c>
      <c r="AD210" s="229" t="e">
        <f t="shared" si="108"/>
        <v>#N/A</v>
      </c>
      <c r="AE210" s="229" t="e">
        <f t="shared" si="109"/>
        <v>#N/A</v>
      </c>
      <c r="AG210" s="427">
        <f t="shared" si="140"/>
        <v>30</v>
      </c>
      <c r="AH210" s="884">
        <f t="shared" si="141"/>
        <v>890</v>
      </c>
      <c r="AI210" s="121" t="b">
        <f>IF($H$36="Fixed",$H$42,IF($H$36="Variable",VLOOKUP(AH210,'Financing Constants'!$A$8:$L$148,$AH$179)+$H$41/10000))</f>
        <v>0</v>
      </c>
      <c r="AJ210" s="229" t="e">
        <f t="shared" si="142"/>
        <v>#NUM!</v>
      </c>
      <c r="AK210" s="888" t="str">
        <f t="shared" si="110"/>
        <v>PP</v>
      </c>
      <c r="AL210" s="229" t="e">
        <f t="shared" si="111"/>
        <v>#NUM!</v>
      </c>
      <c r="AM210" s="229" t="e">
        <f t="shared" si="112"/>
        <v>#NUM!</v>
      </c>
      <c r="AN210" s="229" t="e">
        <f t="shared" si="113"/>
        <v>#N/A</v>
      </c>
      <c r="AO210" s="229" t="e">
        <f t="shared" si="114"/>
        <v>#NUM!</v>
      </c>
      <c r="AQ210" s="427">
        <f t="shared" si="143"/>
        <v>30</v>
      </c>
      <c r="AR210" s="884">
        <f t="shared" si="144"/>
        <v>890</v>
      </c>
      <c r="AS210" s="121" t="b">
        <f>IF($K$36="Fixed",$K$42,IF($K$36="Variable",VLOOKUP(AR210,'Financing Constants'!$A$8:$L$148,$AR$179)+$K$41/10000))</f>
        <v>0</v>
      </c>
      <c r="AT210" s="229" t="e">
        <f t="shared" si="145"/>
        <v>#NUM!</v>
      </c>
      <c r="AU210" s="888" t="str">
        <f t="shared" si="115"/>
        <v>PP</v>
      </c>
      <c r="AV210" s="229" t="e">
        <f t="shared" si="116"/>
        <v>#NUM!</v>
      </c>
      <c r="AW210" s="229" t="e">
        <f t="shared" si="117"/>
        <v>#NUM!</v>
      </c>
      <c r="AX210" s="229" t="e">
        <f t="shared" si="118"/>
        <v>#N/A</v>
      </c>
      <c r="AY210" s="229" t="e">
        <f t="shared" si="119"/>
        <v>#NUM!</v>
      </c>
      <c r="BA210" s="427">
        <f t="shared" si="146"/>
        <v>30</v>
      </c>
      <c r="BB210" s="884">
        <f t="shared" si="147"/>
        <v>890</v>
      </c>
      <c r="BC210" s="121" t="b">
        <f>IF($N$36="Fixed",$N$42,IF($N$36="Variable",VLOOKUP(BB210,'Financing Constants'!$A$8:$L$148,$BB$179)+$N$41/10000))</f>
        <v>0</v>
      </c>
      <c r="BD210" s="229" t="e">
        <f t="shared" si="148"/>
        <v>#NUM!</v>
      </c>
      <c r="BE210" s="888" t="str">
        <f t="shared" si="120"/>
        <v>PP</v>
      </c>
      <c r="BF210" s="229" t="e">
        <f t="shared" si="121"/>
        <v>#NUM!</v>
      </c>
      <c r="BG210" s="229" t="e">
        <f t="shared" si="122"/>
        <v>#NUM!</v>
      </c>
      <c r="BH210" s="229" t="e">
        <f t="shared" si="123"/>
        <v>#N/A</v>
      </c>
      <c r="BI210" s="229" t="e">
        <f t="shared" si="124"/>
        <v>#NUM!</v>
      </c>
      <c r="BK210" s="427">
        <f t="shared" si="149"/>
        <v>30</v>
      </c>
      <c r="BL210" s="884">
        <f t="shared" si="150"/>
        <v>890</v>
      </c>
      <c r="BM210" s="121" t="b">
        <f>IF($Q$36="Fixed",$Q$42,IF($Q$36="Variable",VLOOKUP(BL210,'Financing Constants'!$A$8:$L$148,$BL$179)+$Q$41/10000))</f>
        <v>0</v>
      </c>
      <c r="BN210" s="229" t="e">
        <f t="shared" si="151"/>
        <v>#NUM!</v>
      </c>
      <c r="BO210" s="888" t="str">
        <f t="shared" si="125"/>
        <v>PP</v>
      </c>
      <c r="BP210" s="229" t="e">
        <f t="shared" si="126"/>
        <v>#NUM!</v>
      </c>
      <c r="BQ210" s="229" t="e">
        <f t="shared" si="127"/>
        <v>#NUM!</v>
      </c>
      <c r="BR210" s="229" t="e">
        <f t="shared" si="128"/>
        <v>#N/A</v>
      </c>
      <c r="BS210" s="229" t="e">
        <f t="shared" si="129"/>
        <v>#NUM!</v>
      </c>
      <c r="BU210" s="427">
        <f t="shared" si="152"/>
        <v>30</v>
      </c>
      <c r="BV210" s="884">
        <f t="shared" si="153"/>
        <v>890</v>
      </c>
      <c r="BW210" s="121" t="b">
        <f>IF($T$36="Fixed",$T$42,IF($T$36="Variable",VLOOKUP(BV210,'Financing Constants'!$A$8:$L$148,$BV$179)+$T$41/10000))</f>
        <v>0</v>
      </c>
      <c r="BX210" s="229" t="e">
        <f t="shared" si="154"/>
        <v>#NUM!</v>
      </c>
      <c r="BY210" s="888" t="str">
        <f t="shared" si="130"/>
        <v>PP</v>
      </c>
      <c r="BZ210" s="229" t="e">
        <f t="shared" si="131"/>
        <v>#NUM!</v>
      </c>
      <c r="CA210" s="229" t="e">
        <f t="shared" si="132"/>
        <v>#NUM!</v>
      </c>
      <c r="CB210" s="229" t="e">
        <f t="shared" si="133"/>
        <v>#N/A</v>
      </c>
      <c r="CC210" s="229" t="e">
        <f t="shared" si="134"/>
        <v>#NUM!</v>
      </c>
    </row>
    <row r="211" spans="23:81" x14ac:dyDescent="0.25">
      <c r="W211" s="427">
        <f t="shared" si="135"/>
        <v>31</v>
      </c>
      <c r="X211" s="884">
        <f t="shared" si="136"/>
        <v>920</v>
      </c>
      <c r="Y211" s="121" t="b">
        <f>IF($E$36="Fixed",$E$42,IF($E$36="Variable",VLOOKUP(X211,'Financing Constants'!$A$8:$L$148,$X$179)+$E$41/10000))</f>
        <v>0</v>
      </c>
      <c r="Z211" s="229" t="e">
        <f t="shared" si="137"/>
        <v>#N/A</v>
      </c>
      <c r="AA211" s="888" t="str">
        <f t="shared" si="138"/>
        <v>PP</v>
      </c>
      <c r="AB211" s="229" t="e">
        <f t="shared" si="139"/>
        <v>#N/A</v>
      </c>
      <c r="AC211" s="229" t="e">
        <f t="shared" si="107"/>
        <v>#N/A</v>
      </c>
      <c r="AD211" s="229" t="e">
        <f t="shared" si="108"/>
        <v>#N/A</v>
      </c>
      <c r="AE211" s="229" t="e">
        <f t="shared" si="109"/>
        <v>#N/A</v>
      </c>
      <c r="AG211" s="427">
        <f t="shared" si="140"/>
        <v>31</v>
      </c>
      <c r="AH211" s="884">
        <f t="shared" si="141"/>
        <v>920</v>
      </c>
      <c r="AI211" s="121" t="b">
        <f>IF($H$36="Fixed",$H$42,IF($H$36="Variable",VLOOKUP(AH211,'Financing Constants'!$A$8:$L$148,$AH$179)+$H$41/10000))</f>
        <v>0</v>
      </c>
      <c r="AJ211" s="229" t="e">
        <f t="shared" si="142"/>
        <v>#NUM!</v>
      </c>
      <c r="AK211" s="888" t="str">
        <f t="shared" si="110"/>
        <v>PP</v>
      </c>
      <c r="AL211" s="229" t="e">
        <f t="shared" si="111"/>
        <v>#NUM!</v>
      </c>
      <c r="AM211" s="229" t="e">
        <f t="shared" si="112"/>
        <v>#NUM!</v>
      </c>
      <c r="AN211" s="229" t="e">
        <f t="shared" si="113"/>
        <v>#N/A</v>
      </c>
      <c r="AO211" s="229" t="e">
        <f t="shared" si="114"/>
        <v>#NUM!</v>
      </c>
      <c r="AQ211" s="427">
        <f t="shared" si="143"/>
        <v>31</v>
      </c>
      <c r="AR211" s="884">
        <f t="shared" si="144"/>
        <v>920</v>
      </c>
      <c r="AS211" s="121" t="b">
        <f>IF($K$36="Fixed",$K$42,IF($K$36="Variable",VLOOKUP(AR211,'Financing Constants'!$A$8:$L$148,$AR$179)+$K$41/10000))</f>
        <v>0</v>
      </c>
      <c r="AT211" s="229" t="e">
        <f t="shared" si="145"/>
        <v>#NUM!</v>
      </c>
      <c r="AU211" s="888" t="str">
        <f t="shared" si="115"/>
        <v>PP</v>
      </c>
      <c r="AV211" s="229" t="e">
        <f t="shared" si="116"/>
        <v>#NUM!</v>
      </c>
      <c r="AW211" s="229" t="e">
        <f t="shared" si="117"/>
        <v>#NUM!</v>
      </c>
      <c r="AX211" s="229" t="e">
        <f t="shared" si="118"/>
        <v>#N/A</v>
      </c>
      <c r="AY211" s="229" t="e">
        <f t="shared" si="119"/>
        <v>#NUM!</v>
      </c>
      <c r="BA211" s="427">
        <f t="shared" si="146"/>
        <v>31</v>
      </c>
      <c r="BB211" s="884">
        <f t="shared" si="147"/>
        <v>920</v>
      </c>
      <c r="BC211" s="121" t="b">
        <f>IF($N$36="Fixed",$N$42,IF($N$36="Variable",VLOOKUP(BB211,'Financing Constants'!$A$8:$L$148,$BB$179)+$N$41/10000))</f>
        <v>0</v>
      </c>
      <c r="BD211" s="229" t="e">
        <f t="shared" si="148"/>
        <v>#NUM!</v>
      </c>
      <c r="BE211" s="888" t="str">
        <f t="shared" si="120"/>
        <v>PP</v>
      </c>
      <c r="BF211" s="229" t="e">
        <f t="shared" si="121"/>
        <v>#NUM!</v>
      </c>
      <c r="BG211" s="229" t="e">
        <f t="shared" si="122"/>
        <v>#NUM!</v>
      </c>
      <c r="BH211" s="229" t="e">
        <f t="shared" si="123"/>
        <v>#N/A</v>
      </c>
      <c r="BI211" s="229" t="e">
        <f t="shared" si="124"/>
        <v>#NUM!</v>
      </c>
      <c r="BK211" s="427">
        <f t="shared" si="149"/>
        <v>31</v>
      </c>
      <c r="BL211" s="884">
        <f t="shared" si="150"/>
        <v>920</v>
      </c>
      <c r="BM211" s="121" t="b">
        <f>IF($Q$36="Fixed",$Q$42,IF($Q$36="Variable",VLOOKUP(BL211,'Financing Constants'!$A$8:$L$148,$BL$179)+$Q$41/10000))</f>
        <v>0</v>
      </c>
      <c r="BN211" s="229" t="e">
        <f t="shared" si="151"/>
        <v>#NUM!</v>
      </c>
      <c r="BO211" s="888" t="str">
        <f t="shared" si="125"/>
        <v>PP</v>
      </c>
      <c r="BP211" s="229" t="e">
        <f t="shared" si="126"/>
        <v>#NUM!</v>
      </c>
      <c r="BQ211" s="229" t="e">
        <f t="shared" si="127"/>
        <v>#NUM!</v>
      </c>
      <c r="BR211" s="229" t="e">
        <f t="shared" si="128"/>
        <v>#N/A</v>
      </c>
      <c r="BS211" s="229" t="e">
        <f t="shared" si="129"/>
        <v>#NUM!</v>
      </c>
      <c r="BU211" s="427">
        <f t="shared" si="152"/>
        <v>31</v>
      </c>
      <c r="BV211" s="884">
        <f t="shared" si="153"/>
        <v>920</v>
      </c>
      <c r="BW211" s="121" t="b">
        <f>IF($T$36="Fixed",$T$42,IF($T$36="Variable",VLOOKUP(BV211,'Financing Constants'!$A$8:$L$148,$BV$179)+$T$41/10000))</f>
        <v>0</v>
      </c>
      <c r="BX211" s="229" t="e">
        <f t="shared" si="154"/>
        <v>#NUM!</v>
      </c>
      <c r="BY211" s="888" t="str">
        <f t="shared" si="130"/>
        <v>PP</v>
      </c>
      <c r="BZ211" s="229" t="e">
        <f t="shared" si="131"/>
        <v>#NUM!</v>
      </c>
      <c r="CA211" s="229" t="e">
        <f t="shared" si="132"/>
        <v>#NUM!</v>
      </c>
      <c r="CB211" s="229" t="e">
        <f t="shared" si="133"/>
        <v>#N/A</v>
      </c>
      <c r="CC211" s="229" t="e">
        <f t="shared" si="134"/>
        <v>#NUM!</v>
      </c>
    </row>
    <row r="212" spans="23:81" x14ac:dyDescent="0.25">
      <c r="W212" s="427">
        <f t="shared" si="135"/>
        <v>32</v>
      </c>
      <c r="X212" s="884">
        <f t="shared" si="136"/>
        <v>950</v>
      </c>
      <c r="Y212" s="121" t="b">
        <f>IF($E$36="Fixed",$E$42,IF($E$36="Variable",VLOOKUP(X212,'Financing Constants'!$A$8:$L$148,$X$179)+$E$41/10000))</f>
        <v>0</v>
      </c>
      <c r="Z212" s="229" t="e">
        <f t="shared" si="137"/>
        <v>#N/A</v>
      </c>
      <c r="AA212" s="888" t="str">
        <f t="shared" si="138"/>
        <v>PP</v>
      </c>
      <c r="AB212" s="229" t="e">
        <f t="shared" si="139"/>
        <v>#N/A</v>
      </c>
      <c r="AC212" s="229" t="e">
        <f t="shared" si="107"/>
        <v>#N/A</v>
      </c>
      <c r="AD212" s="229" t="e">
        <f t="shared" si="108"/>
        <v>#N/A</v>
      </c>
      <c r="AE212" s="229" t="e">
        <f t="shared" si="109"/>
        <v>#N/A</v>
      </c>
      <c r="AG212" s="427">
        <f t="shared" si="140"/>
        <v>32</v>
      </c>
      <c r="AH212" s="884">
        <f t="shared" si="141"/>
        <v>950</v>
      </c>
      <c r="AI212" s="121" t="b">
        <f>IF($H$36="Fixed",$H$42,IF($H$36="Variable",VLOOKUP(AH212,'Financing Constants'!$A$8:$L$148,$AH$179)+$H$41/10000))</f>
        <v>0</v>
      </c>
      <c r="AJ212" s="229" t="e">
        <f t="shared" si="142"/>
        <v>#NUM!</v>
      </c>
      <c r="AK212" s="888" t="str">
        <f t="shared" si="110"/>
        <v>PP</v>
      </c>
      <c r="AL212" s="229" t="e">
        <f t="shared" si="111"/>
        <v>#NUM!</v>
      </c>
      <c r="AM212" s="229" t="e">
        <f t="shared" si="112"/>
        <v>#NUM!</v>
      </c>
      <c r="AN212" s="229" t="e">
        <f t="shared" si="113"/>
        <v>#N/A</v>
      </c>
      <c r="AO212" s="229" t="e">
        <f t="shared" si="114"/>
        <v>#NUM!</v>
      </c>
      <c r="AQ212" s="427">
        <f t="shared" si="143"/>
        <v>32</v>
      </c>
      <c r="AR212" s="884">
        <f t="shared" si="144"/>
        <v>950</v>
      </c>
      <c r="AS212" s="121" t="b">
        <f>IF($K$36="Fixed",$K$42,IF($K$36="Variable",VLOOKUP(AR212,'Financing Constants'!$A$8:$L$148,$AR$179)+$K$41/10000))</f>
        <v>0</v>
      </c>
      <c r="AT212" s="229" t="e">
        <f t="shared" si="145"/>
        <v>#NUM!</v>
      </c>
      <c r="AU212" s="888" t="str">
        <f t="shared" si="115"/>
        <v>PP</v>
      </c>
      <c r="AV212" s="229" t="e">
        <f t="shared" si="116"/>
        <v>#NUM!</v>
      </c>
      <c r="AW212" s="229" t="e">
        <f t="shared" si="117"/>
        <v>#NUM!</v>
      </c>
      <c r="AX212" s="229" t="e">
        <f t="shared" si="118"/>
        <v>#N/A</v>
      </c>
      <c r="AY212" s="229" t="e">
        <f t="shared" si="119"/>
        <v>#NUM!</v>
      </c>
      <c r="BA212" s="427">
        <f t="shared" si="146"/>
        <v>32</v>
      </c>
      <c r="BB212" s="884">
        <f t="shared" si="147"/>
        <v>950</v>
      </c>
      <c r="BC212" s="121" t="b">
        <f>IF($N$36="Fixed",$N$42,IF($N$36="Variable",VLOOKUP(BB212,'Financing Constants'!$A$8:$L$148,$BB$179)+$N$41/10000))</f>
        <v>0</v>
      </c>
      <c r="BD212" s="229" t="e">
        <f t="shared" si="148"/>
        <v>#NUM!</v>
      </c>
      <c r="BE212" s="888" t="str">
        <f t="shared" si="120"/>
        <v>PP</v>
      </c>
      <c r="BF212" s="229" t="e">
        <f t="shared" si="121"/>
        <v>#NUM!</v>
      </c>
      <c r="BG212" s="229" t="e">
        <f t="shared" si="122"/>
        <v>#NUM!</v>
      </c>
      <c r="BH212" s="229" t="e">
        <f t="shared" si="123"/>
        <v>#N/A</v>
      </c>
      <c r="BI212" s="229" t="e">
        <f t="shared" si="124"/>
        <v>#NUM!</v>
      </c>
      <c r="BK212" s="427">
        <f t="shared" si="149"/>
        <v>32</v>
      </c>
      <c r="BL212" s="884">
        <f t="shared" si="150"/>
        <v>950</v>
      </c>
      <c r="BM212" s="121" t="b">
        <f>IF($Q$36="Fixed",$Q$42,IF($Q$36="Variable",VLOOKUP(BL212,'Financing Constants'!$A$8:$L$148,$BL$179)+$Q$41/10000))</f>
        <v>0</v>
      </c>
      <c r="BN212" s="229" t="e">
        <f t="shared" si="151"/>
        <v>#NUM!</v>
      </c>
      <c r="BO212" s="888" t="str">
        <f t="shared" si="125"/>
        <v>PP</v>
      </c>
      <c r="BP212" s="229" t="e">
        <f t="shared" si="126"/>
        <v>#NUM!</v>
      </c>
      <c r="BQ212" s="229" t="e">
        <f t="shared" si="127"/>
        <v>#NUM!</v>
      </c>
      <c r="BR212" s="229" t="e">
        <f t="shared" si="128"/>
        <v>#N/A</v>
      </c>
      <c r="BS212" s="229" t="e">
        <f t="shared" si="129"/>
        <v>#NUM!</v>
      </c>
      <c r="BU212" s="427">
        <f t="shared" si="152"/>
        <v>32</v>
      </c>
      <c r="BV212" s="884">
        <f t="shared" si="153"/>
        <v>950</v>
      </c>
      <c r="BW212" s="121" t="b">
        <f>IF($T$36="Fixed",$T$42,IF($T$36="Variable",VLOOKUP(BV212,'Financing Constants'!$A$8:$L$148,$BV$179)+$T$41/10000))</f>
        <v>0</v>
      </c>
      <c r="BX212" s="229" t="e">
        <f t="shared" si="154"/>
        <v>#NUM!</v>
      </c>
      <c r="BY212" s="888" t="str">
        <f t="shared" si="130"/>
        <v>PP</v>
      </c>
      <c r="BZ212" s="229" t="e">
        <f t="shared" si="131"/>
        <v>#NUM!</v>
      </c>
      <c r="CA212" s="229" t="e">
        <f t="shared" si="132"/>
        <v>#NUM!</v>
      </c>
      <c r="CB212" s="229" t="e">
        <f t="shared" si="133"/>
        <v>#N/A</v>
      </c>
      <c r="CC212" s="229" t="e">
        <f t="shared" si="134"/>
        <v>#NUM!</v>
      </c>
    </row>
    <row r="213" spans="23:81" x14ac:dyDescent="0.25">
      <c r="W213" s="427">
        <f t="shared" si="135"/>
        <v>33</v>
      </c>
      <c r="X213" s="884">
        <f t="shared" si="136"/>
        <v>980</v>
      </c>
      <c r="Y213" s="121" t="b">
        <f>IF($E$36="Fixed",$E$42,IF($E$36="Variable",VLOOKUP(X213,'Financing Constants'!$A$8:$L$148,$X$179)+$E$41/10000))</f>
        <v>0</v>
      </c>
      <c r="Z213" s="229" t="e">
        <f t="shared" si="137"/>
        <v>#N/A</v>
      </c>
      <c r="AA213" s="888" t="str">
        <f t="shared" si="138"/>
        <v>PP</v>
      </c>
      <c r="AB213" s="229" t="e">
        <f t="shared" si="139"/>
        <v>#N/A</v>
      </c>
      <c r="AC213" s="229" t="e">
        <f t="shared" ref="AC213:AC240" si="155">IF(AA213="IO",0,AB213-AD213)</f>
        <v>#N/A</v>
      </c>
      <c r="AD213" s="229" t="e">
        <f t="shared" ref="AD213:AD240" si="156">IF($X$179=1,IPMT(Y213/12,W213,$E$44*12,-$E$32),Z213*Y213/12)</f>
        <v>#N/A</v>
      </c>
      <c r="AE213" s="229" t="e">
        <f t="shared" ref="AE213:AE240" si="157">+Z213-AC213</f>
        <v>#N/A</v>
      </c>
      <c r="AG213" s="427">
        <f t="shared" si="140"/>
        <v>33</v>
      </c>
      <c r="AH213" s="884">
        <f t="shared" si="141"/>
        <v>980</v>
      </c>
      <c r="AI213" s="121" t="b">
        <f>IF($H$36="Fixed",$H$42,IF($H$36="Variable",VLOOKUP(AH213,'Financing Constants'!$A$8:$L$148,$AH$179)+$H$41/10000))</f>
        <v>0</v>
      </c>
      <c r="AJ213" s="229" t="e">
        <f t="shared" si="142"/>
        <v>#NUM!</v>
      </c>
      <c r="AK213" s="888" t="str">
        <f t="shared" ref="AK213:AK240" si="158">IF(AG213&lt;=$H$45,"IO","PP")</f>
        <v>PP</v>
      </c>
      <c r="AL213" s="229" t="e">
        <f t="shared" ref="AL213:AL240" si="159">IF(AK213="IO",AN213,PMT(AI213/12,$H$44*12-AG213+1,-AJ213))</f>
        <v>#NUM!</v>
      </c>
      <c r="AM213" s="229" t="e">
        <f t="shared" ref="AM213:AM240" si="160">IF(AK213="IO",0,AL213-AN213)</f>
        <v>#NUM!</v>
      </c>
      <c r="AN213" s="229" t="e">
        <f t="shared" ref="AN213:AN240" si="161">IF($X$179=1,IPMT(AI213/12,AG213,$H$44*12,-$H$32),AJ213*AI213/12)</f>
        <v>#N/A</v>
      </c>
      <c r="AO213" s="229" t="e">
        <f t="shared" ref="AO213:AO240" si="162">+AJ213-AM213</f>
        <v>#NUM!</v>
      </c>
      <c r="AQ213" s="427">
        <f t="shared" si="143"/>
        <v>33</v>
      </c>
      <c r="AR213" s="884">
        <f t="shared" si="144"/>
        <v>980</v>
      </c>
      <c r="AS213" s="121" t="b">
        <f>IF($K$36="Fixed",$K$42,IF($K$36="Variable",VLOOKUP(AR213,'Financing Constants'!$A$8:$L$148,$AR$179)+$K$41/10000))</f>
        <v>0</v>
      </c>
      <c r="AT213" s="229" t="e">
        <f t="shared" si="145"/>
        <v>#NUM!</v>
      </c>
      <c r="AU213" s="888" t="str">
        <f t="shared" ref="AU213:AU240" si="163">IF(AQ213&lt;=$K$45,"IO","PP")</f>
        <v>PP</v>
      </c>
      <c r="AV213" s="229" t="e">
        <f t="shared" ref="AV213:AV240" si="164">IF(AU213="IO",AX213,PMT(AS213/12,$K$44*12-AQ213+1,-AT213))</f>
        <v>#NUM!</v>
      </c>
      <c r="AW213" s="229" t="e">
        <f t="shared" ref="AW213:AW240" si="165">IF(AU213="IO",0,AV213-AX213)</f>
        <v>#NUM!</v>
      </c>
      <c r="AX213" s="229" t="e">
        <f t="shared" ref="AX213:AX240" si="166">IF($X$179=1,IPMT(AS213/12,AQ213,$K$44*12,-$K$32),AT213*AS213/12)</f>
        <v>#N/A</v>
      </c>
      <c r="AY213" s="229" t="e">
        <f t="shared" ref="AY213:AY240" si="167">+AT213-AW213</f>
        <v>#NUM!</v>
      </c>
      <c r="BA213" s="427">
        <f t="shared" si="146"/>
        <v>33</v>
      </c>
      <c r="BB213" s="884">
        <f t="shared" si="147"/>
        <v>980</v>
      </c>
      <c r="BC213" s="121" t="b">
        <f>IF($N$36="Fixed",$N$42,IF($N$36="Variable",VLOOKUP(BB213,'Financing Constants'!$A$8:$L$148,$BB$179)+$N$41/10000))</f>
        <v>0</v>
      </c>
      <c r="BD213" s="229" t="e">
        <f t="shared" si="148"/>
        <v>#NUM!</v>
      </c>
      <c r="BE213" s="888" t="str">
        <f t="shared" ref="BE213:BE240" si="168">IF(BA213&lt;=$N$45,"IO","PP")</f>
        <v>PP</v>
      </c>
      <c r="BF213" s="229" t="e">
        <f t="shared" ref="BF213:BF240" si="169">IF(BE213="IO",BH213,PMT(BC213/12,$N$44*12-BA213+1,-BD213))</f>
        <v>#NUM!</v>
      </c>
      <c r="BG213" s="229" t="e">
        <f t="shared" ref="BG213:BG240" si="170">IF(BE213="IO",0,BF213-BH213)</f>
        <v>#NUM!</v>
      </c>
      <c r="BH213" s="229" t="e">
        <f t="shared" ref="BH213:BH240" si="171">IF($X$179=1,IPMT(BC213/12,BA213,$N$44*12,-$N$32),BD213*BC213/12)</f>
        <v>#N/A</v>
      </c>
      <c r="BI213" s="229" t="e">
        <f t="shared" ref="BI213:BI240" si="172">+BD213-BG213</f>
        <v>#NUM!</v>
      </c>
      <c r="BK213" s="427">
        <f t="shared" si="149"/>
        <v>33</v>
      </c>
      <c r="BL213" s="884">
        <f t="shared" si="150"/>
        <v>980</v>
      </c>
      <c r="BM213" s="121" t="b">
        <f>IF($Q$36="Fixed",$Q$42,IF($Q$36="Variable",VLOOKUP(BL213,'Financing Constants'!$A$8:$L$148,$BL$179)+$Q$41/10000))</f>
        <v>0</v>
      </c>
      <c r="BN213" s="229" t="e">
        <f t="shared" si="151"/>
        <v>#NUM!</v>
      </c>
      <c r="BO213" s="888" t="str">
        <f t="shared" ref="BO213:BO240" si="173">IF(BK213&lt;=$Q$45,"IO","PP")</f>
        <v>PP</v>
      </c>
      <c r="BP213" s="229" t="e">
        <f t="shared" ref="BP213:BP240" si="174">IF(BO213="IO",BR213,PMT(BM213/12,$Q$44*12-BK213+1,-BN213))</f>
        <v>#NUM!</v>
      </c>
      <c r="BQ213" s="229" t="e">
        <f t="shared" ref="BQ213:BQ240" si="175">IF(BO213="IO",0,BP213-BR213)</f>
        <v>#NUM!</v>
      </c>
      <c r="BR213" s="229" t="e">
        <f t="shared" ref="BR213:BR240" si="176">IF($X$179=1,IPMT(BM213/12,BK213,$Q$44*12,-$Q$32),BN213*BM213/12)</f>
        <v>#N/A</v>
      </c>
      <c r="BS213" s="229" t="e">
        <f t="shared" ref="BS213:BS240" si="177">+BN213-BQ213</f>
        <v>#NUM!</v>
      </c>
      <c r="BU213" s="427">
        <f t="shared" si="152"/>
        <v>33</v>
      </c>
      <c r="BV213" s="884">
        <f t="shared" si="153"/>
        <v>980</v>
      </c>
      <c r="BW213" s="121" t="b">
        <f>IF($T$36="Fixed",$T$42,IF($T$36="Variable",VLOOKUP(BV213,'Financing Constants'!$A$8:$L$148,$BV$179)+$T$41/10000))</f>
        <v>0</v>
      </c>
      <c r="BX213" s="229" t="e">
        <f t="shared" si="154"/>
        <v>#NUM!</v>
      </c>
      <c r="BY213" s="888" t="str">
        <f t="shared" ref="BY213:BY240" si="178">IF(BU213&lt;=$T$45,"IO","PP")</f>
        <v>PP</v>
      </c>
      <c r="BZ213" s="229" t="e">
        <f t="shared" ref="BZ213:BZ240" si="179">IF(BY213="IO",CB213,PMT(BW213/12,$T$44*12-BU213+1,-BX213))</f>
        <v>#NUM!</v>
      </c>
      <c r="CA213" s="229" t="e">
        <f t="shared" ref="CA213:CA240" si="180">IF(BY213="IO",0,BZ213-CB213)</f>
        <v>#NUM!</v>
      </c>
      <c r="CB213" s="229" t="e">
        <f t="shared" ref="CB213:CB240" si="181">IF($X$179=1,IPMT(BW213/12,BU213,$T$44*12,-$T$32),BX213*BW213/12)</f>
        <v>#N/A</v>
      </c>
      <c r="CC213" s="229" t="e">
        <f t="shared" ref="CC213:CC240" si="182">+BX213-CA213</f>
        <v>#NUM!</v>
      </c>
    </row>
    <row r="214" spans="23:81" x14ac:dyDescent="0.25">
      <c r="W214" s="427">
        <f t="shared" ref="W214:W240" si="183">+W213+1</f>
        <v>34</v>
      </c>
      <c r="X214" s="884">
        <f t="shared" ref="X214:X240" si="184">+X213+30</f>
        <v>1010</v>
      </c>
      <c r="Y214" s="121" t="b">
        <f>IF($E$36="Fixed",$E$42,IF($E$36="Variable",VLOOKUP(X214,'Financing Constants'!$A$8:$L$148,$X$179)+$E$41/10000))</f>
        <v>0</v>
      </c>
      <c r="Z214" s="229" t="e">
        <f t="shared" ref="Z214:Z240" si="185">+AE213</f>
        <v>#N/A</v>
      </c>
      <c r="AA214" s="888" t="str">
        <f t="shared" si="138"/>
        <v>PP</v>
      </c>
      <c r="AB214" s="229" t="e">
        <f t="shared" si="139"/>
        <v>#N/A</v>
      </c>
      <c r="AC214" s="229" t="e">
        <f t="shared" si="155"/>
        <v>#N/A</v>
      </c>
      <c r="AD214" s="229" t="e">
        <f t="shared" si="156"/>
        <v>#N/A</v>
      </c>
      <c r="AE214" s="229" t="e">
        <f t="shared" si="157"/>
        <v>#N/A</v>
      </c>
      <c r="AG214" s="427">
        <f t="shared" ref="AG214:AG240" si="186">+AG213+1</f>
        <v>34</v>
      </c>
      <c r="AH214" s="884">
        <f t="shared" ref="AH214:AH240" si="187">+AH213+30</f>
        <v>1010</v>
      </c>
      <c r="AI214" s="121" t="b">
        <f>IF($H$36="Fixed",$H$42,IF($H$36="Variable",VLOOKUP(AH214,'Financing Constants'!$A$8:$L$148,$AH$179)+$H$41/10000))</f>
        <v>0</v>
      </c>
      <c r="AJ214" s="229" t="e">
        <f t="shared" ref="AJ214:AJ240" si="188">+AO213</f>
        <v>#NUM!</v>
      </c>
      <c r="AK214" s="888" t="str">
        <f t="shared" si="158"/>
        <v>PP</v>
      </c>
      <c r="AL214" s="229" t="e">
        <f t="shared" si="159"/>
        <v>#NUM!</v>
      </c>
      <c r="AM214" s="229" t="e">
        <f t="shared" si="160"/>
        <v>#NUM!</v>
      </c>
      <c r="AN214" s="229" t="e">
        <f t="shared" si="161"/>
        <v>#N/A</v>
      </c>
      <c r="AO214" s="229" t="e">
        <f t="shared" si="162"/>
        <v>#NUM!</v>
      </c>
      <c r="AQ214" s="427">
        <f t="shared" ref="AQ214:AQ240" si="189">+AQ213+1</f>
        <v>34</v>
      </c>
      <c r="AR214" s="884">
        <f t="shared" ref="AR214:AR240" si="190">+AR213+30</f>
        <v>1010</v>
      </c>
      <c r="AS214" s="121" t="b">
        <f>IF($K$36="Fixed",$K$42,IF($K$36="Variable",VLOOKUP(AR214,'Financing Constants'!$A$8:$L$148,$AR$179)+$K$41/10000))</f>
        <v>0</v>
      </c>
      <c r="AT214" s="229" t="e">
        <f t="shared" ref="AT214:AT240" si="191">+AY213</f>
        <v>#NUM!</v>
      </c>
      <c r="AU214" s="888" t="str">
        <f t="shared" si="163"/>
        <v>PP</v>
      </c>
      <c r="AV214" s="229" t="e">
        <f t="shared" si="164"/>
        <v>#NUM!</v>
      </c>
      <c r="AW214" s="229" t="e">
        <f t="shared" si="165"/>
        <v>#NUM!</v>
      </c>
      <c r="AX214" s="229" t="e">
        <f t="shared" si="166"/>
        <v>#N/A</v>
      </c>
      <c r="AY214" s="229" t="e">
        <f t="shared" si="167"/>
        <v>#NUM!</v>
      </c>
      <c r="BA214" s="427">
        <f t="shared" ref="BA214:BA240" si="192">+BA213+1</f>
        <v>34</v>
      </c>
      <c r="BB214" s="884">
        <f t="shared" ref="BB214:BB240" si="193">+BB213+30</f>
        <v>1010</v>
      </c>
      <c r="BC214" s="121" t="b">
        <f>IF($N$36="Fixed",$N$42,IF($N$36="Variable",VLOOKUP(BB214,'Financing Constants'!$A$8:$L$148,$BB$179)+$N$41/10000))</f>
        <v>0</v>
      </c>
      <c r="BD214" s="229" t="e">
        <f t="shared" ref="BD214:BD240" si="194">+BI213</f>
        <v>#NUM!</v>
      </c>
      <c r="BE214" s="888" t="str">
        <f t="shared" si="168"/>
        <v>PP</v>
      </c>
      <c r="BF214" s="229" t="e">
        <f t="shared" si="169"/>
        <v>#NUM!</v>
      </c>
      <c r="BG214" s="229" t="e">
        <f t="shared" si="170"/>
        <v>#NUM!</v>
      </c>
      <c r="BH214" s="229" t="e">
        <f t="shared" si="171"/>
        <v>#N/A</v>
      </c>
      <c r="BI214" s="229" t="e">
        <f t="shared" si="172"/>
        <v>#NUM!</v>
      </c>
      <c r="BK214" s="427">
        <f t="shared" ref="BK214:BK240" si="195">+BK213+1</f>
        <v>34</v>
      </c>
      <c r="BL214" s="884">
        <f t="shared" ref="BL214:BL240" si="196">+BL213+30</f>
        <v>1010</v>
      </c>
      <c r="BM214" s="121" t="b">
        <f>IF($Q$36="Fixed",$Q$42,IF($Q$36="Variable",VLOOKUP(BL214,'Financing Constants'!$A$8:$L$148,$BL$179)+$Q$41/10000))</f>
        <v>0</v>
      </c>
      <c r="BN214" s="229" t="e">
        <f t="shared" ref="BN214:BN240" si="197">+BS213</f>
        <v>#NUM!</v>
      </c>
      <c r="BO214" s="888" t="str">
        <f t="shared" si="173"/>
        <v>PP</v>
      </c>
      <c r="BP214" s="229" t="e">
        <f t="shared" si="174"/>
        <v>#NUM!</v>
      </c>
      <c r="BQ214" s="229" t="e">
        <f t="shared" si="175"/>
        <v>#NUM!</v>
      </c>
      <c r="BR214" s="229" t="e">
        <f t="shared" si="176"/>
        <v>#N/A</v>
      </c>
      <c r="BS214" s="229" t="e">
        <f t="shared" si="177"/>
        <v>#NUM!</v>
      </c>
      <c r="BU214" s="427">
        <f t="shared" ref="BU214:BU240" si="198">+BU213+1</f>
        <v>34</v>
      </c>
      <c r="BV214" s="884">
        <f t="shared" ref="BV214:BV240" si="199">+BV213+30</f>
        <v>1010</v>
      </c>
      <c r="BW214" s="121" t="b">
        <f>IF($T$36="Fixed",$T$42,IF($T$36="Variable",VLOOKUP(BV214,'Financing Constants'!$A$8:$L$148,$BV$179)+$T$41/10000))</f>
        <v>0</v>
      </c>
      <c r="BX214" s="229" t="e">
        <f t="shared" ref="BX214:BX240" si="200">+CC213</f>
        <v>#NUM!</v>
      </c>
      <c r="BY214" s="888" t="str">
        <f t="shared" si="178"/>
        <v>PP</v>
      </c>
      <c r="BZ214" s="229" t="e">
        <f t="shared" si="179"/>
        <v>#NUM!</v>
      </c>
      <c r="CA214" s="229" t="e">
        <f t="shared" si="180"/>
        <v>#NUM!</v>
      </c>
      <c r="CB214" s="229" t="e">
        <f t="shared" si="181"/>
        <v>#N/A</v>
      </c>
      <c r="CC214" s="229" t="e">
        <f t="shared" si="182"/>
        <v>#NUM!</v>
      </c>
    </row>
    <row r="215" spans="23:81" x14ac:dyDescent="0.25">
      <c r="W215" s="427">
        <f t="shared" si="183"/>
        <v>35</v>
      </c>
      <c r="X215" s="884">
        <f t="shared" si="184"/>
        <v>1040</v>
      </c>
      <c r="Y215" s="121" t="b">
        <f>IF($E$36="Fixed",$E$42,IF($E$36="Variable",VLOOKUP(X215,'Financing Constants'!$A$8:$L$148,$X$179)+$E$41/10000))</f>
        <v>0</v>
      </c>
      <c r="Z215" s="229" t="e">
        <f t="shared" si="185"/>
        <v>#N/A</v>
      </c>
      <c r="AA215" s="888" t="str">
        <f t="shared" si="138"/>
        <v>PP</v>
      </c>
      <c r="AB215" s="229" t="e">
        <f t="shared" si="139"/>
        <v>#N/A</v>
      </c>
      <c r="AC215" s="229" t="e">
        <f t="shared" si="155"/>
        <v>#N/A</v>
      </c>
      <c r="AD215" s="229" t="e">
        <f t="shared" si="156"/>
        <v>#N/A</v>
      </c>
      <c r="AE215" s="229" t="e">
        <f t="shared" si="157"/>
        <v>#N/A</v>
      </c>
      <c r="AG215" s="427">
        <f t="shared" si="186"/>
        <v>35</v>
      </c>
      <c r="AH215" s="884">
        <f t="shared" si="187"/>
        <v>1040</v>
      </c>
      <c r="AI215" s="121" t="b">
        <f>IF($H$36="Fixed",$H$42,IF($H$36="Variable",VLOOKUP(AH215,'Financing Constants'!$A$8:$L$148,$AH$179)+$H$41/10000))</f>
        <v>0</v>
      </c>
      <c r="AJ215" s="229" t="e">
        <f t="shared" si="188"/>
        <v>#NUM!</v>
      </c>
      <c r="AK215" s="888" t="str">
        <f t="shared" si="158"/>
        <v>PP</v>
      </c>
      <c r="AL215" s="229" t="e">
        <f t="shared" si="159"/>
        <v>#NUM!</v>
      </c>
      <c r="AM215" s="229" t="e">
        <f t="shared" si="160"/>
        <v>#NUM!</v>
      </c>
      <c r="AN215" s="229" t="e">
        <f t="shared" si="161"/>
        <v>#N/A</v>
      </c>
      <c r="AO215" s="229" t="e">
        <f t="shared" si="162"/>
        <v>#NUM!</v>
      </c>
      <c r="AQ215" s="427">
        <f t="shared" si="189"/>
        <v>35</v>
      </c>
      <c r="AR215" s="884">
        <f t="shared" si="190"/>
        <v>1040</v>
      </c>
      <c r="AS215" s="121" t="b">
        <f>IF($K$36="Fixed",$K$42,IF($K$36="Variable",VLOOKUP(AR215,'Financing Constants'!$A$8:$L$148,$AR$179)+$K$41/10000))</f>
        <v>0</v>
      </c>
      <c r="AT215" s="229" t="e">
        <f t="shared" si="191"/>
        <v>#NUM!</v>
      </c>
      <c r="AU215" s="888" t="str">
        <f t="shared" si="163"/>
        <v>PP</v>
      </c>
      <c r="AV215" s="229" t="e">
        <f t="shared" si="164"/>
        <v>#NUM!</v>
      </c>
      <c r="AW215" s="229" t="e">
        <f t="shared" si="165"/>
        <v>#NUM!</v>
      </c>
      <c r="AX215" s="229" t="e">
        <f t="shared" si="166"/>
        <v>#N/A</v>
      </c>
      <c r="AY215" s="229" t="e">
        <f t="shared" si="167"/>
        <v>#NUM!</v>
      </c>
      <c r="BA215" s="427">
        <f t="shared" si="192"/>
        <v>35</v>
      </c>
      <c r="BB215" s="884">
        <f t="shared" si="193"/>
        <v>1040</v>
      </c>
      <c r="BC215" s="121" t="b">
        <f>IF($N$36="Fixed",$N$42,IF($N$36="Variable",VLOOKUP(BB215,'Financing Constants'!$A$8:$L$148,$BB$179)+$N$41/10000))</f>
        <v>0</v>
      </c>
      <c r="BD215" s="229" t="e">
        <f t="shared" si="194"/>
        <v>#NUM!</v>
      </c>
      <c r="BE215" s="888" t="str">
        <f t="shared" si="168"/>
        <v>PP</v>
      </c>
      <c r="BF215" s="229" t="e">
        <f t="shared" si="169"/>
        <v>#NUM!</v>
      </c>
      <c r="BG215" s="229" t="e">
        <f t="shared" si="170"/>
        <v>#NUM!</v>
      </c>
      <c r="BH215" s="229" t="e">
        <f t="shared" si="171"/>
        <v>#N/A</v>
      </c>
      <c r="BI215" s="229" t="e">
        <f t="shared" si="172"/>
        <v>#NUM!</v>
      </c>
      <c r="BK215" s="427">
        <f t="shared" si="195"/>
        <v>35</v>
      </c>
      <c r="BL215" s="884">
        <f t="shared" si="196"/>
        <v>1040</v>
      </c>
      <c r="BM215" s="121" t="b">
        <f>IF($Q$36="Fixed",$Q$42,IF($Q$36="Variable",VLOOKUP(BL215,'Financing Constants'!$A$8:$L$148,$BL$179)+$Q$41/10000))</f>
        <v>0</v>
      </c>
      <c r="BN215" s="229" t="e">
        <f t="shared" si="197"/>
        <v>#NUM!</v>
      </c>
      <c r="BO215" s="888" t="str">
        <f t="shared" si="173"/>
        <v>PP</v>
      </c>
      <c r="BP215" s="229" t="e">
        <f t="shared" si="174"/>
        <v>#NUM!</v>
      </c>
      <c r="BQ215" s="229" t="e">
        <f t="shared" si="175"/>
        <v>#NUM!</v>
      </c>
      <c r="BR215" s="229" t="e">
        <f t="shared" si="176"/>
        <v>#N/A</v>
      </c>
      <c r="BS215" s="229" t="e">
        <f t="shared" si="177"/>
        <v>#NUM!</v>
      </c>
      <c r="BU215" s="427">
        <f t="shared" si="198"/>
        <v>35</v>
      </c>
      <c r="BV215" s="884">
        <f t="shared" si="199"/>
        <v>1040</v>
      </c>
      <c r="BW215" s="121" t="b">
        <f>IF($T$36="Fixed",$T$42,IF($T$36="Variable",VLOOKUP(BV215,'Financing Constants'!$A$8:$L$148,$BV$179)+$T$41/10000))</f>
        <v>0</v>
      </c>
      <c r="BX215" s="229" t="e">
        <f t="shared" si="200"/>
        <v>#NUM!</v>
      </c>
      <c r="BY215" s="888" t="str">
        <f t="shared" si="178"/>
        <v>PP</v>
      </c>
      <c r="BZ215" s="229" t="e">
        <f t="shared" si="179"/>
        <v>#NUM!</v>
      </c>
      <c r="CA215" s="229" t="e">
        <f t="shared" si="180"/>
        <v>#NUM!</v>
      </c>
      <c r="CB215" s="229" t="e">
        <f t="shared" si="181"/>
        <v>#N/A</v>
      </c>
      <c r="CC215" s="229" t="e">
        <f t="shared" si="182"/>
        <v>#NUM!</v>
      </c>
    </row>
    <row r="216" spans="23:81" x14ac:dyDescent="0.25">
      <c r="W216" s="427">
        <f t="shared" si="183"/>
        <v>36</v>
      </c>
      <c r="X216" s="884">
        <f t="shared" si="184"/>
        <v>1070</v>
      </c>
      <c r="Y216" s="121" t="b">
        <f>IF($E$36="Fixed",$E$42,IF($E$36="Variable",VLOOKUP(X216,'Financing Constants'!$A$8:$L$148,$X$179)+$E$41/10000))</f>
        <v>0</v>
      </c>
      <c r="Z216" s="229" t="e">
        <f t="shared" si="185"/>
        <v>#N/A</v>
      </c>
      <c r="AA216" s="888" t="str">
        <f t="shared" si="138"/>
        <v>PP</v>
      </c>
      <c r="AB216" s="229" t="e">
        <f t="shared" si="139"/>
        <v>#N/A</v>
      </c>
      <c r="AC216" s="229" t="e">
        <f t="shared" si="155"/>
        <v>#N/A</v>
      </c>
      <c r="AD216" s="229" t="e">
        <f t="shared" si="156"/>
        <v>#N/A</v>
      </c>
      <c r="AE216" s="229" t="e">
        <f t="shared" si="157"/>
        <v>#N/A</v>
      </c>
      <c r="AG216" s="427">
        <f t="shared" si="186"/>
        <v>36</v>
      </c>
      <c r="AH216" s="884">
        <f t="shared" si="187"/>
        <v>1070</v>
      </c>
      <c r="AI216" s="121" t="b">
        <f>IF($H$36="Fixed",$H$42,IF($H$36="Variable",VLOOKUP(AH216,'Financing Constants'!$A$8:$L$148,$AH$179)+$H$41/10000))</f>
        <v>0</v>
      </c>
      <c r="AJ216" s="229" t="e">
        <f t="shared" si="188"/>
        <v>#NUM!</v>
      </c>
      <c r="AK216" s="888" t="str">
        <f t="shared" si="158"/>
        <v>PP</v>
      </c>
      <c r="AL216" s="229" t="e">
        <f t="shared" si="159"/>
        <v>#NUM!</v>
      </c>
      <c r="AM216" s="229" t="e">
        <f t="shared" si="160"/>
        <v>#NUM!</v>
      </c>
      <c r="AN216" s="229" t="e">
        <f t="shared" si="161"/>
        <v>#N/A</v>
      </c>
      <c r="AO216" s="229" t="e">
        <f t="shared" si="162"/>
        <v>#NUM!</v>
      </c>
      <c r="AQ216" s="427">
        <f t="shared" si="189"/>
        <v>36</v>
      </c>
      <c r="AR216" s="884">
        <f t="shared" si="190"/>
        <v>1070</v>
      </c>
      <c r="AS216" s="121" t="b">
        <f>IF($K$36="Fixed",$K$42,IF($K$36="Variable",VLOOKUP(AR216,'Financing Constants'!$A$8:$L$148,$AR$179)+$K$41/10000))</f>
        <v>0</v>
      </c>
      <c r="AT216" s="229" t="e">
        <f t="shared" si="191"/>
        <v>#NUM!</v>
      </c>
      <c r="AU216" s="888" t="str">
        <f t="shared" si="163"/>
        <v>PP</v>
      </c>
      <c r="AV216" s="229" t="e">
        <f t="shared" si="164"/>
        <v>#NUM!</v>
      </c>
      <c r="AW216" s="229" t="e">
        <f t="shared" si="165"/>
        <v>#NUM!</v>
      </c>
      <c r="AX216" s="229" t="e">
        <f t="shared" si="166"/>
        <v>#N/A</v>
      </c>
      <c r="AY216" s="229" t="e">
        <f t="shared" si="167"/>
        <v>#NUM!</v>
      </c>
      <c r="BA216" s="427">
        <f t="shared" si="192"/>
        <v>36</v>
      </c>
      <c r="BB216" s="884">
        <f t="shared" si="193"/>
        <v>1070</v>
      </c>
      <c r="BC216" s="121" t="b">
        <f>IF($N$36="Fixed",$N$42,IF($N$36="Variable",VLOOKUP(BB216,'Financing Constants'!$A$8:$L$148,$BB$179)+$N$41/10000))</f>
        <v>0</v>
      </c>
      <c r="BD216" s="229" t="e">
        <f t="shared" si="194"/>
        <v>#NUM!</v>
      </c>
      <c r="BE216" s="888" t="str">
        <f t="shared" si="168"/>
        <v>PP</v>
      </c>
      <c r="BF216" s="229" t="e">
        <f t="shared" si="169"/>
        <v>#NUM!</v>
      </c>
      <c r="BG216" s="229" t="e">
        <f t="shared" si="170"/>
        <v>#NUM!</v>
      </c>
      <c r="BH216" s="229" t="e">
        <f t="shared" si="171"/>
        <v>#N/A</v>
      </c>
      <c r="BI216" s="229" t="e">
        <f t="shared" si="172"/>
        <v>#NUM!</v>
      </c>
      <c r="BK216" s="427">
        <f t="shared" si="195"/>
        <v>36</v>
      </c>
      <c r="BL216" s="884">
        <f t="shared" si="196"/>
        <v>1070</v>
      </c>
      <c r="BM216" s="121" t="b">
        <f>IF($Q$36="Fixed",$Q$42,IF($Q$36="Variable",VLOOKUP(BL216,'Financing Constants'!$A$8:$L$148,$BL$179)+$Q$41/10000))</f>
        <v>0</v>
      </c>
      <c r="BN216" s="229" t="e">
        <f t="shared" si="197"/>
        <v>#NUM!</v>
      </c>
      <c r="BO216" s="888" t="str">
        <f t="shared" si="173"/>
        <v>PP</v>
      </c>
      <c r="BP216" s="229" t="e">
        <f t="shared" si="174"/>
        <v>#NUM!</v>
      </c>
      <c r="BQ216" s="229" t="e">
        <f t="shared" si="175"/>
        <v>#NUM!</v>
      </c>
      <c r="BR216" s="229" t="e">
        <f t="shared" si="176"/>
        <v>#N/A</v>
      </c>
      <c r="BS216" s="229" t="e">
        <f t="shared" si="177"/>
        <v>#NUM!</v>
      </c>
      <c r="BU216" s="427">
        <f t="shared" si="198"/>
        <v>36</v>
      </c>
      <c r="BV216" s="884">
        <f t="shared" si="199"/>
        <v>1070</v>
      </c>
      <c r="BW216" s="121" t="b">
        <f>IF($T$36="Fixed",$T$42,IF($T$36="Variable",VLOOKUP(BV216,'Financing Constants'!$A$8:$L$148,$BV$179)+$T$41/10000))</f>
        <v>0</v>
      </c>
      <c r="BX216" s="229" t="e">
        <f t="shared" si="200"/>
        <v>#NUM!</v>
      </c>
      <c r="BY216" s="888" t="str">
        <f t="shared" si="178"/>
        <v>PP</v>
      </c>
      <c r="BZ216" s="229" t="e">
        <f t="shared" si="179"/>
        <v>#NUM!</v>
      </c>
      <c r="CA216" s="229" t="e">
        <f t="shared" si="180"/>
        <v>#NUM!</v>
      </c>
      <c r="CB216" s="229" t="e">
        <f t="shared" si="181"/>
        <v>#N/A</v>
      </c>
      <c r="CC216" s="229" t="e">
        <f t="shared" si="182"/>
        <v>#NUM!</v>
      </c>
    </row>
    <row r="217" spans="23:81" x14ac:dyDescent="0.25">
      <c r="W217" s="321">
        <f t="shared" si="183"/>
        <v>37</v>
      </c>
      <c r="X217" s="889">
        <f t="shared" si="184"/>
        <v>1100</v>
      </c>
      <c r="Y217" s="890" t="b">
        <f>IF($E$36="Fixed",$E$42,IF($E$36="Variable",VLOOKUP(X217,'Financing Constants'!$A$8:$L$148,$X$179)+$E$41/10000))</f>
        <v>0</v>
      </c>
      <c r="Z217" s="891" t="e">
        <f t="shared" si="185"/>
        <v>#N/A</v>
      </c>
      <c r="AA217" s="892" t="str">
        <f t="shared" si="138"/>
        <v>PP</v>
      </c>
      <c r="AB217" s="891" t="e">
        <f t="shared" si="139"/>
        <v>#N/A</v>
      </c>
      <c r="AC217" s="891" t="e">
        <f t="shared" si="155"/>
        <v>#N/A</v>
      </c>
      <c r="AD217" s="891" t="e">
        <f t="shared" si="156"/>
        <v>#N/A</v>
      </c>
      <c r="AE217" s="891" t="e">
        <f t="shared" si="157"/>
        <v>#N/A</v>
      </c>
      <c r="AG217" s="321">
        <f t="shared" si="186"/>
        <v>37</v>
      </c>
      <c r="AH217" s="889">
        <f t="shared" si="187"/>
        <v>1100</v>
      </c>
      <c r="AI217" s="890" t="b">
        <f>IF($H$36="Fixed",$H$42,IF($H$36="Variable",VLOOKUP(AH217,'Financing Constants'!$A$8:$L$148,$AH$179)+$H$41/10000))</f>
        <v>0</v>
      </c>
      <c r="AJ217" s="891" t="e">
        <f t="shared" si="188"/>
        <v>#NUM!</v>
      </c>
      <c r="AK217" s="892" t="str">
        <f t="shared" si="158"/>
        <v>PP</v>
      </c>
      <c r="AL217" s="891" t="e">
        <f t="shared" si="159"/>
        <v>#NUM!</v>
      </c>
      <c r="AM217" s="891" t="e">
        <f t="shared" si="160"/>
        <v>#NUM!</v>
      </c>
      <c r="AN217" s="891" t="e">
        <f t="shared" si="161"/>
        <v>#N/A</v>
      </c>
      <c r="AO217" s="891" t="e">
        <f t="shared" si="162"/>
        <v>#NUM!</v>
      </c>
      <c r="AQ217" s="321">
        <f t="shared" si="189"/>
        <v>37</v>
      </c>
      <c r="AR217" s="889">
        <f t="shared" si="190"/>
        <v>1100</v>
      </c>
      <c r="AS217" s="890" t="b">
        <f>IF($K$36="Fixed",$K$42,IF($K$36="Variable",VLOOKUP(AR217,'Financing Constants'!$A$8:$L$148,$AR$179)+$K$41/10000))</f>
        <v>0</v>
      </c>
      <c r="AT217" s="891" t="e">
        <f t="shared" si="191"/>
        <v>#NUM!</v>
      </c>
      <c r="AU217" s="892" t="str">
        <f t="shared" si="163"/>
        <v>PP</v>
      </c>
      <c r="AV217" s="891" t="e">
        <f t="shared" si="164"/>
        <v>#NUM!</v>
      </c>
      <c r="AW217" s="891" t="e">
        <f t="shared" si="165"/>
        <v>#NUM!</v>
      </c>
      <c r="AX217" s="891" t="e">
        <f t="shared" si="166"/>
        <v>#N/A</v>
      </c>
      <c r="AY217" s="891" t="e">
        <f t="shared" si="167"/>
        <v>#NUM!</v>
      </c>
      <c r="BA217" s="321">
        <f t="shared" si="192"/>
        <v>37</v>
      </c>
      <c r="BB217" s="889">
        <f t="shared" si="193"/>
        <v>1100</v>
      </c>
      <c r="BC217" s="890" t="b">
        <f>IF($N$36="Fixed",$N$42,IF($N$36="Variable",VLOOKUP(BB217,'Financing Constants'!$A$8:$L$148,$BB$179)+$N$41/10000))</f>
        <v>0</v>
      </c>
      <c r="BD217" s="891" t="e">
        <f t="shared" si="194"/>
        <v>#NUM!</v>
      </c>
      <c r="BE217" s="892" t="str">
        <f t="shared" si="168"/>
        <v>PP</v>
      </c>
      <c r="BF217" s="891" t="e">
        <f t="shared" si="169"/>
        <v>#NUM!</v>
      </c>
      <c r="BG217" s="891" t="e">
        <f t="shared" si="170"/>
        <v>#NUM!</v>
      </c>
      <c r="BH217" s="891" t="e">
        <f t="shared" si="171"/>
        <v>#N/A</v>
      </c>
      <c r="BI217" s="891" t="e">
        <f t="shared" si="172"/>
        <v>#NUM!</v>
      </c>
      <c r="BK217" s="321">
        <f t="shared" si="195"/>
        <v>37</v>
      </c>
      <c r="BL217" s="889">
        <f t="shared" si="196"/>
        <v>1100</v>
      </c>
      <c r="BM217" s="890" t="b">
        <f>IF($Q$36="Fixed",$Q$42,IF($Q$36="Variable",VLOOKUP(BL217,'Financing Constants'!$A$8:$L$148,$BL$179)+$Q$41/10000))</f>
        <v>0</v>
      </c>
      <c r="BN217" s="891" t="e">
        <f t="shared" si="197"/>
        <v>#NUM!</v>
      </c>
      <c r="BO217" s="892" t="str">
        <f t="shared" si="173"/>
        <v>PP</v>
      </c>
      <c r="BP217" s="891" t="e">
        <f t="shared" si="174"/>
        <v>#NUM!</v>
      </c>
      <c r="BQ217" s="891" t="e">
        <f t="shared" si="175"/>
        <v>#NUM!</v>
      </c>
      <c r="BR217" s="891" t="e">
        <f t="shared" si="176"/>
        <v>#N/A</v>
      </c>
      <c r="BS217" s="891" t="e">
        <f t="shared" si="177"/>
        <v>#NUM!</v>
      </c>
      <c r="BU217" s="321">
        <f t="shared" si="198"/>
        <v>37</v>
      </c>
      <c r="BV217" s="889">
        <f t="shared" si="199"/>
        <v>1100</v>
      </c>
      <c r="BW217" s="890" t="b">
        <f>IF($T$36="Fixed",$T$42,IF($T$36="Variable",VLOOKUP(BV217,'Financing Constants'!$A$8:$L$148,$BV$179)+$T$41/10000))</f>
        <v>0</v>
      </c>
      <c r="BX217" s="891" t="e">
        <f t="shared" si="200"/>
        <v>#NUM!</v>
      </c>
      <c r="BY217" s="892" t="str">
        <f t="shared" si="178"/>
        <v>PP</v>
      </c>
      <c r="BZ217" s="891" t="e">
        <f t="shared" si="179"/>
        <v>#NUM!</v>
      </c>
      <c r="CA217" s="891" t="e">
        <f t="shared" si="180"/>
        <v>#NUM!</v>
      </c>
      <c r="CB217" s="891" t="e">
        <f t="shared" si="181"/>
        <v>#N/A</v>
      </c>
      <c r="CC217" s="891" t="e">
        <f t="shared" si="182"/>
        <v>#NUM!</v>
      </c>
    </row>
    <row r="218" spans="23:81" x14ac:dyDescent="0.25">
      <c r="W218" s="427">
        <f t="shared" si="183"/>
        <v>38</v>
      </c>
      <c r="X218" s="884">
        <f t="shared" si="184"/>
        <v>1130</v>
      </c>
      <c r="Y218" s="121" t="b">
        <f>IF($E$36="Fixed",$E$42,IF($E$36="Variable",VLOOKUP(X218,'Financing Constants'!$A$8:$L$148,$X$179)+$E$41/10000))</f>
        <v>0</v>
      </c>
      <c r="Z218" s="229" t="e">
        <f t="shared" si="185"/>
        <v>#N/A</v>
      </c>
      <c r="AA218" s="888" t="str">
        <f t="shared" si="138"/>
        <v>PP</v>
      </c>
      <c r="AB218" s="229" t="e">
        <f t="shared" si="139"/>
        <v>#N/A</v>
      </c>
      <c r="AC218" s="229" t="e">
        <f t="shared" si="155"/>
        <v>#N/A</v>
      </c>
      <c r="AD218" s="229" t="e">
        <f t="shared" si="156"/>
        <v>#N/A</v>
      </c>
      <c r="AE218" s="229" t="e">
        <f t="shared" si="157"/>
        <v>#N/A</v>
      </c>
      <c r="AG218" s="427">
        <f t="shared" si="186"/>
        <v>38</v>
      </c>
      <c r="AH218" s="884">
        <f t="shared" si="187"/>
        <v>1130</v>
      </c>
      <c r="AI218" s="121" t="b">
        <f>IF($H$36="Fixed",$H$42,IF($H$36="Variable",VLOOKUP(AH218,'Financing Constants'!$A$8:$L$148,$AH$179)+$H$41/10000))</f>
        <v>0</v>
      </c>
      <c r="AJ218" s="229" t="e">
        <f t="shared" si="188"/>
        <v>#NUM!</v>
      </c>
      <c r="AK218" s="888" t="str">
        <f t="shared" si="158"/>
        <v>PP</v>
      </c>
      <c r="AL218" s="229" t="e">
        <f t="shared" si="159"/>
        <v>#NUM!</v>
      </c>
      <c r="AM218" s="229" t="e">
        <f t="shared" si="160"/>
        <v>#NUM!</v>
      </c>
      <c r="AN218" s="229" t="e">
        <f t="shared" si="161"/>
        <v>#N/A</v>
      </c>
      <c r="AO218" s="229" t="e">
        <f t="shared" si="162"/>
        <v>#NUM!</v>
      </c>
      <c r="AQ218" s="427">
        <f t="shared" si="189"/>
        <v>38</v>
      </c>
      <c r="AR218" s="884">
        <f t="shared" si="190"/>
        <v>1130</v>
      </c>
      <c r="AS218" s="121" t="b">
        <f>IF($K$36="Fixed",$K$42,IF($K$36="Variable",VLOOKUP(AR218,'Financing Constants'!$A$8:$L$148,$AR$179)+$K$41/10000))</f>
        <v>0</v>
      </c>
      <c r="AT218" s="229" t="e">
        <f t="shared" si="191"/>
        <v>#NUM!</v>
      </c>
      <c r="AU218" s="888" t="str">
        <f t="shared" si="163"/>
        <v>PP</v>
      </c>
      <c r="AV218" s="229" t="e">
        <f t="shared" si="164"/>
        <v>#NUM!</v>
      </c>
      <c r="AW218" s="229" t="e">
        <f t="shared" si="165"/>
        <v>#NUM!</v>
      </c>
      <c r="AX218" s="229" t="e">
        <f t="shared" si="166"/>
        <v>#N/A</v>
      </c>
      <c r="AY218" s="229" t="e">
        <f t="shared" si="167"/>
        <v>#NUM!</v>
      </c>
      <c r="BA218" s="427">
        <f t="shared" si="192"/>
        <v>38</v>
      </c>
      <c r="BB218" s="884">
        <f t="shared" si="193"/>
        <v>1130</v>
      </c>
      <c r="BC218" s="121" t="b">
        <f>IF($N$36="Fixed",$N$42,IF($N$36="Variable",VLOOKUP(BB218,'Financing Constants'!$A$8:$L$148,$BB$179)+$N$41/10000))</f>
        <v>0</v>
      </c>
      <c r="BD218" s="229" t="e">
        <f t="shared" si="194"/>
        <v>#NUM!</v>
      </c>
      <c r="BE218" s="888" t="str">
        <f t="shared" si="168"/>
        <v>PP</v>
      </c>
      <c r="BF218" s="229" t="e">
        <f t="shared" si="169"/>
        <v>#NUM!</v>
      </c>
      <c r="BG218" s="229" t="e">
        <f t="shared" si="170"/>
        <v>#NUM!</v>
      </c>
      <c r="BH218" s="229" t="e">
        <f t="shared" si="171"/>
        <v>#N/A</v>
      </c>
      <c r="BI218" s="229" t="e">
        <f t="shared" si="172"/>
        <v>#NUM!</v>
      </c>
      <c r="BK218" s="427">
        <f t="shared" si="195"/>
        <v>38</v>
      </c>
      <c r="BL218" s="884">
        <f t="shared" si="196"/>
        <v>1130</v>
      </c>
      <c r="BM218" s="121" t="b">
        <f>IF($Q$36="Fixed",$Q$42,IF($Q$36="Variable",VLOOKUP(BL218,'Financing Constants'!$A$8:$L$148,$BL$179)+$Q$41/10000))</f>
        <v>0</v>
      </c>
      <c r="BN218" s="229" t="e">
        <f t="shared" si="197"/>
        <v>#NUM!</v>
      </c>
      <c r="BO218" s="888" t="str">
        <f t="shared" si="173"/>
        <v>PP</v>
      </c>
      <c r="BP218" s="229" t="e">
        <f t="shared" si="174"/>
        <v>#NUM!</v>
      </c>
      <c r="BQ218" s="229" t="e">
        <f t="shared" si="175"/>
        <v>#NUM!</v>
      </c>
      <c r="BR218" s="229" t="e">
        <f t="shared" si="176"/>
        <v>#N/A</v>
      </c>
      <c r="BS218" s="229" t="e">
        <f t="shared" si="177"/>
        <v>#NUM!</v>
      </c>
      <c r="BU218" s="427">
        <f t="shared" si="198"/>
        <v>38</v>
      </c>
      <c r="BV218" s="884">
        <f t="shared" si="199"/>
        <v>1130</v>
      </c>
      <c r="BW218" s="121" t="b">
        <f>IF($T$36="Fixed",$T$42,IF($T$36="Variable",VLOOKUP(BV218,'Financing Constants'!$A$8:$L$148,$BV$179)+$T$41/10000))</f>
        <v>0</v>
      </c>
      <c r="BX218" s="229" t="e">
        <f t="shared" si="200"/>
        <v>#NUM!</v>
      </c>
      <c r="BY218" s="888" t="str">
        <f t="shared" si="178"/>
        <v>PP</v>
      </c>
      <c r="BZ218" s="229" t="e">
        <f t="shared" si="179"/>
        <v>#NUM!</v>
      </c>
      <c r="CA218" s="229" t="e">
        <f t="shared" si="180"/>
        <v>#NUM!</v>
      </c>
      <c r="CB218" s="229" t="e">
        <f t="shared" si="181"/>
        <v>#N/A</v>
      </c>
      <c r="CC218" s="229" t="e">
        <f t="shared" si="182"/>
        <v>#NUM!</v>
      </c>
    </row>
    <row r="219" spans="23:81" x14ac:dyDescent="0.25">
      <c r="W219" s="427">
        <f t="shared" si="183"/>
        <v>39</v>
      </c>
      <c r="X219" s="884">
        <f t="shared" si="184"/>
        <v>1160</v>
      </c>
      <c r="Y219" s="121" t="b">
        <f>IF($E$36="Fixed",$E$42,IF($E$36="Variable",VLOOKUP(X219,'Financing Constants'!$A$8:$L$148,$X$179)+$E$41/10000))</f>
        <v>0</v>
      </c>
      <c r="Z219" s="229" t="e">
        <f t="shared" si="185"/>
        <v>#N/A</v>
      </c>
      <c r="AA219" s="888" t="str">
        <f t="shared" si="138"/>
        <v>PP</v>
      </c>
      <c r="AB219" s="229" t="e">
        <f t="shared" si="139"/>
        <v>#N/A</v>
      </c>
      <c r="AC219" s="229" t="e">
        <f t="shared" si="155"/>
        <v>#N/A</v>
      </c>
      <c r="AD219" s="229" t="e">
        <f t="shared" si="156"/>
        <v>#N/A</v>
      </c>
      <c r="AE219" s="229" t="e">
        <f t="shared" si="157"/>
        <v>#N/A</v>
      </c>
      <c r="AG219" s="427">
        <f t="shared" si="186"/>
        <v>39</v>
      </c>
      <c r="AH219" s="884">
        <f t="shared" si="187"/>
        <v>1160</v>
      </c>
      <c r="AI219" s="121" t="b">
        <f>IF($H$36="Fixed",$H$42,IF($H$36="Variable",VLOOKUP(AH219,'Financing Constants'!$A$8:$L$148,$AH$179)+$H$41/10000))</f>
        <v>0</v>
      </c>
      <c r="AJ219" s="229" t="e">
        <f t="shared" si="188"/>
        <v>#NUM!</v>
      </c>
      <c r="AK219" s="888" t="str">
        <f t="shared" si="158"/>
        <v>PP</v>
      </c>
      <c r="AL219" s="229" t="e">
        <f t="shared" si="159"/>
        <v>#NUM!</v>
      </c>
      <c r="AM219" s="229" t="e">
        <f t="shared" si="160"/>
        <v>#NUM!</v>
      </c>
      <c r="AN219" s="229" t="e">
        <f t="shared" si="161"/>
        <v>#N/A</v>
      </c>
      <c r="AO219" s="229" t="e">
        <f t="shared" si="162"/>
        <v>#NUM!</v>
      </c>
      <c r="AQ219" s="427">
        <f t="shared" si="189"/>
        <v>39</v>
      </c>
      <c r="AR219" s="884">
        <f t="shared" si="190"/>
        <v>1160</v>
      </c>
      <c r="AS219" s="121" t="b">
        <f>IF($K$36="Fixed",$K$42,IF($K$36="Variable",VLOOKUP(AR219,'Financing Constants'!$A$8:$L$148,$AR$179)+$K$41/10000))</f>
        <v>0</v>
      </c>
      <c r="AT219" s="229" t="e">
        <f t="shared" si="191"/>
        <v>#NUM!</v>
      </c>
      <c r="AU219" s="888" t="str">
        <f t="shared" si="163"/>
        <v>PP</v>
      </c>
      <c r="AV219" s="229" t="e">
        <f t="shared" si="164"/>
        <v>#NUM!</v>
      </c>
      <c r="AW219" s="229" t="e">
        <f t="shared" si="165"/>
        <v>#NUM!</v>
      </c>
      <c r="AX219" s="229" t="e">
        <f t="shared" si="166"/>
        <v>#N/A</v>
      </c>
      <c r="AY219" s="229" t="e">
        <f t="shared" si="167"/>
        <v>#NUM!</v>
      </c>
      <c r="BA219" s="427">
        <f t="shared" si="192"/>
        <v>39</v>
      </c>
      <c r="BB219" s="884">
        <f t="shared" si="193"/>
        <v>1160</v>
      </c>
      <c r="BC219" s="121" t="b">
        <f>IF($N$36="Fixed",$N$42,IF($N$36="Variable",VLOOKUP(BB219,'Financing Constants'!$A$8:$L$148,$BB$179)+$N$41/10000))</f>
        <v>0</v>
      </c>
      <c r="BD219" s="229" t="e">
        <f t="shared" si="194"/>
        <v>#NUM!</v>
      </c>
      <c r="BE219" s="888" t="str">
        <f t="shared" si="168"/>
        <v>PP</v>
      </c>
      <c r="BF219" s="229" t="e">
        <f t="shared" si="169"/>
        <v>#NUM!</v>
      </c>
      <c r="BG219" s="229" t="e">
        <f t="shared" si="170"/>
        <v>#NUM!</v>
      </c>
      <c r="BH219" s="229" t="e">
        <f t="shared" si="171"/>
        <v>#N/A</v>
      </c>
      <c r="BI219" s="229" t="e">
        <f t="shared" si="172"/>
        <v>#NUM!</v>
      </c>
      <c r="BK219" s="427">
        <f t="shared" si="195"/>
        <v>39</v>
      </c>
      <c r="BL219" s="884">
        <f t="shared" si="196"/>
        <v>1160</v>
      </c>
      <c r="BM219" s="121" t="b">
        <f>IF($Q$36="Fixed",$Q$42,IF($Q$36="Variable",VLOOKUP(BL219,'Financing Constants'!$A$8:$L$148,$BL$179)+$Q$41/10000))</f>
        <v>0</v>
      </c>
      <c r="BN219" s="229" t="e">
        <f t="shared" si="197"/>
        <v>#NUM!</v>
      </c>
      <c r="BO219" s="888" t="str">
        <f t="shared" si="173"/>
        <v>PP</v>
      </c>
      <c r="BP219" s="229" t="e">
        <f t="shared" si="174"/>
        <v>#NUM!</v>
      </c>
      <c r="BQ219" s="229" t="e">
        <f t="shared" si="175"/>
        <v>#NUM!</v>
      </c>
      <c r="BR219" s="229" t="e">
        <f t="shared" si="176"/>
        <v>#N/A</v>
      </c>
      <c r="BS219" s="229" t="e">
        <f t="shared" si="177"/>
        <v>#NUM!</v>
      </c>
      <c r="BU219" s="427">
        <f t="shared" si="198"/>
        <v>39</v>
      </c>
      <c r="BV219" s="884">
        <f t="shared" si="199"/>
        <v>1160</v>
      </c>
      <c r="BW219" s="121" t="b">
        <f>IF($T$36="Fixed",$T$42,IF($T$36="Variable",VLOOKUP(BV219,'Financing Constants'!$A$8:$L$148,$BV$179)+$T$41/10000))</f>
        <v>0</v>
      </c>
      <c r="BX219" s="229" t="e">
        <f t="shared" si="200"/>
        <v>#NUM!</v>
      </c>
      <c r="BY219" s="888" t="str">
        <f t="shared" si="178"/>
        <v>PP</v>
      </c>
      <c r="BZ219" s="229" t="e">
        <f t="shared" si="179"/>
        <v>#NUM!</v>
      </c>
      <c r="CA219" s="229" t="e">
        <f t="shared" si="180"/>
        <v>#NUM!</v>
      </c>
      <c r="CB219" s="229" t="e">
        <f t="shared" si="181"/>
        <v>#N/A</v>
      </c>
      <c r="CC219" s="229" t="e">
        <f t="shared" si="182"/>
        <v>#NUM!</v>
      </c>
    </row>
    <row r="220" spans="23:81" x14ac:dyDescent="0.25">
      <c r="W220" s="427">
        <f t="shared" si="183"/>
        <v>40</v>
      </c>
      <c r="X220" s="884">
        <f t="shared" si="184"/>
        <v>1190</v>
      </c>
      <c r="Y220" s="121" t="b">
        <f>IF($E$36="Fixed",$E$42,IF($E$36="Variable",VLOOKUP(X220,'Financing Constants'!$A$8:$L$148,$X$179)+$E$41/10000))</f>
        <v>0</v>
      </c>
      <c r="Z220" s="229" t="e">
        <f t="shared" si="185"/>
        <v>#N/A</v>
      </c>
      <c r="AA220" s="888" t="str">
        <f t="shared" si="138"/>
        <v>PP</v>
      </c>
      <c r="AB220" s="229" t="e">
        <f t="shared" si="139"/>
        <v>#N/A</v>
      </c>
      <c r="AC220" s="229" t="e">
        <f t="shared" si="155"/>
        <v>#N/A</v>
      </c>
      <c r="AD220" s="229" t="e">
        <f t="shared" si="156"/>
        <v>#N/A</v>
      </c>
      <c r="AE220" s="229" t="e">
        <f t="shared" si="157"/>
        <v>#N/A</v>
      </c>
      <c r="AG220" s="427">
        <f t="shared" si="186"/>
        <v>40</v>
      </c>
      <c r="AH220" s="884">
        <f t="shared" si="187"/>
        <v>1190</v>
      </c>
      <c r="AI220" s="121" t="b">
        <f>IF($H$36="Fixed",$H$42,IF($H$36="Variable",VLOOKUP(AH220,'Financing Constants'!$A$8:$L$148,$AH$179)+$H$41/10000))</f>
        <v>0</v>
      </c>
      <c r="AJ220" s="229" t="e">
        <f t="shared" si="188"/>
        <v>#NUM!</v>
      </c>
      <c r="AK220" s="888" t="str">
        <f t="shared" si="158"/>
        <v>PP</v>
      </c>
      <c r="AL220" s="229" t="e">
        <f t="shared" si="159"/>
        <v>#NUM!</v>
      </c>
      <c r="AM220" s="229" t="e">
        <f t="shared" si="160"/>
        <v>#NUM!</v>
      </c>
      <c r="AN220" s="229" t="e">
        <f t="shared" si="161"/>
        <v>#N/A</v>
      </c>
      <c r="AO220" s="229" t="e">
        <f t="shared" si="162"/>
        <v>#NUM!</v>
      </c>
      <c r="AQ220" s="427">
        <f t="shared" si="189"/>
        <v>40</v>
      </c>
      <c r="AR220" s="884">
        <f t="shared" si="190"/>
        <v>1190</v>
      </c>
      <c r="AS220" s="121" t="b">
        <f>IF($K$36="Fixed",$K$42,IF($K$36="Variable",VLOOKUP(AR220,'Financing Constants'!$A$8:$L$148,$AR$179)+$K$41/10000))</f>
        <v>0</v>
      </c>
      <c r="AT220" s="229" t="e">
        <f t="shared" si="191"/>
        <v>#NUM!</v>
      </c>
      <c r="AU220" s="888" t="str">
        <f t="shared" si="163"/>
        <v>PP</v>
      </c>
      <c r="AV220" s="229" t="e">
        <f t="shared" si="164"/>
        <v>#NUM!</v>
      </c>
      <c r="AW220" s="229" t="e">
        <f t="shared" si="165"/>
        <v>#NUM!</v>
      </c>
      <c r="AX220" s="229" t="e">
        <f t="shared" si="166"/>
        <v>#N/A</v>
      </c>
      <c r="AY220" s="229" t="e">
        <f t="shared" si="167"/>
        <v>#NUM!</v>
      </c>
      <c r="BA220" s="427">
        <f t="shared" si="192"/>
        <v>40</v>
      </c>
      <c r="BB220" s="884">
        <f t="shared" si="193"/>
        <v>1190</v>
      </c>
      <c r="BC220" s="121" t="b">
        <f>IF($N$36="Fixed",$N$42,IF($N$36="Variable",VLOOKUP(BB220,'Financing Constants'!$A$8:$L$148,$BB$179)+$N$41/10000))</f>
        <v>0</v>
      </c>
      <c r="BD220" s="229" t="e">
        <f t="shared" si="194"/>
        <v>#NUM!</v>
      </c>
      <c r="BE220" s="888" t="str">
        <f t="shared" si="168"/>
        <v>PP</v>
      </c>
      <c r="BF220" s="229" t="e">
        <f t="shared" si="169"/>
        <v>#NUM!</v>
      </c>
      <c r="BG220" s="229" t="e">
        <f t="shared" si="170"/>
        <v>#NUM!</v>
      </c>
      <c r="BH220" s="229" t="e">
        <f t="shared" si="171"/>
        <v>#N/A</v>
      </c>
      <c r="BI220" s="229" t="e">
        <f t="shared" si="172"/>
        <v>#NUM!</v>
      </c>
      <c r="BK220" s="427">
        <f t="shared" si="195"/>
        <v>40</v>
      </c>
      <c r="BL220" s="884">
        <f t="shared" si="196"/>
        <v>1190</v>
      </c>
      <c r="BM220" s="121" t="b">
        <f>IF($Q$36="Fixed",$Q$42,IF($Q$36="Variable",VLOOKUP(BL220,'Financing Constants'!$A$8:$L$148,$BL$179)+$Q$41/10000))</f>
        <v>0</v>
      </c>
      <c r="BN220" s="229" t="e">
        <f t="shared" si="197"/>
        <v>#NUM!</v>
      </c>
      <c r="BO220" s="888" t="str">
        <f t="shared" si="173"/>
        <v>PP</v>
      </c>
      <c r="BP220" s="229" t="e">
        <f t="shared" si="174"/>
        <v>#NUM!</v>
      </c>
      <c r="BQ220" s="229" t="e">
        <f t="shared" si="175"/>
        <v>#NUM!</v>
      </c>
      <c r="BR220" s="229" t="e">
        <f t="shared" si="176"/>
        <v>#N/A</v>
      </c>
      <c r="BS220" s="229" t="e">
        <f t="shared" si="177"/>
        <v>#NUM!</v>
      </c>
      <c r="BU220" s="427">
        <f t="shared" si="198"/>
        <v>40</v>
      </c>
      <c r="BV220" s="884">
        <f t="shared" si="199"/>
        <v>1190</v>
      </c>
      <c r="BW220" s="121" t="b">
        <f>IF($T$36="Fixed",$T$42,IF($T$36="Variable",VLOOKUP(BV220,'Financing Constants'!$A$8:$L$148,$BV$179)+$T$41/10000))</f>
        <v>0</v>
      </c>
      <c r="BX220" s="229" t="e">
        <f t="shared" si="200"/>
        <v>#NUM!</v>
      </c>
      <c r="BY220" s="888" t="str">
        <f t="shared" si="178"/>
        <v>PP</v>
      </c>
      <c r="BZ220" s="229" t="e">
        <f t="shared" si="179"/>
        <v>#NUM!</v>
      </c>
      <c r="CA220" s="229" t="e">
        <f t="shared" si="180"/>
        <v>#NUM!</v>
      </c>
      <c r="CB220" s="229" t="e">
        <f t="shared" si="181"/>
        <v>#N/A</v>
      </c>
      <c r="CC220" s="229" t="e">
        <f t="shared" si="182"/>
        <v>#NUM!</v>
      </c>
    </row>
    <row r="221" spans="23:81" x14ac:dyDescent="0.25">
      <c r="W221" s="427">
        <f t="shared" si="183"/>
        <v>41</v>
      </c>
      <c r="X221" s="884">
        <f t="shared" si="184"/>
        <v>1220</v>
      </c>
      <c r="Y221" s="121" t="b">
        <f>IF($E$36="Fixed",$E$42,IF($E$36="Variable",VLOOKUP(X221,'Financing Constants'!$A$8:$L$148,$X$179)+$E$41/10000))</f>
        <v>0</v>
      </c>
      <c r="Z221" s="229" t="e">
        <f t="shared" si="185"/>
        <v>#N/A</v>
      </c>
      <c r="AA221" s="888" t="str">
        <f t="shared" si="138"/>
        <v>PP</v>
      </c>
      <c r="AB221" s="229" t="e">
        <f t="shared" si="139"/>
        <v>#N/A</v>
      </c>
      <c r="AC221" s="229" t="e">
        <f t="shared" si="155"/>
        <v>#N/A</v>
      </c>
      <c r="AD221" s="229" t="e">
        <f t="shared" si="156"/>
        <v>#N/A</v>
      </c>
      <c r="AE221" s="229" t="e">
        <f t="shared" si="157"/>
        <v>#N/A</v>
      </c>
      <c r="AG221" s="427">
        <f t="shared" si="186"/>
        <v>41</v>
      </c>
      <c r="AH221" s="884">
        <f t="shared" si="187"/>
        <v>1220</v>
      </c>
      <c r="AI221" s="121" t="b">
        <f>IF($H$36="Fixed",$H$42,IF($H$36="Variable",VLOOKUP(AH221,'Financing Constants'!$A$8:$L$148,$AH$179)+$H$41/10000))</f>
        <v>0</v>
      </c>
      <c r="AJ221" s="229" t="e">
        <f t="shared" si="188"/>
        <v>#NUM!</v>
      </c>
      <c r="AK221" s="888" t="str">
        <f t="shared" si="158"/>
        <v>PP</v>
      </c>
      <c r="AL221" s="229" t="e">
        <f t="shared" si="159"/>
        <v>#NUM!</v>
      </c>
      <c r="AM221" s="229" t="e">
        <f t="shared" si="160"/>
        <v>#NUM!</v>
      </c>
      <c r="AN221" s="229" t="e">
        <f t="shared" si="161"/>
        <v>#N/A</v>
      </c>
      <c r="AO221" s="229" t="e">
        <f t="shared" si="162"/>
        <v>#NUM!</v>
      </c>
      <c r="AQ221" s="427">
        <f t="shared" si="189"/>
        <v>41</v>
      </c>
      <c r="AR221" s="884">
        <f t="shared" si="190"/>
        <v>1220</v>
      </c>
      <c r="AS221" s="121" t="b">
        <f>IF($K$36="Fixed",$K$42,IF($K$36="Variable",VLOOKUP(AR221,'Financing Constants'!$A$8:$L$148,$AR$179)+$K$41/10000))</f>
        <v>0</v>
      </c>
      <c r="AT221" s="229" t="e">
        <f t="shared" si="191"/>
        <v>#NUM!</v>
      </c>
      <c r="AU221" s="888" t="str">
        <f t="shared" si="163"/>
        <v>PP</v>
      </c>
      <c r="AV221" s="229" t="e">
        <f t="shared" si="164"/>
        <v>#NUM!</v>
      </c>
      <c r="AW221" s="229" t="e">
        <f t="shared" si="165"/>
        <v>#NUM!</v>
      </c>
      <c r="AX221" s="229" t="e">
        <f t="shared" si="166"/>
        <v>#N/A</v>
      </c>
      <c r="AY221" s="229" t="e">
        <f t="shared" si="167"/>
        <v>#NUM!</v>
      </c>
      <c r="BA221" s="427">
        <f t="shared" si="192"/>
        <v>41</v>
      </c>
      <c r="BB221" s="884">
        <f t="shared" si="193"/>
        <v>1220</v>
      </c>
      <c r="BC221" s="121" t="b">
        <f>IF($N$36="Fixed",$N$42,IF($N$36="Variable",VLOOKUP(BB221,'Financing Constants'!$A$8:$L$148,$BB$179)+$N$41/10000))</f>
        <v>0</v>
      </c>
      <c r="BD221" s="229" t="e">
        <f t="shared" si="194"/>
        <v>#NUM!</v>
      </c>
      <c r="BE221" s="888" t="str">
        <f t="shared" si="168"/>
        <v>PP</v>
      </c>
      <c r="BF221" s="229" t="e">
        <f t="shared" si="169"/>
        <v>#NUM!</v>
      </c>
      <c r="BG221" s="229" t="e">
        <f t="shared" si="170"/>
        <v>#NUM!</v>
      </c>
      <c r="BH221" s="229" t="e">
        <f t="shared" si="171"/>
        <v>#N/A</v>
      </c>
      <c r="BI221" s="229" t="e">
        <f t="shared" si="172"/>
        <v>#NUM!</v>
      </c>
      <c r="BK221" s="427">
        <f t="shared" si="195"/>
        <v>41</v>
      </c>
      <c r="BL221" s="884">
        <f t="shared" si="196"/>
        <v>1220</v>
      </c>
      <c r="BM221" s="121" t="b">
        <f>IF($Q$36="Fixed",$Q$42,IF($Q$36="Variable",VLOOKUP(BL221,'Financing Constants'!$A$8:$L$148,$BL$179)+$Q$41/10000))</f>
        <v>0</v>
      </c>
      <c r="BN221" s="229" t="e">
        <f t="shared" si="197"/>
        <v>#NUM!</v>
      </c>
      <c r="BO221" s="888" t="str">
        <f t="shared" si="173"/>
        <v>PP</v>
      </c>
      <c r="BP221" s="229" t="e">
        <f t="shared" si="174"/>
        <v>#NUM!</v>
      </c>
      <c r="BQ221" s="229" t="e">
        <f t="shared" si="175"/>
        <v>#NUM!</v>
      </c>
      <c r="BR221" s="229" t="e">
        <f t="shared" si="176"/>
        <v>#N/A</v>
      </c>
      <c r="BS221" s="229" t="e">
        <f t="shared" si="177"/>
        <v>#NUM!</v>
      </c>
      <c r="BU221" s="427">
        <f t="shared" si="198"/>
        <v>41</v>
      </c>
      <c r="BV221" s="884">
        <f t="shared" si="199"/>
        <v>1220</v>
      </c>
      <c r="BW221" s="121" t="b">
        <f>IF($T$36="Fixed",$T$42,IF($T$36="Variable",VLOOKUP(BV221,'Financing Constants'!$A$8:$L$148,$BV$179)+$T$41/10000))</f>
        <v>0</v>
      </c>
      <c r="BX221" s="229" t="e">
        <f t="shared" si="200"/>
        <v>#NUM!</v>
      </c>
      <c r="BY221" s="888" t="str">
        <f t="shared" si="178"/>
        <v>PP</v>
      </c>
      <c r="BZ221" s="229" t="e">
        <f t="shared" si="179"/>
        <v>#NUM!</v>
      </c>
      <c r="CA221" s="229" t="e">
        <f t="shared" si="180"/>
        <v>#NUM!</v>
      </c>
      <c r="CB221" s="229" t="e">
        <f t="shared" si="181"/>
        <v>#N/A</v>
      </c>
      <c r="CC221" s="229" t="e">
        <f t="shared" si="182"/>
        <v>#NUM!</v>
      </c>
    </row>
    <row r="222" spans="23:81" x14ac:dyDescent="0.25">
      <c r="W222" s="427">
        <f t="shared" si="183"/>
        <v>42</v>
      </c>
      <c r="X222" s="884">
        <f t="shared" si="184"/>
        <v>1250</v>
      </c>
      <c r="Y222" s="121" t="b">
        <f>IF($E$36="Fixed",$E$42,IF($E$36="Variable",VLOOKUP(X222,'Financing Constants'!$A$8:$L$148,$X$179)+$E$41/10000))</f>
        <v>0</v>
      </c>
      <c r="Z222" s="229" t="e">
        <f t="shared" si="185"/>
        <v>#N/A</v>
      </c>
      <c r="AA222" s="888" t="str">
        <f t="shared" si="138"/>
        <v>PP</v>
      </c>
      <c r="AB222" s="229" t="e">
        <f t="shared" si="139"/>
        <v>#N/A</v>
      </c>
      <c r="AC222" s="229" t="e">
        <f t="shared" si="155"/>
        <v>#N/A</v>
      </c>
      <c r="AD222" s="229" t="e">
        <f t="shared" si="156"/>
        <v>#N/A</v>
      </c>
      <c r="AE222" s="229" t="e">
        <f t="shared" si="157"/>
        <v>#N/A</v>
      </c>
      <c r="AG222" s="427">
        <f t="shared" si="186"/>
        <v>42</v>
      </c>
      <c r="AH222" s="884">
        <f t="shared" si="187"/>
        <v>1250</v>
      </c>
      <c r="AI222" s="121" t="b">
        <f>IF($H$36="Fixed",$H$42,IF($H$36="Variable",VLOOKUP(AH222,'Financing Constants'!$A$8:$L$148,$AH$179)+$H$41/10000))</f>
        <v>0</v>
      </c>
      <c r="AJ222" s="229" t="e">
        <f t="shared" si="188"/>
        <v>#NUM!</v>
      </c>
      <c r="AK222" s="888" t="str">
        <f t="shared" si="158"/>
        <v>PP</v>
      </c>
      <c r="AL222" s="229" t="e">
        <f t="shared" si="159"/>
        <v>#NUM!</v>
      </c>
      <c r="AM222" s="229" t="e">
        <f t="shared" si="160"/>
        <v>#NUM!</v>
      </c>
      <c r="AN222" s="229" t="e">
        <f t="shared" si="161"/>
        <v>#N/A</v>
      </c>
      <c r="AO222" s="229" t="e">
        <f t="shared" si="162"/>
        <v>#NUM!</v>
      </c>
      <c r="AQ222" s="427">
        <f t="shared" si="189"/>
        <v>42</v>
      </c>
      <c r="AR222" s="884">
        <f t="shared" si="190"/>
        <v>1250</v>
      </c>
      <c r="AS222" s="121" t="b">
        <f>IF($K$36="Fixed",$K$42,IF($K$36="Variable",VLOOKUP(AR222,'Financing Constants'!$A$8:$L$148,$AR$179)+$K$41/10000))</f>
        <v>0</v>
      </c>
      <c r="AT222" s="229" t="e">
        <f t="shared" si="191"/>
        <v>#NUM!</v>
      </c>
      <c r="AU222" s="888" t="str">
        <f t="shared" si="163"/>
        <v>PP</v>
      </c>
      <c r="AV222" s="229" t="e">
        <f t="shared" si="164"/>
        <v>#NUM!</v>
      </c>
      <c r="AW222" s="229" t="e">
        <f t="shared" si="165"/>
        <v>#NUM!</v>
      </c>
      <c r="AX222" s="229" t="e">
        <f t="shared" si="166"/>
        <v>#N/A</v>
      </c>
      <c r="AY222" s="229" t="e">
        <f t="shared" si="167"/>
        <v>#NUM!</v>
      </c>
      <c r="BA222" s="427">
        <f t="shared" si="192"/>
        <v>42</v>
      </c>
      <c r="BB222" s="884">
        <f t="shared" si="193"/>
        <v>1250</v>
      </c>
      <c r="BC222" s="121" t="b">
        <f>IF($N$36="Fixed",$N$42,IF($N$36="Variable",VLOOKUP(BB222,'Financing Constants'!$A$8:$L$148,$BB$179)+$N$41/10000))</f>
        <v>0</v>
      </c>
      <c r="BD222" s="229" t="e">
        <f t="shared" si="194"/>
        <v>#NUM!</v>
      </c>
      <c r="BE222" s="888" t="str">
        <f t="shared" si="168"/>
        <v>PP</v>
      </c>
      <c r="BF222" s="229" t="e">
        <f t="shared" si="169"/>
        <v>#NUM!</v>
      </c>
      <c r="BG222" s="229" t="e">
        <f t="shared" si="170"/>
        <v>#NUM!</v>
      </c>
      <c r="BH222" s="229" t="e">
        <f t="shared" si="171"/>
        <v>#N/A</v>
      </c>
      <c r="BI222" s="229" t="e">
        <f t="shared" si="172"/>
        <v>#NUM!</v>
      </c>
      <c r="BK222" s="427">
        <f t="shared" si="195"/>
        <v>42</v>
      </c>
      <c r="BL222" s="884">
        <f t="shared" si="196"/>
        <v>1250</v>
      </c>
      <c r="BM222" s="121" t="b">
        <f>IF($Q$36="Fixed",$Q$42,IF($Q$36="Variable",VLOOKUP(BL222,'Financing Constants'!$A$8:$L$148,$BL$179)+$Q$41/10000))</f>
        <v>0</v>
      </c>
      <c r="BN222" s="229" t="e">
        <f t="shared" si="197"/>
        <v>#NUM!</v>
      </c>
      <c r="BO222" s="888" t="str">
        <f t="shared" si="173"/>
        <v>PP</v>
      </c>
      <c r="BP222" s="229" t="e">
        <f t="shared" si="174"/>
        <v>#NUM!</v>
      </c>
      <c r="BQ222" s="229" t="e">
        <f t="shared" si="175"/>
        <v>#NUM!</v>
      </c>
      <c r="BR222" s="229" t="e">
        <f t="shared" si="176"/>
        <v>#N/A</v>
      </c>
      <c r="BS222" s="229" t="e">
        <f t="shared" si="177"/>
        <v>#NUM!</v>
      </c>
      <c r="BU222" s="427">
        <f t="shared" si="198"/>
        <v>42</v>
      </c>
      <c r="BV222" s="884">
        <f t="shared" si="199"/>
        <v>1250</v>
      </c>
      <c r="BW222" s="121" t="b">
        <f>IF($T$36="Fixed",$T$42,IF($T$36="Variable",VLOOKUP(BV222,'Financing Constants'!$A$8:$L$148,$BV$179)+$T$41/10000))</f>
        <v>0</v>
      </c>
      <c r="BX222" s="229" t="e">
        <f t="shared" si="200"/>
        <v>#NUM!</v>
      </c>
      <c r="BY222" s="888" t="str">
        <f t="shared" si="178"/>
        <v>PP</v>
      </c>
      <c r="BZ222" s="229" t="e">
        <f t="shared" si="179"/>
        <v>#NUM!</v>
      </c>
      <c r="CA222" s="229" t="e">
        <f t="shared" si="180"/>
        <v>#NUM!</v>
      </c>
      <c r="CB222" s="229" t="e">
        <f t="shared" si="181"/>
        <v>#N/A</v>
      </c>
      <c r="CC222" s="229" t="e">
        <f t="shared" si="182"/>
        <v>#NUM!</v>
      </c>
    </row>
    <row r="223" spans="23:81" x14ac:dyDescent="0.25">
      <c r="W223" s="427">
        <f t="shared" si="183"/>
        <v>43</v>
      </c>
      <c r="X223" s="884">
        <f t="shared" si="184"/>
        <v>1280</v>
      </c>
      <c r="Y223" s="121" t="b">
        <f>IF($E$36="Fixed",$E$42,IF($E$36="Variable",VLOOKUP(X223,'Financing Constants'!$A$8:$L$148,$X$179)+$E$41/10000))</f>
        <v>0</v>
      </c>
      <c r="Z223" s="229" t="e">
        <f t="shared" si="185"/>
        <v>#N/A</v>
      </c>
      <c r="AA223" s="888" t="str">
        <f t="shared" si="138"/>
        <v>PP</v>
      </c>
      <c r="AB223" s="229" t="e">
        <f t="shared" si="139"/>
        <v>#N/A</v>
      </c>
      <c r="AC223" s="229" t="e">
        <f t="shared" si="155"/>
        <v>#N/A</v>
      </c>
      <c r="AD223" s="229" t="e">
        <f t="shared" si="156"/>
        <v>#N/A</v>
      </c>
      <c r="AE223" s="229" t="e">
        <f t="shared" si="157"/>
        <v>#N/A</v>
      </c>
      <c r="AG223" s="427">
        <f t="shared" si="186"/>
        <v>43</v>
      </c>
      <c r="AH223" s="884">
        <f t="shared" si="187"/>
        <v>1280</v>
      </c>
      <c r="AI223" s="121" t="b">
        <f>IF($H$36="Fixed",$H$42,IF($H$36="Variable",VLOOKUP(AH223,'Financing Constants'!$A$8:$L$148,$AH$179)+$H$41/10000))</f>
        <v>0</v>
      </c>
      <c r="AJ223" s="229" t="e">
        <f t="shared" si="188"/>
        <v>#NUM!</v>
      </c>
      <c r="AK223" s="888" t="str">
        <f t="shared" si="158"/>
        <v>PP</v>
      </c>
      <c r="AL223" s="229" t="e">
        <f t="shared" si="159"/>
        <v>#NUM!</v>
      </c>
      <c r="AM223" s="229" t="e">
        <f t="shared" si="160"/>
        <v>#NUM!</v>
      </c>
      <c r="AN223" s="229" t="e">
        <f t="shared" si="161"/>
        <v>#N/A</v>
      </c>
      <c r="AO223" s="229" t="e">
        <f t="shared" si="162"/>
        <v>#NUM!</v>
      </c>
      <c r="AQ223" s="427">
        <f t="shared" si="189"/>
        <v>43</v>
      </c>
      <c r="AR223" s="884">
        <f t="shared" si="190"/>
        <v>1280</v>
      </c>
      <c r="AS223" s="121" t="b">
        <f>IF($K$36="Fixed",$K$42,IF($K$36="Variable",VLOOKUP(AR223,'Financing Constants'!$A$8:$L$148,$AR$179)+$K$41/10000))</f>
        <v>0</v>
      </c>
      <c r="AT223" s="229" t="e">
        <f t="shared" si="191"/>
        <v>#NUM!</v>
      </c>
      <c r="AU223" s="888" t="str">
        <f t="shared" si="163"/>
        <v>PP</v>
      </c>
      <c r="AV223" s="229" t="e">
        <f t="shared" si="164"/>
        <v>#NUM!</v>
      </c>
      <c r="AW223" s="229" t="e">
        <f t="shared" si="165"/>
        <v>#NUM!</v>
      </c>
      <c r="AX223" s="229" t="e">
        <f t="shared" si="166"/>
        <v>#N/A</v>
      </c>
      <c r="AY223" s="229" t="e">
        <f t="shared" si="167"/>
        <v>#NUM!</v>
      </c>
      <c r="BA223" s="427">
        <f t="shared" si="192"/>
        <v>43</v>
      </c>
      <c r="BB223" s="884">
        <f t="shared" si="193"/>
        <v>1280</v>
      </c>
      <c r="BC223" s="121" t="b">
        <f>IF($N$36="Fixed",$N$42,IF($N$36="Variable",VLOOKUP(BB223,'Financing Constants'!$A$8:$L$148,$BB$179)+$N$41/10000))</f>
        <v>0</v>
      </c>
      <c r="BD223" s="229" t="e">
        <f t="shared" si="194"/>
        <v>#NUM!</v>
      </c>
      <c r="BE223" s="888" t="str">
        <f t="shared" si="168"/>
        <v>PP</v>
      </c>
      <c r="BF223" s="229" t="e">
        <f t="shared" si="169"/>
        <v>#NUM!</v>
      </c>
      <c r="BG223" s="229" t="e">
        <f t="shared" si="170"/>
        <v>#NUM!</v>
      </c>
      <c r="BH223" s="229" t="e">
        <f t="shared" si="171"/>
        <v>#N/A</v>
      </c>
      <c r="BI223" s="229" t="e">
        <f t="shared" si="172"/>
        <v>#NUM!</v>
      </c>
      <c r="BK223" s="427">
        <f t="shared" si="195"/>
        <v>43</v>
      </c>
      <c r="BL223" s="884">
        <f t="shared" si="196"/>
        <v>1280</v>
      </c>
      <c r="BM223" s="121" t="b">
        <f>IF($Q$36="Fixed",$Q$42,IF($Q$36="Variable",VLOOKUP(BL223,'Financing Constants'!$A$8:$L$148,$BL$179)+$Q$41/10000))</f>
        <v>0</v>
      </c>
      <c r="BN223" s="229" t="e">
        <f t="shared" si="197"/>
        <v>#NUM!</v>
      </c>
      <c r="BO223" s="888" t="str">
        <f t="shared" si="173"/>
        <v>PP</v>
      </c>
      <c r="BP223" s="229" t="e">
        <f t="shared" si="174"/>
        <v>#NUM!</v>
      </c>
      <c r="BQ223" s="229" t="e">
        <f t="shared" si="175"/>
        <v>#NUM!</v>
      </c>
      <c r="BR223" s="229" t="e">
        <f t="shared" si="176"/>
        <v>#N/A</v>
      </c>
      <c r="BS223" s="229" t="e">
        <f t="shared" si="177"/>
        <v>#NUM!</v>
      </c>
      <c r="BU223" s="427">
        <f t="shared" si="198"/>
        <v>43</v>
      </c>
      <c r="BV223" s="884">
        <f t="shared" si="199"/>
        <v>1280</v>
      </c>
      <c r="BW223" s="121" t="b">
        <f>IF($T$36="Fixed",$T$42,IF($T$36="Variable",VLOOKUP(BV223,'Financing Constants'!$A$8:$L$148,$BV$179)+$T$41/10000))</f>
        <v>0</v>
      </c>
      <c r="BX223" s="229" t="e">
        <f t="shared" si="200"/>
        <v>#NUM!</v>
      </c>
      <c r="BY223" s="888" t="str">
        <f t="shared" si="178"/>
        <v>PP</v>
      </c>
      <c r="BZ223" s="229" t="e">
        <f t="shared" si="179"/>
        <v>#NUM!</v>
      </c>
      <c r="CA223" s="229" t="e">
        <f t="shared" si="180"/>
        <v>#NUM!</v>
      </c>
      <c r="CB223" s="229" t="e">
        <f t="shared" si="181"/>
        <v>#N/A</v>
      </c>
      <c r="CC223" s="229" t="e">
        <f t="shared" si="182"/>
        <v>#NUM!</v>
      </c>
    </row>
    <row r="224" spans="23:81" x14ac:dyDescent="0.25">
      <c r="W224" s="427">
        <f t="shared" si="183"/>
        <v>44</v>
      </c>
      <c r="X224" s="884">
        <f t="shared" si="184"/>
        <v>1310</v>
      </c>
      <c r="Y224" s="121" t="b">
        <f>IF($E$36="Fixed",$E$42,IF($E$36="Variable",VLOOKUP(X224,'Financing Constants'!$A$8:$L$148,$X$179)+$E$41/10000))</f>
        <v>0</v>
      </c>
      <c r="Z224" s="229" t="e">
        <f t="shared" si="185"/>
        <v>#N/A</v>
      </c>
      <c r="AA224" s="888" t="str">
        <f t="shared" si="138"/>
        <v>PP</v>
      </c>
      <c r="AB224" s="229" t="e">
        <f t="shared" si="139"/>
        <v>#N/A</v>
      </c>
      <c r="AC224" s="229" t="e">
        <f t="shared" si="155"/>
        <v>#N/A</v>
      </c>
      <c r="AD224" s="229" t="e">
        <f t="shared" si="156"/>
        <v>#N/A</v>
      </c>
      <c r="AE224" s="229" t="e">
        <f t="shared" si="157"/>
        <v>#N/A</v>
      </c>
      <c r="AG224" s="427">
        <f t="shared" si="186"/>
        <v>44</v>
      </c>
      <c r="AH224" s="884">
        <f t="shared" si="187"/>
        <v>1310</v>
      </c>
      <c r="AI224" s="121" t="b">
        <f>IF($H$36="Fixed",$H$42,IF($H$36="Variable",VLOOKUP(AH224,'Financing Constants'!$A$8:$L$148,$AH$179)+$H$41/10000))</f>
        <v>0</v>
      </c>
      <c r="AJ224" s="229" t="e">
        <f t="shared" si="188"/>
        <v>#NUM!</v>
      </c>
      <c r="AK224" s="888" t="str">
        <f t="shared" si="158"/>
        <v>PP</v>
      </c>
      <c r="AL224" s="229" t="e">
        <f t="shared" si="159"/>
        <v>#NUM!</v>
      </c>
      <c r="AM224" s="229" t="e">
        <f t="shared" si="160"/>
        <v>#NUM!</v>
      </c>
      <c r="AN224" s="229" t="e">
        <f t="shared" si="161"/>
        <v>#N/A</v>
      </c>
      <c r="AO224" s="229" t="e">
        <f t="shared" si="162"/>
        <v>#NUM!</v>
      </c>
      <c r="AQ224" s="427">
        <f t="shared" si="189"/>
        <v>44</v>
      </c>
      <c r="AR224" s="884">
        <f t="shared" si="190"/>
        <v>1310</v>
      </c>
      <c r="AS224" s="121" t="b">
        <f>IF($K$36="Fixed",$K$42,IF($K$36="Variable",VLOOKUP(AR224,'Financing Constants'!$A$8:$L$148,$AR$179)+$K$41/10000))</f>
        <v>0</v>
      </c>
      <c r="AT224" s="229" t="e">
        <f t="shared" si="191"/>
        <v>#NUM!</v>
      </c>
      <c r="AU224" s="888" t="str">
        <f t="shared" si="163"/>
        <v>PP</v>
      </c>
      <c r="AV224" s="229" t="e">
        <f t="shared" si="164"/>
        <v>#NUM!</v>
      </c>
      <c r="AW224" s="229" t="e">
        <f t="shared" si="165"/>
        <v>#NUM!</v>
      </c>
      <c r="AX224" s="229" t="e">
        <f t="shared" si="166"/>
        <v>#N/A</v>
      </c>
      <c r="AY224" s="229" t="e">
        <f t="shared" si="167"/>
        <v>#NUM!</v>
      </c>
      <c r="BA224" s="427">
        <f t="shared" si="192"/>
        <v>44</v>
      </c>
      <c r="BB224" s="884">
        <f t="shared" si="193"/>
        <v>1310</v>
      </c>
      <c r="BC224" s="121" t="b">
        <f>IF($N$36="Fixed",$N$42,IF($N$36="Variable",VLOOKUP(BB224,'Financing Constants'!$A$8:$L$148,$BB$179)+$N$41/10000))</f>
        <v>0</v>
      </c>
      <c r="BD224" s="229" t="e">
        <f t="shared" si="194"/>
        <v>#NUM!</v>
      </c>
      <c r="BE224" s="888" t="str">
        <f t="shared" si="168"/>
        <v>PP</v>
      </c>
      <c r="BF224" s="229" t="e">
        <f t="shared" si="169"/>
        <v>#NUM!</v>
      </c>
      <c r="BG224" s="229" t="e">
        <f t="shared" si="170"/>
        <v>#NUM!</v>
      </c>
      <c r="BH224" s="229" t="e">
        <f t="shared" si="171"/>
        <v>#N/A</v>
      </c>
      <c r="BI224" s="229" t="e">
        <f t="shared" si="172"/>
        <v>#NUM!</v>
      </c>
      <c r="BK224" s="427">
        <f t="shared" si="195"/>
        <v>44</v>
      </c>
      <c r="BL224" s="884">
        <f t="shared" si="196"/>
        <v>1310</v>
      </c>
      <c r="BM224" s="121" t="b">
        <f>IF($Q$36="Fixed",$Q$42,IF($Q$36="Variable",VLOOKUP(BL224,'Financing Constants'!$A$8:$L$148,$BL$179)+$Q$41/10000))</f>
        <v>0</v>
      </c>
      <c r="BN224" s="229" t="e">
        <f t="shared" si="197"/>
        <v>#NUM!</v>
      </c>
      <c r="BO224" s="888" t="str">
        <f t="shared" si="173"/>
        <v>PP</v>
      </c>
      <c r="BP224" s="229" t="e">
        <f t="shared" si="174"/>
        <v>#NUM!</v>
      </c>
      <c r="BQ224" s="229" t="e">
        <f t="shared" si="175"/>
        <v>#NUM!</v>
      </c>
      <c r="BR224" s="229" t="e">
        <f t="shared" si="176"/>
        <v>#N/A</v>
      </c>
      <c r="BS224" s="229" t="e">
        <f t="shared" si="177"/>
        <v>#NUM!</v>
      </c>
      <c r="BU224" s="427">
        <f t="shared" si="198"/>
        <v>44</v>
      </c>
      <c r="BV224" s="884">
        <f t="shared" si="199"/>
        <v>1310</v>
      </c>
      <c r="BW224" s="121" t="b">
        <f>IF($T$36="Fixed",$T$42,IF($T$36="Variable",VLOOKUP(BV224,'Financing Constants'!$A$8:$L$148,$BV$179)+$T$41/10000))</f>
        <v>0</v>
      </c>
      <c r="BX224" s="229" t="e">
        <f t="shared" si="200"/>
        <v>#NUM!</v>
      </c>
      <c r="BY224" s="888" t="str">
        <f t="shared" si="178"/>
        <v>PP</v>
      </c>
      <c r="BZ224" s="229" t="e">
        <f t="shared" si="179"/>
        <v>#NUM!</v>
      </c>
      <c r="CA224" s="229" t="e">
        <f t="shared" si="180"/>
        <v>#NUM!</v>
      </c>
      <c r="CB224" s="229" t="e">
        <f t="shared" si="181"/>
        <v>#N/A</v>
      </c>
      <c r="CC224" s="229" t="e">
        <f t="shared" si="182"/>
        <v>#NUM!</v>
      </c>
    </row>
    <row r="225" spans="23:81" x14ac:dyDescent="0.25">
      <c r="W225" s="427">
        <f t="shared" si="183"/>
        <v>45</v>
      </c>
      <c r="X225" s="884">
        <f t="shared" si="184"/>
        <v>1340</v>
      </c>
      <c r="Y225" s="121" t="b">
        <f>IF($E$36="Fixed",$E$42,IF($E$36="Variable",VLOOKUP(X225,'Financing Constants'!$A$8:$L$148,$X$179)+$E$41/10000))</f>
        <v>0</v>
      </c>
      <c r="Z225" s="229" t="e">
        <f t="shared" si="185"/>
        <v>#N/A</v>
      </c>
      <c r="AA225" s="888" t="str">
        <f t="shared" si="138"/>
        <v>PP</v>
      </c>
      <c r="AB225" s="229" t="e">
        <f t="shared" si="139"/>
        <v>#N/A</v>
      </c>
      <c r="AC225" s="229" t="e">
        <f t="shared" si="155"/>
        <v>#N/A</v>
      </c>
      <c r="AD225" s="229" t="e">
        <f t="shared" si="156"/>
        <v>#N/A</v>
      </c>
      <c r="AE225" s="229" t="e">
        <f t="shared" si="157"/>
        <v>#N/A</v>
      </c>
      <c r="AG225" s="427">
        <f t="shared" si="186"/>
        <v>45</v>
      </c>
      <c r="AH225" s="884">
        <f t="shared" si="187"/>
        <v>1340</v>
      </c>
      <c r="AI225" s="121" t="b">
        <f>IF($H$36="Fixed",$H$42,IF($H$36="Variable",VLOOKUP(AH225,'Financing Constants'!$A$8:$L$148,$AH$179)+$H$41/10000))</f>
        <v>0</v>
      </c>
      <c r="AJ225" s="229" t="e">
        <f t="shared" si="188"/>
        <v>#NUM!</v>
      </c>
      <c r="AK225" s="888" t="str">
        <f t="shared" si="158"/>
        <v>PP</v>
      </c>
      <c r="AL225" s="229" t="e">
        <f t="shared" si="159"/>
        <v>#NUM!</v>
      </c>
      <c r="AM225" s="229" t="e">
        <f t="shared" si="160"/>
        <v>#NUM!</v>
      </c>
      <c r="AN225" s="229" t="e">
        <f t="shared" si="161"/>
        <v>#N/A</v>
      </c>
      <c r="AO225" s="229" t="e">
        <f t="shared" si="162"/>
        <v>#NUM!</v>
      </c>
      <c r="AQ225" s="427">
        <f t="shared" si="189"/>
        <v>45</v>
      </c>
      <c r="AR225" s="884">
        <f t="shared" si="190"/>
        <v>1340</v>
      </c>
      <c r="AS225" s="121" t="b">
        <f>IF($K$36="Fixed",$K$42,IF($K$36="Variable",VLOOKUP(AR225,'Financing Constants'!$A$8:$L$148,$AR$179)+$K$41/10000))</f>
        <v>0</v>
      </c>
      <c r="AT225" s="229" t="e">
        <f t="shared" si="191"/>
        <v>#NUM!</v>
      </c>
      <c r="AU225" s="888" t="str">
        <f t="shared" si="163"/>
        <v>PP</v>
      </c>
      <c r="AV225" s="229" t="e">
        <f t="shared" si="164"/>
        <v>#NUM!</v>
      </c>
      <c r="AW225" s="229" t="e">
        <f t="shared" si="165"/>
        <v>#NUM!</v>
      </c>
      <c r="AX225" s="229" t="e">
        <f t="shared" si="166"/>
        <v>#N/A</v>
      </c>
      <c r="AY225" s="229" t="e">
        <f t="shared" si="167"/>
        <v>#NUM!</v>
      </c>
      <c r="BA225" s="427">
        <f t="shared" si="192"/>
        <v>45</v>
      </c>
      <c r="BB225" s="884">
        <f t="shared" si="193"/>
        <v>1340</v>
      </c>
      <c r="BC225" s="121" t="b">
        <f>IF($N$36="Fixed",$N$42,IF($N$36="Variable",VLOOKUP(BB225,'Financing Constants'!$A$8:$L$148,$BB$179)+$N$41/10000))</f>
        <v>0</v>
      </c>
      <c r="BD225" s="229" t="e">
        <f t="shared" si="194"/>
        <v>#NUM!</v>
      </c>
      <c r="BE225" s="888" t="str">
        <f t="shared" si="168"/>
        <v>PP</v>
      </c>
      <c r="BF225" s="229" t="e">
        <f t="shared" si="169"/>
        <v>#NUM!</v>
      </c>
      <c r="BG225" s="229" t="e">
        <f t="shared" si="170"/>
        <v>#NUM!</v>
      </c>
      <c r="BH225" s="229" t="e">
        <f t="shared" si="171"/>
        <v>#N/A</v>
      </c>
      <c r="BI225" s="229" t="e">
        <f t="shared" si="172"/>
        <v>#NUM!</v>
      </c>
      <c r="BK225" s="427">
        <f t="shared" si="195"/>
        <v>45</v>
      </c>
      <c r="BL225" s="884">
        <f t="shared" si="196"/>
        <v>1340</v>
      </c>
      <c r="BM225" s="121" t="b">
        <f>IF($Q$36="Fixed",$Q$42,IF($Q$36="Variable",VLOOKUP(BL225,'Financing Constants'!$A$8:$L$148,$BL$179)+$Q$41/10000))</f>
        <v>0</v>
      </c>
      <c r="BN225" s="229" t="e">
        <f t="shared" si="197"/>
        <v>#NUM!</v>
      </c>
      <c r="BO225" s="888" t="str">
        <f t="shared" si="173"/>
        <v>PP</v>
      </c>
      <c r="BP225" s="229" t="e">
        <f t="shared" si="174"/>
        <v>#NUM!</v>
      </c>
      <c r="BQ225" s="229" t="e">
        <f t="shared" si="175"/>
        <v>#NUM!</v>
      </c>
      <c r="BR225" s="229" t="e">
        <f t="shared" si="176"/>
        <v>#N/A</v>
      </c>
      <c r="BS225" s="229" t="e">
        <f t="shared" si="177"/>
        <v>#NUM!</v>
      </c>
      <c r="BU225" s="427">
        <f t="shared" si="198"/>
        <v>45</v>
      </c>
      <c r="BV225" s="884">
        <f t="shared" si="199"/>
        <v>1340</v>
      </c>
      <c r="BW225" s="121" t="b">
        <f>IF($T$36="Fixed",$T$42,IF($T$36="Variable",VLOOKUP(BV225,'Financing Constants'!$A$8:$L$148,$BV$179)+$T$41/10000))</f>
        <v>0</v>
      </c>
      <c r="BX225" s="229" t="e">
        <f t="shared" si="200"/>
        <v>#NUM!</v>
      </c>
      <c r="BY225" s="888" t="str">
        <f t="shared" si="178"/>
        <v>PP</v>
      </c>
      <c r="BZ225" s="229" t="e">
        <f t="shared" si="179"/>
        <v>#NUM!</v>
      </c>
      <c r="CA225" s="229" t="e">
        <f t="shared" si="180"/>
        <v>#NUM!</v>
      </c>
      <c r="CB225" s="229" t="e">
        <f t="shared" si="181"/>
        <v>#N/A</v>
      </c>
      <c r="CC225" s="229" t="e">
        <f t="shared" si="182"/>
        <v>#NUM!</v>
      </c>
    </row>
    <row r="226" spans="23:81" x14ac:dyDescent="0.25">
      <c r="W226" s="427">
        <f t="shared" si="183"/>
        <v>46</v>
      </c>
      <c r="X226" s="884">
        <f t="shared" si="184"/>
        <v>1370</v>
      </c>
      <c r="Y226" s="121" t="b">
        <f>IF($E$36="Fixed",$E$42,IF($E$36="Variable",VLOOKUP(X226,'Financing Constants'!$A$8:$L$148,$X$179)+$E$41/10000))</f>
        <v>0</v>
      </c>
      <c r="Z226" s="229" t="e">
        <f t="shared" si="185"/>
        <v>#N/A</v>
      </c>
      <c r="AA226" s="888" t="str">
        <f t="shared" si="138"/>
        <v>PP</v>
      </c>
      <c r="AB226" s="229" t="e">
        <f t="shared" si="139"/>
        <v>#N/A</v>
      </c>
      <c r="AC226" s="229" t="e">
        <f t="shared" si="155"/>
        <v>#N/A</v>
      </c>
      <c r="AD226" s="229" t="e">
        <f t="shared" si="156"/>
        <v>#N/A</v>
      </c>
      <c r="AE226" s="229" t="e">
        <f t="shared" si="157"/>
        <v>#N/A</v>
      </c>
      <c r="AG226" s="427">
        <f t="shared" si="186"/>
        <v>46</v>
      </c>
      <c r="AH226" s="884">
        <f t="shared" si="187"/>
        <v>1370</v>
      </c>
      <c r="AI226" s="121" t="b">
        <f>IF($H$36="Fixed",$H$42,IF($H$36="Variable",VLOOKUP(AH226,'Financing Constants'!$A$8:$L$148,$AH$179)+$H$41/10000))</f>
        <v>0</v>
      </c>
      <c r="AJ226" s="229" t="e">
        <f t="shared" si="188"/>
        <v>#NUM!</v>
      </c>
      <c r="AK226" s="888" t="str">
        <f t="shared" si="158"/>
        <v>PP</v>
      </c>
      <c r="AL226" s="229" t="e">
        <f t="shared" si="159"/>
        <v>#NUM!</v>
      </c>
      <c r="AM226" s="229" t="e">
        <f t="shared" si="160"/>
        <v>#NUM!</v>
      </c>
      <c r="AN226" s="229" t="e">
        <f t="shared" si="161"/>
        <v>#N/A</v>
      </c>
      <c r="AO226" s="229" t="e">
        <f t="shared" si="162"/>
        <v>#NUM!</v>
      </c>
      <c r="AQ226" s="427">
        <f t="shared" si="189"/>
        <v>46</v>
      </c>
      <c r="AR226" s="884">
        <f t="shared" si="190"/>
        <v>1370</v>
      </c>
      <c r="AS226" s="121" t="b">
        <f>IF($K$36="Fixed",$K$42,IF($K$36="Variable",VLOOKUP(AR226,'Financing Constants'!$A$8:$L$148,$AR$179)+$K$41/10000))</f>
        <v>0</v>
      </c>
      <c r="AT226" s="229" t="e">
        <f t="shared" si="191"/>
        <v>#NUM!</v>
      </c>
      <c r="AU226" s="888" t="str">
        <f t="shared" si="163"/>
        <v>PP</v>
      </c>
      <c r="AV226" s="229" t="e">
        <f t="shared" si="164"/>
        <v>#NUM!</v>
      </c>
      <c r="AW226" s="229" t="e">
        <f t="shared" si="165"/>
        <v>#NUM!</v>
      </c>
      <c r="AX226" s="229" t="e">
        <f t="shared" si="166"/>
        <v>#N/A</v>
      </c>
      <c r="AY226" s="229" t="e">
        <f t="shared" si="167"/>
        <v>#NUM!</v>
      </c>
      <c r="BA226" s="427">
        <f t="shared" si="192"/>
        <v>46</v>
      </c>
      <c r="BB226" s="884">
        <f t="shared" si="193"/>
        <v>1370</v>
      </c>
      <c r="BC226" s="121" t="b">
        <f>IF($N$36="Fixed",$N$42,IF($N$36="Variable",VLOOKUP(BB226,'Financing Constants'!$A$8:$L$148,$BB$179)+$N$41/10000))</f>
        <v>0</v>
      </c>
      <c r="BD226" s="229" t="e">
        <f t="shared" si="194"/>
        <v>#NUM!</v>
      </c>
      <c r="BE226" s="888" t="str">
        <f t="shared" si="168"/>
        <v>PP</v>
      </c>
      <c r="BF226" s="229" t="e">
        <f t="shared" si="169"/>
        <v>#NUM!</v>
      </c>
      <c r="BG226" s="229" t="e">
        <f t="shared" si="170"/>
        <v>#NUM!</v>
      </c>
      <c r="BH226" s="229" t="e">
        <f t="shared" si="171"/>
        <v>#N/A</v>
      </c>
      <c r="BI226" s="229" t="e">
        <f t="shared" si="172"/>
        <v>#NUM!</v>
      </c>
      <c r="BK226" s="427">
        <f t="shared" si="195"/>
        <v>46</v>
      </c>
      <c r="BL226" s="884">
        <f t="shared" si="196"/>
        <v>1370</v>
      </c>
      <c r="BM226" s="121" t="b">
        <f>IF($Q$36="Fixed",$Q$42,IF($Q$36="Variable",VLOOKUP(BL226,'Financing Constants'!$A$8:$L$148,$BL$179)+$Q$41/10000))</f>
        <v>0</v>
      </c>
      <c r="BN226" s="229" t="e">
        <f t="shared" si="197"/>
        <v>#NUM!</v>
      </c>
      <c r="BO226" s="888" t="str">
        <f t="shared" si="173"/>
        <v>PP</v>
      </c>
      <c r="BP226" s="229" t="e">
        <f t="shared" si="174"/>
        <v>#NUM!</v>
      </c>
      <c r="BQ226" s="229" t="e">
        <f t="shared" si="175"/>
        <v>#NUM!</v>
      </c>
      <c r="BR226" s="229" t="e">
        <f t="shared" si="176"/>
        <v>#N/A</v>
      </c>
      <c r="BS226" s="229" t="e">
        <f t="shared" si="177"/>
        <v>#NUM!</v>
      </c>
      <c r="BU226" s="427">
        <f t="shared" si="198"/>
        <v>46</v>
      </c>
      <c r="BV226" s="884">
        <f t="shared" si="199"/>
        <v>1370</v>
      </c>
      <c r="BW226" s="121" t="b">
        <f>IF($T$36="Fixed",$T$42,IF($T$36="Variable",VLOOKUP(BV226,'Financing Constants'!$A$8:$L$148,$BV$179)+$T$41/10000))</f>
        <v>0</v>
      </c>
      <c r="BX226" s="229" t="e">
        <f t="shared" si="200"/>
        <v>#NUM!</v>
      </c>
      <c r="BY226" s="888" t="str">
        <f t="shared" si="178"/>
        <v>PP</v>
      </c>
      <c r="BZ226" s="229" t="e">
        <f t="shared" si="179"/>
        <v>#NUM!</v>
      </c>
      <c r="CA226" s="229" t="e">
        <f t="shared" si="180"/>
        <v>#NUM!</v>
      </c>
      <c r="CB226" s="229" t="e">
        <f t="shared" si="181"/>
        <v>#N/A</v>
      </c>
      <c r="CC226" s="229" t="e">
        <f t="shared" si="182"/>
        <v>#NUM!</v>
      </c>
    </row>
    <row r="227" spans="23:81" x14ac:dyDescent="0.25">
      <c r="W227" s="427">
        <f t="shared" si="183"/>
        <v>47</v>
      </c>
      <c r="X227" s="884">
        <f t="shared" si="184"/>
        <v>1400</v>
      </c>
      <c r="Y227" s="121" t="b">
        <f>IF($E$36="Fixed",$E$42,IF($E$36="Variable",VLOOKUP(X227,'Financing Constants'!$A$8:$L$148,$X$179)+$E$41/10000))</f>
        <v>0</v>
      </c>
      <c r="Z227" s="229" t="e">
        <f t="shared" si="185"/>
        <v>#N/A</v>
      </c>
      <c r="AA227" s="888" t="str">
        <f t="shared" si="138"/>
        <v>PP</v>
      </c>
      <c r="AB227" s="229" t="e">
        <f t="shared" si="139"/>
        <v>#N/A</v>
      </c>
      <c r="AC227" s="229" t="e">
        <f t="shared" si="155"/>
        <v>#N/A</v>
      </c>
      <c r="AD227" s="229" t="e">
        <f t="shared" si="156"/>
        <v>#N/A</v>
      </c>
      <c r="AE227" s="229" t="e">
        <f t="shared" si="157"/>
        <v>#N/A</v>
      </c>
      <c r="AG227" s="427">
        <f t="shared" si="186"/>
        <v>47</v>
      </c>
      <c r="AH227" s="884">
        <f t="shared" si="187"/>
        <v>1400</v>
      </c>
      <c r="AI227" s="121" t="b">
        <f>IF($H$36="Fixed",$H$42,IF($H$36="Variable",VLOOKUP(AH227,'Financing Constants'!$A$8:$L$148,$AH$179)+$H$41/10000))</f>
        <v>0</v>
      </c>
      <c r="AJ227" s="229" t="e">
        <f t="shared" si="188"/>
        <v>#NUM!</v>
      </c>
      <c r="AK227" s="888" t="str">
        <f t="shared" si="158"/>
        <v>PP</v>
      </c>
      <c r="AL227" s="229" t="e">
        <f t="shared" si="159"/>
        <v>#NUM!</v>
      </c>
      <c r="AM227" s="229" t="e">
        <f t="shared" si="160"/>
        <v>#NUM!</v>
      </c>
      <c r="AN227" s="229" t="e">
        <f t="shared" si="161"/>
        <v>#N/A</v>
      </c>
      <c r="AO227" s="229" t="e">
        <f t="shared" si="162"/>
        <v>#NUM!</v>
      </c>
      <c r="AQ227" s="427">
        <f t="shared" si="189"/>
        <v>47</v>
      </c>
      <c r="AR227" s="884">
        <f t="shared" si="190"/>
        <v>1400</v>
      </c>
      <c r="AS227" s="121" t="b">
        <f>IF($K$36="Fixed",$K$42,IF($K$36="Variable",VLOOKUP(AR227,'Financing Constants'!$A$8:$L$148,$AR$179)+$K$41/10000))</f>
        <v>0</v>
      </c>
      <c r="AT227" s="229" t="e">
        <f t="shared" si="191"/>
        <v>#NUM!</v>
      </c>
      <c r="AU227" s="888" t="str">
        <f t="shared" si="163"/>
        <v>PP</v>
      </c>
      <c r="AV227" s="229" t="e">
        <f t="shared" si="164"/>
        <v>#NUM!</v>
      </c>
      <c r="AW227" s="229" t="e">
        <f t="shared" si="165"/>
        <v>#NUM!</v>
      </c>
      <c r="AX227" s="229" t="e">
        <f t="shared" si="166"/>
        <v>#N/A</v>
      </c>
      <c r="AY227" s="229" t="e">
        <f t="shared" si="167"/>
        <v>#NUM!</v>
      </c>
      <c r="BA227" s="427">
        <f t="shared" si="192"/>
        <v>47</v>
      </c>
      <c r="BB227" s="884">
        <f t="shared" si="193"/>
        <v>1400</v>
      </c>
      <c r="BC227" s="121" t="b">
        <f>IF($N$36="Fixed",$N$42,IF($N$36="Variable",VLOOKUP(BB227,'Financing Constants'!$A$8:$L$148,$BB$179)+$N$41/10000))</f>
        <v>0</v>
      </c>
      <c r="BD227" s="229" t="e">
        <f t="shared" si="194"/>
        <v>#NUM!</v>
      </c>
      <c r="BE227" s="888" t="str">
        <f t="shared" si="168"/>
        <v>PP</v>
      </c>
      <c r="BF227" s="229" t="e">
        <f t="shared" si="169"/>
        <v>#NUM!</v>
      </c>
      <c r="BG227" s="229" t="e">
        <f t="shared" si="170"/>
        <v>#NUM!</v>
      </c>
      <c r="BH227" s="229" t="e">
        <f t="shared" si="171"/>
        <v>#N/A</v>
      </c>
      <c r="BI227" s="229" t="e">
        <f t="shared" si="172"/>
        <v>#NUM!</v>
      </c>
      <c r="BK227" s="427">
        <f t="shared" si="195"/>
        <v>47</v>
      </c>
      <c r="BL227" s="884">
        <f t="shared" si="196"/>
        <v>1400</v>
      </c>
      <c r="BM227" s="121" t="b">
        <f>IF($Q$36="Fixed",$Q$42,IF($Q$36="Variable",VLOOKUP(BL227,'Financing Constants'!$A$8:$L$148,$BL$179)+$Q$41/10000))</f>
        <v>0</v>
      </c>
      <c r="BN227" s="229" t="e">
        <f t="shared" si="197"/>
        <v>#NUM!</v>
      </c>
      <c r="BO227" s="888" t="str">
        <f t="shared" si="173"/>
        <v>PP</v>
      </c>
      <c r="BP227" s="229" t="e">
        <f t="shared" si="174"/>
        <v>#NUM!</v>
      </c>
      <c r="BQ227" s="229" t="e">
        <f t="shared" si="175"/>
        <v>#NUM!</v>
      </c>
      <c r="BR227" s="229" t="e">
        <f t="shared" si="176"/>
        <v>#N/A</v>
      </c>
      <c r="BS227" s="229" t="e">
        <f t="shared" si="177"/>
        <v>#NUM!</v>
      </c>
      <c r="BU227" s="427">
        <f t="shared" si="198"/>
        <v>47</v>
      </c>
      <c r="BV227" s="884">
        <f t="shared" si="199"/>
        <v>1400</v>
      </c>
      <c r="BW227" s="121" t="b">
        <f>IF($T$36="Fixed",$T$42,IF($T$36="Variable",VLOOKUP(BV227,'Financing Constants'!$A$8:$L$148,$BV$179)+$T$41/10000))</f>
        <v>0</v>
      </c>
      <c r="BX227" s="229" t="e">
        <f t="shared" si="200"/>
        <v>#NUM!</v>
      </c>
      <c r="BY227" s="888" t="str">
        <f t="shared" si="178"/>
        <v>PP</v>
      </c>
      <c r="BZ227" s="229" t="e">
        <f t="shared" si="179"/>
        <v>#NUM!</v>
      </c>
      <c r="CA227" s="229" t="e">
        <f t="shared" si="180"/>
        <v>#NUM!</v>
      </c>
      <c r="CB227" s="229" t="e">
        <f t="shared" si="181"/>
        <v>#N/A</v>
      </c>
      <c r="CC227" s="229" t="e">
        <f t="shared" si="182"/>
        <v>#NUM!</v>
      </c>
    </row>
    <row r="228" spans="23:81" x14ac:dyDescent="0.25">
      <c r="W228" s="427">
        <f t="shared" si="183"/>
        <v>48</v>
      </c>
      <c r="X228" s="884">
        <f t="shared" si="184"/>
        <v>1430</v>
      </c>
      <c r="Y228" s="121" t="b">
        <f>IF($E$36="Fixed",$E$42,IF($E$36="Variable",VLOOKUP(X228,'Financing Constants'!$A$8:$L$148,$X$179)+$E$41/10000))</f>
        <v>0</v>
      </c>
      <c r="Z228" s="229" t="e">
        <f t="shared" si="185"/>
        <v>#N/A</v>
      </c>
      <c r="AA228" s="888" t="str">
        <f t="shared" si="138"/>
        <v>PP</v>
      </c>
      <c r="AB228" s="229" t="e">
        <f t="shared" si="139"/>
        <v>#N/A</v>
      </c>
      <c r="AC228" s="229" t="e">
        <f t="shared" si="155"/>
        <v>#N/A</v>
      </c>
      <c r="AD228" s="229" t="e">
        <f t="shared" si="156"/>
        <v>#N/A</v>
      </c>
      <c r="AE228" s="229" t="e">
        <f t="shared" si="157"/>
        <v>#N/A</v>
      </c>
      <c r="AG228" s="427">
        <f t="shared" si="186"/>
        <v>48</v>
      </c>
      <c r="AH228" s="884">
        <f t="shared" si="187"/>
        <v>1430</v>
      </c>
      <c r="AI228" s="121" t="b">
        <f>IF($H$36="Fixed",$H$42,IF($H$36="Variable",VLOOKUP(AH228,'Financing Constants'!$A$8:$L$148,$AH$179)+$H$41/10000))</f>
        <v>0</v>
      </c>
      <c r="AJ228" s="229" t="e">
        <f t="shared" si="188"/>
        <v>#NUM!</v>
      </c>
      <c r="AK228" s="888" t="str">
        <f t="shared" si="158"/>
        <v>PP</v>
      </c>
      <c r="AL228" s="229" t="e">
        <f t="shared" si="159"/>
        <v>#NUM!</v>
      </c>
      <c r="AM228" s="229" t="e">
        <f t="shared" si="160"/>
        <v>#NUM!</v>
      </c>
      <c r="AN228" s="229" t="e">
        <f t="shared" si="161"/>
        <v>#N/A</v>
      </c>
      <c r="AO228" s="229" t="e">
        <f t="shared" si="162"/>
        <v>#NUM!</v>
      </c>
      <c r="AQ228" s="427">
        <f t="shared" si="189"/>
        <v>48</v>
      </c>
      <c r="AR228" s="884">
        <f t="shared" si="190"/>
        <v>1430</v>
      </c>
      <c r="AS228" s="121" t="b">
        <f>IF($K$36="Fixed",$K$42,IF($K$36="Variable",VLOOKUP(AR228,'Financing Constants'!$A$8:$L$148,$AR$179)+$K$41/10000))</f>
        <v>0</v>
      </c>
      <c r="AT228" s="229" t="e">
        <f t="shared" si="191"/>
        <v>#NUM!</v>
      </c>
      <c r="AU228" s="888" t="str">
        <f t="shared" si="163"/>
        <v>PP</v>
      </c>
      <c r="AV228" s="229" t="e">
        <f t="shared" si="164"/>
        <v>#NUM!</v>
      </c>
      <c r="AW228" s="229" t="e">
        <f t="shared" si="165"/>
        <v>#NUM!</v>
      </c>
      <c r="AX228" s="229" t="e">
        <f t="shared" si="166"/>
        <v>#N/A</v>
      </c>
      <c r="AY228" s="229" t="e">
        <f t="shared" si="167"/>
        <v>#NUM!</v>
      </c>
      <c r="BA228" s="427">
        <f t="shared" si="192"/>
        <v>48</v>
      </c>
      <c r="BB228" s="884">
        <f t="shared" si="193"/>
        <v>1430</v>
      </c>
      <c r="BC228" s="121" t="b">
        <f>IF($N$36="Fixed",$N$42,IF($N$36="Variable",VLOOKUP(BB228,'Financing Constants'!$A$8:$L$148,$BB$179)+$N$41/10000))</f>
        <v>0</v>
      </c>
      <c r="BD228" s="229" t="e">
        <f t="shared" si="194"/>
        <v>#NUM!</v>
      </c>
      <c r="BE228" s="888" t="str">
        <f t="shared" si="168"/>
        <v>PP</v>
      </c>
      <c r="BF228" s="229" t="e">
        <f t="shared" si="169"/>
        <v>#NUM!</v>
      </c>
      <c r="BG228" s="229" t="e">
        <f t="shared" si="170"/>
        <v>#NUM!</v>
      </c>
      <c r="BH228" s="229" t="e">
        <f t="shared" si="171"/>
        <v>#N/A</v>
      </c>
      <c r="BI228" s="229" t="e">
        <f t="shared" si="172"/>
        <v>#NUM!</v>
      </c>
      <c r="BK228" s="427">
        <f t="shared" si="195"/>
        <v>48</v>
      </c>
      <c r="BL228" s="884">
        <f t="shared" si="196"/>
        <v>1430</v>
      </c>
      <c r="BM228" s="121" t="b">
        <f>IF($Q$36="Fixed",$Q$42,IF($Q$36="Variable",VLOOKUP(BL228,'Financing Constants'!$A$8:$L$148,$BL$179)+$Q$41/10000))</f>
        <v>0</v>
      </c>
      <c r="BN228" s="229" t="e">
        <f t="shared" si="197"/>
        <v>#NUM!</v>
      </c>
      <c r="BO228" s="888" t="str">
        <f t="shared" si="173"/>
        <v>PP</v>
      </c>
      <c r="BP228" s="229" t="e">
        <f t="shared" si="174"/>
        <v>#NUM!</v>
      </c>
      <c r="BQ228" s="229" t="e">
        <f t="shared" si="175"/>
        <v>#NUM!</v>
      </c>
      <c r="BR228" s="229" t="e">
        <f t="shared" si="176"/>
        <v>#N/A</v>
      </c>
      <c r="BS228" s="229" t="e">
        <f t="shared" si="177"/>
        <v>#NUM!</v>
      </c>
      <c r="BU228" s="427">
        <f t="shared" si="198"/>
        <v>48</v>
      </c>
      <c r="BV228" s="884">
        <f t="shared" si="199"/>
        <v>1430</v>
      </c>
      <c r="BW228" s="121" t="b">
        <f>IF($T$36="Fixed",$T$42,IF($T$36="Variable",VLOOKUP(BV228,'Financing Constants'!$A$8:$L$148,$BV$179)+$T$41/10000))</f>
        <v>0</v>
      </c>
      <c r="BX228" s="229" t="e">
        <f t="shared" si="200"/>
        <v>#NUM!</v>
      </c>
      <c r="BY228" s="888" t="str">
        <f t="shared" si="178"/>
        <v>PP</v>
      </c>
      <c r="BZ228" s="229" t="e">
        <f t="shared" si="179"/>
        <v>#NUM!</v>
      </c>
      <c r="CA228" s="229" t="e">
        <f t="shared" si="180"/>
        <v>#NUM!</v>
      </c>
      <c r="CB228" s="229" t="e">
        <f t="shared" si="181"/>
        <v>#N/A</v>
      </c>
      <c r="CC228" s="229" t="e">
        <f t="shared" si="182"/>
        <v>#NUM!</v>
      </c>
    </row>
    <row r="229" spans="23:81" x14ac:dyDescent="0.25">
      <c r="W229" s="321">
        <f t="shared" si="183"/>
        <v>49</v>
      </c>
      <c r="X229" s="889">
        <f t="shared" si="184"/>
        <v>1460</v>
      </c>
      <c r="Y229" s="890" t="b">
        <f>IF($E$36="Fixed",$E$42,IF($E$36="Variable",VLOOKUP(X229,'Financing Constants'!$A$8:$L$148,$X$179)+$E$41/10000))</f>
        <v>0</v>
      </c>
      <c r="Z229" s="891" t="e">
        <f t="shared" si="185"/>
        <v>#N/A</v>
      </c>
      <c r="AA229" s="892" t="str">
        <f t="shared" si="138"/>
        <v>PP</v>
      </c>
      <c r="AB229" s="891" t="e">
        <f t="shared" si="139"/>
        <v>#N/A</v>
      </c>
      <c r="AC229" s="891" t="e">
        <f t="shared" si="155"/>
        <v>#N/A</v>
      </c>
      <c r="AD229" s="891" t="e">
        <f t="shared" si="156"/>
        <v>#N/A</v>
      </c>
      <c r="AE229" s="891" t="e">
        <f t="shared" si="157"/>
        <v>#N/A</v>
      </c>
      <c r="AG229" s="321">
        <f t="shared" si="186"/>
        <v>49</v>
      </c>
      <c r="AH229" s="889">
        <f t="shared" si="187"/>
        <v>1460</v>
      </c>
      <c r="AI229" s="890" t="b">
        <f>IF($H$36="Fixed",$H$42,IF($H$36="Variable",VLOOKUP(AH229,'Financing Constants'!$A$8:$L$148,$AH$179)+$H$41/10000))</f>
        <v>0</v>
      </c>
      <c r="AJ229" s="891" t="e">
        <f t="shared" si="188"/>
        <v>#NUM!</v>
      </c>
      <c r="AK229" s="892" t="str">
        <f t="shared" si="158"/>
        <v>PP</v>
      </c>
      <c r="AL229" s="891" t="e">
        <f t="shared" si="159"/>
        <v>#NUM!</v>
      </c>
      <c r="AM229" s="891" t="e">
        <f t="shared" si="160"/>
        <v>#NUM!</v>
      </c>
      <c r="AN229" s="891" t="e">
        <f t="shared" si="161"/>
        <v>#N/A</v>
      </c>
      <c r="AO229" s="891" t="e">
        <f t="shared" si="162"/>
        <v>#NUM!</v>
      </c>
      <c r="AQ229" s="321">
        <f t="shared" si="189"/>
        <v>49</v>
      </c>
      <c r="AR229" s="889">
        <f t="shared" si="190"/>
        <v>1460</v>
      </c>
      <c r="AS229" s="890" t="b">
        <f>IF($K$36="Fixed",$K$42,IF($K$36="Variable",VLOOKUP(AR229,'Financing Constants'!$A$8:$L$148,$AR$179)+$K$41/10000))</f>
        <v>0</v>
      </c>
      <c r="AT229" s="891" t="e">
        <f t="shared" si="191"/>
        <v>#NUM!</v>
      </c>
      <c r="AU229" s="892" t="str">
        <f t="shared" si="163"/>
        <v>PP</v>
      </c>
      <c r="AV229" s="891" t="e">
        <f t="shared" si="164"/>
        <v>#NUM!</v>
      </c>
      <c r="AW229" s="891" t="e">
        <f t="shared" si="165"/>
        <v>#NUM!</v>
      </c>
      <c r="AX229" s="891" t="e">
        <f t="shared" si="166"/>
        <v>#N/A</v>
      </c>
      <c r="AY229" s="891" t="e">
        <f t="shared" si="167"/>
        <v>#NUM!</v>
      </c>
      <c r="BA229" s="321">
        <f t="shared" si="192"/>
        <v>49</v>
      </c>
      <c r="BB229" s="889">
        <f t="shared" si="193"/>
        <v>1460</v>
      </c>
      <c r="BC229" s="890" t="b">
        <f>IF($N$36="Fixed",$N$42,IF($N$36="Variable",VLOOKUP(BB229,'Financing Constants'!$A$8:$L$148,$BB$179)+$N$41/10000))</f>
        <v>0</v>
      </c>
      <c r="BD229" s="891" t="e">
        <f t="shared" si="194"/>
        <v>#NUM!</v>
      </c>
      <c r="BE229" s="892" t="str">
        <f t="shared" si="168"/>
        <v>PP</v>
      </c>
      <c r="BF229" s="891" t="e">
        <f t="shared" si="169"/>
        <v>#NUM!</v>
      </c>
      <c r="BG229" s="891" t="e">
        <f t="shared" si="170"/>
        <v>#NUM!</v>
      </c>
      <c r="BH229" s="891" t="e">
        <f t="shared" si="171"/>
        <v>#N/A</v>
      </c>
      <c r="BI229" s="891" t="e">
        <f t="shared" si="172"/>
        <v>#NUM!</v>
      </c>
      <c r="BK229" s="321">
        <f t="shared" si="195"/>
        <v>49</v>
      </c>
      <c r="BL229" s="889">
        <f t="shared" si="196"/>
        <v>1460</v>
      </c>
      <c r="BM229" s="890" t="b">
        <f>IF($Q$36="Fixed",$Q$42,IF($Q$36="Variable",VLOOKUP(BL229,'Financing Constants'!$A$8:$L$148,$BL$179)+$Q$41/10000))</f>
        <v>0</v>
      </c>
      <c r="BN229" s="891" t="e">
        <f t="shared" si="197"/>
        <v>#NUM!</v>
      </c>
      <c r="BO229" s="892" t="str">
        <f t="shared" si="173"/>
        <v>PP</v>
      </c>
      <c r="BP229" s="891" t="e">
        <f t="shared" si="174"/>
        <v>#NUM!</v>
      </c>
      <c r="BQ229" s="891" t="e">
        <f t="shared" si="175"/>
        <v>#NUM!</v>
      </c>
      <c r="BR229" s="891" t="e">
        <f t="shared" si="176"/>
        <v>#N/A</v>
      </c>
      <c r="BS229" s="891" t="e">
        <f t="shared" si="177"/>
        <v>#NUM!</v>
      </c>
      <c r="BU229" s="321">
        <f t="shared" si="198"/>
        <v>49</v>
      </c>
      <c r="BV229" s="889">
        <f t="shared" si="199"/>
        <v>1460</v>
      </c>
      <c r="BW229" s="890" t="b">
        <f>IF($T$36="Fixed",$T$42,IF($T$36="Variable",VLOOKUP(BV229,'Financing Constants'!$A$8:$L$148,$BV$179)+$T$41/10000))</f>
        <v>0</v>
      </c>
      <c r="BX229" s="891" t="e">
        <f t="shared" si="200"/>
        <v>#NUM!</v>
      </c>
      <c r="BY229" s="892" t="str">
        <f t="shared" si="178"/>
        <v>PP</v>
      </c>
      <c r="BZ229" s="891" t="e">
        <f t="shared" si="179"/>
        <v>#NUM!</v>
      </c>
      <c r="CA229" s="891" t="e">
        <f t="shared" si="180"/>
        <v>#NUM!</v>
      </c>
      <c r="CB229" s="891" t="e">
        <f t="shared" si="181"/>
        <v>#N/A</v>
      </c>
      <c r="CC229" s="891" t="e">
        <f t="shared" si="182"/>
        <v>#NUM!</v>
      </c>
    </row>
    <row r="230" spans="23:81" x14ac:dyDescent="0.25">
      <c r="W230" s="427">
        <f t="shared" si="183"/>
        <v>50</v>
      </c>
      <c r="X230" s="884">
        <f t="shared" si="184"/>
        <v>1490</v>
      </c>
      <c r="Y230" s="121" t="b">
        <f>IF($E$36="Fixed",$E$42,IF($E$36="Variable",VLOOKUP(X230,'Financing Constants'!$A$8:$L$148,$X$179)+$E$41/10000))</f>
        <v>0</v>
      </c>
      <c r="Z230" s="229" t="e">
        <f t="shared" si="185"/>
        <v>#N/A</v>
      </c>
      <c r="AA230" s="888" t="str">
        <f t="shared" si="138"/>
        <v>PP</v>
      </c>
      <c r="AB230" s="229" t="e">
        <f t="shared" si="139"/>
        <v>#N/A</v>
      </c>
      <c r="AC230" s="229" t="e">
        <f t="shared" si="155"/>
        <v>#N/A</v>
      </c>
      <c r="AD230" s="229" t="e">
        <f t="shared" si="156"/>
        <v>#N/A</v>
      </c>
      <c r="AE230" s="229" t="e">
        <f t="shared" si="157"/>
        <v>#N/A</v>
      </c>
      <c r="AG230" s="427">
        <f t="shared" si="186"/>
        <v>50</v>
      </c>
      <c r="AH230" s="884">
        <f t="shared" si="187"/>
        <v>1490</v>
      </c>
      <c r="AI230" s="121" t="b">
        <f>IF($H$36="Fixed",$H$42,IF($H$36="Variable",VLOOKUP(AH230,'Financing Constants'!$A$8:$L$148,$AH$179)+$H$41/10000))</f>
        <v>0</v>
      </c>
      <c r="AJ230" s="229" t="e">
        <f t="shared" si="188"/>
        <v>#NUM!</v>
      </c>
      <c r="AK230" s="888" t="str">
        <f t="shared" si="158"/>
        <v>PP</v>
      </c>
      <c r="AL230" s="229" t="e">
        <f t="shared" si="159"/>
        <v>#NUM!</v>
      </c>
      <c r="AM230" s="229" t="e">
        <f t="shared" si="160"/>
        <v>#NUM!</v>
      </c>
      <c r="AN230" s="229" t="e">
        <f t="shared" si="161"/>
        <v>#N/A</v>
      </c>
      <c r="AO230" s="229" t="e">
        <f t="shared" si="162"/>
        <v>#NUM!</v>
      </c>
      <c r="AQ230" s="427">
        <f t="shared" si="189"/>
        <v>50</v>
      </c>
      <c r="AR230" s="884">
        <f t="shared" si="190"/>
        <v>1490</v>
      </c>
      <c r="AS230" s="121" t="b">
        <f>IF($K$36="Fixed",$K$42,IF($K$36="Variable",VLOOKUP(AR230,'Financing Constants'!$A$8:$L$148,$AR$179)+$K$41/10000))</f>
        <v>0</v>
      </c>
      <c r="AT230" s="229" t="e">
        <f t="shared" si="191"/>
        <v>#NUM!</v>
      </c>
      <c r="AU230" s="888" t="str">
        <f t="shared" si="163"/>
        <v>PP</v>
      </c>
      <c r="AV230" s="229" t="e">
        <f t="shared" si="164"/>
        <v>#NUM!</v>
      </c>
      <c r="AW230" s="229" t="e">
        <f t="shared" si="165"/>
        <v>#NUM!</v>
      </c>
      <c r="AX230" s="229" t="e">
        <f t="shared" si="166"/>
        <v>#N/A</v>
      </c>
      <c r="AY230" s="229" t="e">
        <f t="shared" si="167"/>
        <v>#NUM!</v>
      </c>
      <c r="BA230" s="427">
        <f t="shared" si="192"/>
        <v>50</v>
      </c>
      <c r="BB230" s="884">
        <f t="shared" si="193"/>
        <v>1490</v>
      </c>
      <c r="BC230" s="121" t="b">
        <f>IF($N$36="Fixed",$N$42,IF($N$36="Variable",VLOOKUP(BB230,'Financing Constants'!$A$8:$L$148,$BB$179)+$N$41/10000))</f>
        <v>0</v>
      </c>
      <c r="BD230" s="229" t="e">
        <f t="shared" si="194"/>
        <v>#NUM!</v>
      </c>
      <c r="BE230" s="888" t="str">
        <f t="shared" si="168"/>
        <v>PP</v>
      </c>
      <c r="BF230" s="229" t="e">
        <f t="shared" si="169"/>
        <v>#NUM!</v>
      </c>
      <c r="BG230" s="229" t="e">
        <f t="shared" si="170"/>
        <v>#NUM!</v>
      </c>
      <c r="BH230" s="229" t="e">
        <f t="shared" si="171"/>
        <v>#N/A</v>
      </c>
      <c r="BI230" s="229" t="e">
        <f t="shared" si="172"/>
        <v>#NUM!</v>
      </c>
      <c r="BK230" s="427">
        <f t="shared" si="195"/>
        <v>50</v>
      </c>
      <c r="BL230" s="884">
        <f t="shared" si="196"/>
        <v>1490</v>
      </c>
      <c r="BM230" s="121" t="b">
        <f>IF($Q$36="Fixed",$Q$42,IF($Q$36="Variable",VLOOKUP(BL230,'Financing Constants'!$A$8:$L$148,$BL$179)+$Q$41/10000))</f>
        <v>0</v>
      </c>
      <c r="BN230" s="229" t="e">
        <f t="shared" si="197"/>
        <v>#NUM!</v>
      </c>
      <c r="BO230" s="888" t="str">
        <f t="shared" si="173"/>
        <v>PP</v>
      </c>
      <c r="BP230" s="229" t="e">
        <f t="shared" si="174"/>
        <v>#NUM!</v>
      </c>
      <c r="BQ230" s="229" t="e">
        <f t="shared" si="175"/>
        <v>#NUM!</v>
      </c>
      <c r="BR230" s="229" t="e">
        <f t="shared" si="176"/>
        <v>#N/A</v>
      </c>
      <c r="BS230" s="229" t="e">
        <f t="shared" si="177"/>
        <v>#NUM!</v>
      </c>
      <c r="BU230" s="427">
        <f t="shared" si="198"/>
        <v>50</v>
      </c>
      <c r="BV230" s="884">
        <f t="shared" si="199"/>
        <v>1490</v>
      </c>
      <c r="BW230" s="121" t="b">
        <f>IF($T$36="Fixed",$T$42,IF($T$36="Variable",VLOOKUP(BV230,'Financing Constants'!$A$8:$L$148,$BV$179)+$T$41/10000))</f>
        <v>0</v>
      </c>
      <c r="BX230" s="229" t="e">
        <f t="shared" si="200"/>
        <v>#NUM!</v>
      </c>
      <c r="BY230" s="888" t="str">
        <f t="shared" si="178"/>
        <v>PP</v>
      </c>
      <c r="BZ230" s="229" t="e">
        <f t="shared" si="179"/>
        <v>#NUM!</v>
      </c>
      <c r="CA230" s="229" t="e">
        <f t="shared" si="180"/>
        <v>#NUM!</v>
      </c>
      <c r="CB230" s="229" t="e">
        <f t="shared" si="181"/>
        <v>#N/A</v>
      </c>
      <c r="CC230" s="229" t="e">
        <f t="shared" si="182"/>
        <v>#NUM!</v>
      </c>
    </row>
    <row r="231" spans="23:81" x14ac:dyDescent="0.25">
      <c r="W231" s="427">
        <f t="shared" si="183"/>
        <v>51</v>
      </c>
      <c r="X231" s="884">
        <f t="shared" si="184"/>
        <v>1520</v>
      </c>
      <c r="Y231" s="121" t="b">
        <f>IF($E$36="Fixed",$E$42,IF($E$36="Variable",VLOOKUP(X231,'Financing Constants'!$A$8:$L$148,$X$179)+$E$41/10000))</f>
        <v>0</v>
      </c>
      <c r="Z231" s="229" t="e">
        <f t="shared" si="185"/>
        <v>#N/A</v>
      </c>
      <c r="AA231" s="888" t="str">
        <f t="shared" si="138"/>
        <v>PP</v>
      </c>
      <c r="AB231" s="229" t="e">
        <f t="shared" si="139"/>
        <v>#N/A</v>
      </c>
      <c r="AC231" s="229" t="e">
        <f t="shared" si="155"/>
        <v>#N/A</v>
      </c>
      <c r="AD231" s="229" t="e">
        <f t="shared" si="156"/>
        <v>#N/A</v>
      </c>
      <c r="AE231" s="229" t="e">
        <f t="shared" si="157"/>
        <v>#N/A</v>
      </c>
      <c r="AG231" s="427">
        <f t="shared" si="186"/>
        <v>51</v>
      </c>
      <c r="AH231" s="884">
        <f t="shared" si="187"/>
        <v>1520</v>
      </c>
      <c r="AI231" s="121" t="b">
        <f>IF($H$36="Fixed",$H$42,IF($H$36="Variable",VLOOKUP(AH231,'Financing Constants'!$A$8:$L$148,$AH$179)+$H$41/10000))</f>
        <v>0</v>
      </c>
      <c r="AJ231" s="229" t="e">
        <f t="shared" si="188"/>
        <v>#NUM!</v>
      </c>
      <c r="AK231" s="888" t="str">
        <f t="shared" si="158"/>
        <v>PP</v>
      </c>
      <c r="AL231" s="229" t="e">
        <f t="shared" si="159"/>
        <v>#NUM!</v>
      </c>
      <c r="AM231" s="229" t="e">
        <f t="shared" si="160"/>
        <v>#NUM!</v>
      </c>
      <c r="AN231" s="229" t="e">
        <f t="shared" si="161"/>
        <v>#N/A</v>
      </c>
      <c r="AO231" s="229" t="e">
        <f t="shared" si="162"/>
        <v>#NUM!</v>
      </c>
      <c r="AQ231" s="427">
        <f t="shared" si="189"/>
        <v>51</v>
      </c>
      <c r="AR231" s="884">
        <f t="shared" si="190"/>
        <v>1520</v>
      </c>
      <c r="AS231" s="121" t="b">
        <f>IF($K$36="Fixed",$K$42,IF($K$36="Variable",VLOOKUP(AR231,'Financing Constants'!$A$8:$L$148,$AR$179)+$K$41/10000))</f>
        <v>0</v>
      </c>
      <c r="AT231" s="229" t="e">
        <f t="shared" si="191"/>
        <v>#NUM!</v>
      </c>
      <c r="AU231" s="888" t="str">
        <f t="shared" si="163"/>
        <v>PP</v>
      </c>
      <c r="AV231" s="229" t="e">
        <f t="shared" si="164"/>
        <v>#NUM!</v>
      </c>
      <c r="AW231" s="229" t="e">
        <f t="shared" si="165"/>
        <v>#NUM!</v>
      </c>
      <c r="AX231" s="229" t="e">
        <f t="shared" si="166"/>
        <v>#N/A</v>
      </c>
      <c r="AY231" s="229" t="e">
        <f t="shared" si="167"/>
        <v>#NUM!</v>
      </c>
      <c r="BA231" s="427">
        <f t="shared" si="192"/>
        <v>51</v>
      </c>
      <c r="BB231" s="884">
        <f t="shared" si="193"/>
        <v>1520</v>
      </c>
      <c r="BC231" s="121" t="b">
        <f>IF($N$36="Fixed",$N$42,IF($N$36="Variable",VLOOKUP(BB231,'Financing Constants'!$A$8:$L$148,$BB$179)+$N$41/10000))</f>
        <v>0</v>
      </c>
      <c r="BD231" s="229" t="e">
        <f t="shared" si="194"/>
        <v>#NUM!</v>
      </c>
      <c r="BE231" s="888" t="str">
        <f t="shared" si="168"/>
        <v>PP</v>
      </c>
      <c r="BF231" s="229" t="e">
        <f t="shared" si="169"/>
        <v>#NUM!</v>
      </c>
      <c r="BG231" s="229" t="e">
        <f t="shared" si="170"/>
        <v>#NUM!</v>
      </c>
      <c r="BH231" s="229" t="e">
        <f t="shared" si="171"/>
        <v>#N/A</v>
      </c>
      <c r="BI231" s="229" t="e">
        <f t="shared" si="172"/>
        <v>#NUM!</v>
      </c>
      <c r="BK231" s="427">
        <f t="shared" si="195"/>
        <v>51</v>
      </c>
      <c r="BL231" s="884">
        <f t="shared" si="196"/>
        <v>1520</v>
      </c>
      <c r="BM231" s="121" t="b">
        <f>IF($Q$36="Fixed",$Q$42,IF($Q$36="Variable",VLOOKUP(BL231,'Financing Constants'!$A$8:$L$148,$BL$179)+$Q$41/10000))</f>
        <v>0</v>
      </c>
      <c r="BN231" s="229" t="e">
        <f t="shared" si="197"/>
        <v>#NUM!</v>
      </c>
      <c r="BO231" s="888" t="str">
        <f t="shared" si="173"/>
        <v>PP</v>
      </c>
      <c r="BP231" s="229" t="e">
        <f t="shared" si="174"/>
        <v>#NUM!</v>
      </c>
      <c r="BQ231" s="229" t="e">
        <f t="shared" si="175"/>
        <v>#NUM!</v>
      </c>
      <c r="BR231" s="229" t="e">
        <f t="shared" si="176"/>
        <v>#N/A</v>
      </c>
      <c r="BS231" s="229" t="e">
        <f t="shared" si="177"/>
        <v>#NUM!</v>
      </c>
      <c r="BU231" s="427">
        <f t="shared" si="198"/>
        <v>51</v>
      </c>
      <c r="BV231" s="884">
        <f t="shared" si="199"/>
        <v>1520</v>
      </c>
      <c r="BW231" s="121" t="b">
        <f>IF($T$36="Fixed",$T$42,IF($T$36="Variable",VLOOKUP(BV231,'Financing Constants'!$A$8:$L$148,$BV$179)+$T$41/10000))</f>
        <v>0</v>
      </c>
      <c r="BX231" s="229" t="e">
        <f t="shared" si="200"/>
        <v>#NUM!</v>
      </c>
      <c r="BY231" s="888" t="str">
        <f t="shared" si="178"/>
        <v>PP</v>
      </c>
      <c r="BZ231" s="229" t="e">
        <f t="shared" si="179"/>
        <v>#NUM!</v>
      </c>
      <c r="CA231" s="229" t="e">
        <f t="shared" si="180"/>
        <v>#NUM!</v>
      </c>
      <c r="CB231" s="229" t="e">
        <f t="shared" si="181"/>
        <v>#N/A</v>
      </c>
      <c r="CC231" s="229" t="e">
        <f t="shared" si="182"/>
        <v>#NUM!</v>
      </c>
    </row>
    <row r="232" spans="23:81" x14ac:dyDescent="0.25">
      <c r="W232" s="427">
        <f t="shared" si="183"/>
        <v>52</v>
      </c>
      <c r="X232" s="884">
        <f t="shared" si="184"/>
        <v>1550</v>
      </c>
      <c r="Y232" s="121" t="b">
        <f>IF($E$36="Fixed",$E$42,IF($E$36="Variable",VLOOKUP(X232,'Financing Constants'!$A$8:$L$148,$X$179)+$E$41/10000))</f>
        <v>0</v>
      </c>
      <c r="Z232" s="229" t="e">
        <f t="shared" si="185"/>
        <v>#N/A</v>
      </c>
      <c r="AA232" s="888" t="str">
        <f t="shared" si="138"/>
        <v>PP</v>
      </c>
      <c r="AB232" s="229" t="e">
        <f t="shared" si="139"/>
        <v>#N/A</v>
      </c>
      <c r="AC232" s="229" t="e">
        <f t="shared" si="155"/>
        <v>#N/A</v>
      </c>
      <c r="AD232" s="229" t="e">
        <f t="shared" si="156"/>
        <v>#N/A</v>
      </c>
      <c r="AE232" s="229" t="e">
        <f t="shared" si="157"/>
        <v>#N/A</v>
      </c>
      <c r="AG232" s="427">
        <f t="shared" si="186"/>
        <v>52</v>
      </c>
      <c r="AH232" s="884">
        <f t="shared" si="187"/>
        <v>1550</v>
      </c>
      <c r="AI232" s="121" t="b">
        <f>IF($H$36="Fixed",$H$42,IF($H$36="Variable",VLOOKUP(AH232,'Financing Constants'!$A$8:$L$148,$AH$179)+$H$41/10000))</f>
        <v>0</v>
      </c>
      <c r="AJ232" s="229" t="e">
        <f t="shared" si="188"/>
        <v>#NUM!</v>
      </c>
      <c r="AK232" s="888" t="str">
        <f t="shared" si="158"/>
        <v>PP</v>
      </c>
      <c r="AL232" s="229" t="e">
        <f t="shared" si="159"/>
        <v>#NUM!</v>
      </c>
      <c r="AM232" s="229" t="e">
        <f t="shared" si="160"/>
        <v>#NUM!</v>
      </c>
      <c r="AN232" s="229" t="e">
        <f t="shared" si="161"/>
        <v>#N/A</v>
      </c>
      <c r="AO232" s="229" t="e">
        <f t="shared" si="162"/>
        <v>#NUM!</v>
      </c>
      <c r="AQ232" s="427">
        <f t="shared" si="189"/>
        <v>52</v>
      </c>
      <c r="AR232" s="884">
        <f t="shared" si="190"/>
        <v>1550</v>
      </c>
      <c r="AS232" s="121" t="b">
        <f>IF($K$36="Fixed",$K$42,IF($K$36="Variable",VLOOKUP(AR232,'Financing Constants'!$A$8:$L$148,$AR$179)+$K$41/10000))</f>
        <v>0</v>
      </c>
      <c r="AT232" s="229" t="e">
        <f t="shared" si="191"/>
        <v>#NUM!</v>
      </c>
      <c r="AU232" s="888" t="str">
        <f t="shared" si="163"/>
        <v>PP</v>
      </c>
      <c r="AV232" s="229" t="e">
        <f t="shared" si="164"/>
        <v>#NUM!</v>
      </c>
      <c r="AW232" s="229" t="e">
        <f t="shared" si="165"/>
        <v>#NUM!</v>
      </c>
      <c r="AX232" s="229" t="e">
        <f t="shared" si="166"/>
        <v>#N/A</v>
      </c>
      <c r="AY232" s="229" t="e">
        <f t="shared" si="167"/>
        <v>#NUM!</v>
      </c>
      <c r="BA232" s="427">
        <f t="shared" si="192"/>
        <v>52</v>
      </c>
      <c r="BB232" s="884">
        <f t="shared" si="193"/>
        <v>1550</v>
      </c>
      <c r="BC232" s="121" t="b">
        <f>IF($N$36="Fixed",$N$42,IF($N$36="Variable",VLOOKUP(BB232,'Financing Constants'!$A$8:$L$148,$BB$179)+$N$41/10000))</f>
        <v>0</v>
      </c>
      <c r="BD232" s="229" t="e">
        <f t="shared" si="194"/>
        <v>#NUM!</v>
      </c>
      <c r="BE232" s="888" t="str">
        <f t="shared" si="168"/>
        <v>PP</v>
      </c>
      <c r="BF232" s="229" t="e">
        <f t="shared" si="169"/>
        <v>#NUM!</v>
      </c>
      <c r="BG232" s="229" t="e">
        <f t="shared" si="170"/>
        <v>#NUM!</v>
      </c>
      <c r="BH232" s="229" t="e">
        <f t="shared" si="171"/>
        <v>#N/A</v>
      </c>
      <c r="BI232" s="229" t="e">
        <f t="shared" si="172"/>
        <v>#NUM!</v>
      </c>
      <c r="BK232" s="427">
        <f t="shared" si="195"/>
        <v>52</v>
      </c>
      <c r="BL232" s="884">
        <f t="shared" si="196"/>
        <v>1550</v>
      </c>
      <c r="BM232" s="121" t="b">
        <f>IF($Q$36="Fixed",$Q$42,IF($Q$36="Variable",VLOOKUP(BL232,'Financing Constants'!$A$8:$L$148,$BL$179)+$Q$41/10000))</f>
        <v>0</v>
      </c>
      <c r="BN232" s="229" t="e">
        <f t="shared" si="197"/>
        <v>#NUM!</v>
      </c>
      <c r="BO232" s="888" t="str">
        <f t="shared" si="173"/>
        <v>PP</v>
      </c>
      <c r="BP232" s="229" t="e">
        <f t="shared" si="174"/>
        <v>#NUM!</v>
      </c>
      <c r="BQ232" s="229" t="e">
        <f t="shared" si="175"/>
        <v>#NUM!</v>
      </c>
      <c r="BR232" s="229" t="e">
        <f t="shared" si="176"/>
        <v>#N/A</v>
      </c>
      <c r="BS232" s="229" t="e">
        <f t="shared" si="177"/>
        <v>#NUM!</v>
      </c>
      <c r="BU232" s="427">
        <f t="shared" si="198"/>
        <v>52</v>
      </c>
      <c r="BV232" s="884">
        <f t="shared" si="199"/>
        <v>1550</v>
      </c>
      <c r="BW232" s="121" t="b">
        <f>IF($T$36="Fixed",$T$42,IF($T$36="Variable",VLOOKUP(BV232,'Financing Constants'!$A$8:$L$148,$BV$179)+$T$41/10000))</f>
        <v>0</v>
      </c>
      <c r="BX232" s="229" t="e">
        <f t="shared" si="200"/>
        <v>#NUM!</v>
      </c>
      <c r="BY232" s="888" t="str">
        <f t="shared" si="178"/>
        <v>PP</v>
      </c>
      <c r="BZ232" s="229" t="e">
        <f t="shared" si="179"/>
        <v>#NUM!</v>
      </c>
      <c r="CA232" s="229" t="e">
        <f t="shared" si="180"/>
        <v>#NUM!</v>
      </c>
      <c r="CB232" s="229" t="e">
        <f t="shared" si="181"/>
        <v>#N/A</v>
      </c>
      <c r="CC232" s="229" t="e">
        <f t="shared" si="182"/>
        <v>#NUM!</v>
      </c>
    </row>
    <row r="233" spans="23:81" x14ac:dyDescent="0.25">
      <c r="W233" s="427">
        <f t="shared" si="183"/>
        <v>53</v>
      </c>
      <c r="X233" s="884">
        <f t="shared" si="184"/>
        <v>1580</v>
      </c>
      <c r="Y233" s="121" t="b">
        <f>IF($E$36="Fixed",$E$42,IF($E$36="Variable",VLOOKUP(X233,'Financing Constants'!$A$8:$L$148,$X$179)+$E$41/10000))</f>
        <v>0</v>
      </c>
      <c r="Z233" s="229" t="e">
        <f t="shared" si="185"/>
        <v>#N/A</v>
      </c>
      <c r="AA233" s="888" t="str">
        <f t="shared" si="138"/>
        <v>PP</v>
      </c>
      <c r="AB233" s="229" t="e">
        <f t="shared" si="139"/>
        <v>#N/A</v>
      </c>
      <c r="AC233" s="229" t="e">
        <f t="shared" si="155"/>
        <v>#N/A</v>
      </c>
      <c r="AD233" s="229" t="e">
        <f t="shared" si="156"/>
        <v>#N/A</v>
      </c>
      <c r="AE233" s="229" t="e">
        <f t="shared" si="157"/>
        <v>#N/A</v>
      </c>
      <c r="AG233" s="427">
        <f t="shared" si="186"/>
        <v>53</v>
      </c>
      <c r="AH233" s="884">
        <f t="shared" si="187"/>
        <v>1580</v>
      </c>
      <c r="AI233" s="121" t="b">
        <f>IF($H$36="Fixed",$H$42,IF($H$36="Variable",VLOOKUP(AH233,'Financing Constants'!$A$8:$L$148,$AH$179)+$H$41/10000))</f>
        <v>0</v>
      </c>
      <c r="AJ233" s="229" t="e">
        <f t="shared" si="188"/>
        <v>#NUM!</v>
      </c>
      <c r="AK233" s="888" t="str">
        <f t="shared" si="158"/>
        <v>PP</v>
      </c>
      <c r="AL233" s="229" t="e">
        <f t="shared" si="159"/>
        <v>#NUM!</v>
      </c>
      <c r="AM233" s="229" t="e">
        <f t="shared" si="160"/>
        <v>#NUM!</v>
      </c>
      <c r="AN233" s="229" t="e">
        <f t="shared" si="161"/>
        <v>#N/A</v>
      </c>
      <c r="AO233" s="229" t="e">
        <f t="shared" si="162"/>
        <v>#NUM!</v>
      </c>
      <c r="AQ233" s="427">
        <f t="shared" si="189"/>
        <v>53</v>
      </c>
      <c r="AR233" s="884">
        <f t="shared" si="190"/>
        <v>1580</v>
      </c>
      <c r="AS233" s="121" t="b">
        <f>IF($K$36="Fixed",$K$42,IF($K$36="Variable",VLOOKUP(AR233,'Financing Constants'!$A$8:$L$148,$AR$179)+$K$41/10000))</f>
        <v>0</v>
      </c>
      <c r="AT233" s="229" t="e">
        <f t="shared" si="191"/>
        <v>#NUM!</v>
      </c>
      <c r="AU233" s="888" t="str">
        <f t="shared" si="163"/>
        <v>PP</v>
      </c>
      <c r="AV233" s="229" t="e">
        <f t="shared" si="164"/>
        <v>#NUM!</v>
      </c>
      <c r="AW233" s="229" t="e">
        <f t="shared" si="165"/>
        <v>#NUM!</v>
      </c>
      <c r="AX233" s="229" t="e">
        <f t="shared" si="166"/>
        <v>#N/A</v>
      </c>
      <c r="AY233" s="229" t="e">
        <f t="shared" si="167"/>
        <v>#NUM!</v>
      </c>
      <c r="BA233" s="427">
        <f t="shared" si="192"/>
        <v>53</v>
      </c>
      <c r="BB233" s="884">
        <f t="shared" si="193"/>
        <v>1580</v>
      </c>
      <c r="BC233" s="121" t="b">
        <f>IF($N$36="Fixed",$N$42,IF($N$36="Variable",VLOOKUP(BB233,'Financing Constants'!$A$8:$L$148,$BB$179)+$N$41/10000))</f>
        <v>0</v>
      </c>
      <c r="BD233" s="229" t="e">
        <f t="shared" si="194"/>
        <v>#NUM!</v>
      </c>
      <c r="BE233" s="888" t="str">
        <f t="shared" si="168"/>
        <v>PP</v>
      </c>
      <c r="BF233" s="229" t="e">
        <f t="shared" si="169"/>
        <v>#NUM!</v>
      </c>
      <c r="BG233" s="229" t="e">
        <f t="shared" si="170"/>
        <v>#NUM!</v>
      </c>
      <c r="BH233" s="229" t="e">
        <f t="shared" si="171"/>
        <v>#N/A</v>
      </c>
      <c r="BI233" s="229" t="e">
        <f t="shared" si="172"/>
        <v>#NUM!</v>
      </c>
      <c r="BK233" s="427">
        <f t="shared" si="195"/>
        <v>53</v>
      </c>
      <c r="BL233" s="884">
        <f t="shared" si="196"/>
        <v>1580</v>
      </c>
      <c r="BM233" s="121" t="b">
        <f>IF($Q$36="Fixed",$Q$42,IF($Q$36="Variable",VLOOKUP(BL233,'Financing Constants'!$A$8:$L$148,$BL$179)+$Q$41/10000))</f>
        <v>0</v>
      </c>
      <c r="BN233" s="229" t="e">
        <f t="shared" si="197"/>
        <v>#NUM!</v>
      </c>
      <c r="BO233" s="888" t="str">
        <f t="shared" si="173"/>
        <v>PP</v>
      </c>
      <c r="BP233" s="229" t="e">
        <f t="shared" si="174"/>
        <v>#NUM!</v>
      </c>
      <c r="BQ233" s="229" t="e">
        <f t="shared" si="175"/>
        <v>#NUM!</v>
      </c>
      <c r="BR233" s="229" t="e">
        <f t="shared" si="176"/>
        <v>#N/A</v>
      </c>
      <c r="BS233" s="229" t="e">
        <f t="shared" si="177"/>
        <v>#NUM!</v>
      </c>
      <c r="BU233" s="427">
        <f t="shared" si="198"/>
        <v>53</v>
      </c>
      <c r="BV233" s="884">
        <f t="shared" si="199"/>
        <v>1580</v>
      </c>
      <c r="BW233" s="121" t="b">
        <f>IF($T$36="Fixed",$T$42,IF($T$36="Variable",VLOOKUP(BV233,'Financing Constants'!$A$8:$L$148,$BV$179)+$T$41/10000))</f>
        <v>0</v>
      </c>
      <c r="BX233" s="229" t="e">
        <f t="shared" si="200"/>
        <v>#NUM!</v>
      </c>
      <c r="BY233" s="888" t="str">
        <f t="shared" si="178"/>
        <v>PP</v>
      </c>
      <c r="BZ233" s="229" t="e">
        <f t="shared" si="179"/>
        <v>#NUM!</v>
      </c>
      <c r="CA233" s="229" t="e">
        <f t="shared" si="180"/>
        <v>#NUM!</v>
      </c>
      <c r="CB233" s="229" t="e">
        <f t="shared" si="181"/>
        <v>#N/A</v>
      </c>
      <c r="CC233" s="229" t="e">
        <f t="shared" si="182"/>
        <v>#NUM!</v>
      </c>
    </row>
    <row r="234" spans="23:81" x14ac:dyDescent="0.25">
      <c r="W234" s="427">
        <f t="shared" si="183"/>
        <v>54</v>
      </c>
      <c r="X234" s="884">
        <f t="shared" si="184"/>
        <v>1610</v>
      </c>
      <c r="Y234" s="121" t="b">
        <f>IF($E$36="Fixed",$E$42,IF($E$36="Variable",VLOOKUP(X234,'Financing Constants'!$A$8:$L$148,$X$179)+$E$41/10000))</f>
        <v>0</v>
      </c>
      <c r="Z234" s="229" t="e">
        <f t="shared" si="185"/>
        <v>#N/A</v>
      </c>
      <c r="AA234" s="888" t="str">
        <f t="shared" si="138"/>
        <v>PP</v>
      </c>
      <c r="AB234" s="229" t="e">
        <f t="shared" si="139"/>
        <v>#N/A</v>
      </c>
      <c r="AC234" s="229" t="e">
        <f t="shared" si="155"/>
        <v>#N/A</v>
      </c>
      <c r="AD234" s="229" t="e">
        <f t="shared" si="156"/>
        <v>#N/A</v>
      </c>
      <c r="AE234" s="229" t="e">
        <f t="shared" si="157"/>
        <v>#N/A</v>
      </c>
      <c r="AG234" s="427">
        <f t="shared" si="186"/>
        <v>54</v>
      </c>
      <c r="AH234" s="884">
        <f t="shared" si="187"/>
        <v>1610</v>
      </c>
      <c r="AI234" s="121" t="b">
        <f>IF($H$36="Fixed",$H$42,IF($H$36="Variable",VLOOKUP(AH234,'Financing Constants'!$A$8:$L$148,$AH$179)+$H$41/10000))</f>
        <v>0</v>
      </c>
      <c r="AJ234" s="229" t="e">
        <f t="shared" si="188"/>
        <v>#NUM!</v>
      </c>
      <c r="AK234" s="888" t="str">
        <f t="shared" si="158"/>
        <v>PP</v>
      </c>
      <c r="AL234" s="229" t="e">
        <f t="shared" si="159"/>
        <v>#NUM!</v>
      </c>
      <c r="AM234" s="229" t="e">
        <f t="shared" si="160"/>
        <v>#NUM!</v>
      </c>
      <c r="AN234" s="229" t="e">
        <f t="shared" si="161"/>
        <v>#N/A</v>
      </c>
      <c r="AO234" s="229" t="e">
        <f t="shared" si="162"/>
        <v>#NUM!</v>
      </c>
      <c r="AQ234" s="427">
        <f t="shared" si="189"/>
        <v>54</v>
      </c>
      <c r="AR234" s="884">
        <f t="shared" si="190"/>
        <v>1610</v>
      </c>
      <c r="AS234" s="121" t="b">
        <f>IF($K$36="Fixed",$K$42,IF($K$36="Variable",VLOOKUP(AR234,'Financing Constants'!$A$8:$L$148,$AR$179)+$K$41/10000))</f>
        <v>0</v>
      </c>
      <c r="AT234" s="229" t="e">
        <f t="shared" si="191"/>
        <v>#NUM!</v>
      </c>
      <c r="AU234" s="888" t="str">
        <f t="shared" si="163"/>
        <v>PP</v>
      </c>
      <c r="AV234" s="229" t="e">
        <f t="shared" si="164"/>
        <v>#NUM!</v>
      </c>
      <c r="AW234" s="229" t="e">
        <f t="shared" si="165"/>
        <v>#NUM!</v>
      </c>
      <c r="AX234" s="229" t="e">
        <f t="shared" si="166"/>
        <v>#N/A</v>
      </c>
      <c r="AY234" s="229" t="e">
        <f t="shared" si="167"/>
        <v>#NUM!</v>
      </c>
      <c r="BA234" s="427">
        <f t="shared" si="192"/>
        <v>54</v>
      </c>
      <c r="BB234" s="884">
        <f t="shared" si="193"/>
        <v>1610</v>
      </c>
      <c r="BC234" s="121" t="b">
        <f>IF($N$36="Fixed",$N$42,IF($N$36="Variable",VLOOKUP(BB234,'Financing Constants'!$A$8:$L$148,$BB$179)+$N$41/10000))</f>
        <v>0</v>
      </c>
      <c r="BD234" s="229" t="e">
        <f t="shared" si="194"/>
        <v>#NUM!</v>
      </c>
      <c r="BE234" s="888" t="str">
        <f t="shared" si="168"/>
        <v>PP</v>
      </c>
      <c r="BF234" s="229" t="e">
        <f t="shared" si="169"/>
        <v>#NUM!</v>
      </c>
      <c r="BG234" s="229" t="e">
        <f t="shared" si="170"/>
        <v>#NUM!</v>
      </c>
      <c r="BH234" s="229" t="e">
        <f t="shared" si="171"/>
        <v>#N/A</v>
      </c>
      <c r="BI234" s="229" t="e">
        <f t="shared" si="172"/>
        <v>#NUM!</v>
      </c>
      <c r="BK234" s="427">
        <f t="shared" si="195"/>
        <v>54</v>
      </c>
      <c r="BL234" s="884">
        <f t="shared" si="196"/>
        <v>1610</v>
      </c>
      <c r="BM234" s="121" t="b">
        <f>IF($Q$36="Fixed",$Q$42,IF($Q$36="Variable",VLOOKUP(BL234,'Financing Constants'!$A$8:$L$148,$BL$179)+$Q$41/10000))</f>
        <v>0</v>
      </c>
      <c r="BN234" s="229" t="e">
        <f t="shared" si="197"/>
        <v>#NUM!</v>
      </c>
      <c r="BO234" s="888" t="str">
        <f t="shared" si="173"/>
        <v>PP</v>
      </c>
      <c r="BP234" s="229" t="e">
        <f t="shared" si="174"/>
        <v>#NUM!</v>
      </c>
      <c r="BQ234" s="229" t="e">
        <f t="shared" si="175"/>
        <v>#NUM!</v>
      </c>
      <c r="BR234" s="229" t="e">
        <f t="shared" si="176"/>
        <v>#N/A</v>
      </c>
      <c r="BS234" s="229" t="e">
        <f t="shared" si="177"/>
        <v>#NUM!</v>
      </c>
      <c r="BU234" s="427">
        <f t="shared" si="198"/>
        <v>54</v>
      </c>
      <c r="BV234" s="884">
        <f t="shared" si="199"/>
        <v>1610</v>
      </c>
      <c r="BW234" s="121" t="b">
        <f>IF($T$36="Fixed",$T$42,IF($T$36="Variable",VLOOKUP(BV234,'Financing Constants'!$A$8:$L$148,$BV$179)+$T$41/10000))</f>
        <v>0</v>
      </c>
      <c r="BX234" s="229" t="e">
        <f t="shared" si="200"/>
        <v>#NUM!</v>
      </c>
      <c r="BY234" s="888" t="str">
        <f t="shared" si="178"/>
        <v>PP</v>
      </c>
      <c r="BZ234" s="229" t="e">
        <f t="shared" si="179"/>
        <v>#NUM!</v>
      </c>
      <c r="CA234" s="229" t="e">
        <f t="shared" si="180"/>
        <v>#NUM!</v>
      </c>
      <c r="CB234" s="229" t="e">
        <f t="shared" si="181"/>
        <v>#N/A</v>
      </c>
      <c r="CC234" s="229" t="e">
        <f t="shared" si="182"/>
        <v>#NUM!</v>
      </c>
    </row>
    <row r="235" spans="23:81" x14ac:dyDescent="0.25">
      <c r="W235" s="427">
        <f t="shared" si="183"/>
        <v>55</v>
      </c>
      <c r="X235" s="884">
        <f t="shared" si="184"/>
        <v>1640</v>
      </c>
      <c r="Y235" s="121" t="b">
        <f>IF($E$36="Fixed",$E$42,IF($E$36="Variable",VLOOKUP(X235,'Financing Constants'!$A$8:$L$148,$X$179)+$E$41/10000))</f>
        <v>0</v>
      </c>
      <c r="Z235" s="229" t="e">
        <f t="shared" si="185"/>
        <v>#N/A</v>
      </c>
      <c r="AA235" s="888" t="str">
        <f t="shared" si="138"/>
        <v>PP</v>
      </c>
      <c r="AB235" s="229" t="e">
        <f t="shared" si="139"/>
        <v>#N/A</v>
      </c>
      <c r="AC235" s="229" t="e">
        <f t="shared" si="155"/>
        <v>#N/A</v>
      </c>
      <c r="AD235" s="229" t="e">
        <f t="shared" si="156"/>
        <v>#N/A</v>
      </c>
      <c r="AE235" s="229" t="e">
        <f t="shared" si="157"/>
        <v>#N/A</v>
      </c>
      <c r="AG235" s="427">
        <f t="shared" si="186"/>
        <v>55</v>
      </c>
      <c r="AH235" s="884">
        <f t="shared" si="187"/>
        <v>1640</v>
      </c>
      <c r="AI235" s="121" t="b">
        <f>IF($H$36="Fixed",$H$42,IF($H$36="Variable",VLOOKUP(AH235,'Financing Constants'!$A$8:$L$148,$AH$179)+$H$41/10000))</f>
        <v>0</v>
      </c>
      <c r="AJ235" s="229" t="e">
        <f t="shared" si="188"/>
        <v>#NUM!</v>
      </c>
      <c r="AK235" s="888" t="str">
        <f t="shared" si="158"/>
        <v>PP</v>
      </c>
      <c r="AL235" s="229" t="e">
        <f t="shared" si="159"/>
        <v>#NUM!</v>
      </c>
      <c r="AM235" s="229" t="e">
        <f t="shared" si="160"/>
        <v>#NUM!</v>
      </c>
      <c r="AN235" s="229" t="e">
        <f t="shared" si="161"/>
        <v>#N/A</v>
      </c>
      <c r="AO235" s="229" t="e">
        <f t="shared" si="162"/>
        <v>#NUM!</v>
      </c>
      <c r="AQ235" s="427">
        <f t="shared" si="189"/>
        <v>55</v>
      </c>
      <c r="AR235" s="884">
        <f t="shared" si="190"/>
        <v>1640</v>
      </c>
      <c r="AS235" s="121" t="b">
        <f>IF($K$36="Fixed",$K$42,IF($K$36="Variable",VLOOKUP(AR235,'Financing Constants'!$A$8:$L$148,$AR$179)+$K$41/10000))</f>
        <v>0</v>
      </c>
      <c r="AT235" s="229" t="e">
        <f t="shared" si="191"/>
        <v>#NUM!</v>
      </c>
      <c r="AU235" s="888" t="str">
        <f t="shared" si="163"/>
        <v>PP</v>
      </c>
      <c r="AV235" s="229" t="e">
        <f t="shared" si="164"/>
        <v>#NUM!</v>
      </c>
      <c r="AW235" s="229" t="e">
        <f t="shared" si="165"/>
        <v>#NUM!</v>
      </c>
      <c r="AX235" s="229" t="e">
        <f t="shared" si="166"/>
        <v>#N/A</v>
      </c>
      <c r="AY235" s="229" t="e">
        <f t="shared" si="167"/>
        <v>#NUM!</v>
      </c>
      <c r="BA235" s="427">
        <f t="shared" si="192"/>
        <v>55</v>
      </c>
      <c r="BB235" s="884">
        <f t="shared" si="193"/>
        <v>1640</v>
      </c>
      <c r="BC235" s="121" t="b">
        <f>IF($N$36="Fixed",$N$42,IF($N$36="Variable",VLOOKUP(BB235,'Financing Constants'!$A$8:$L$148,$BB$179)+$N$41/10000))</f>
        <v>0</v>
      </c>
      <c r="BD235" s="229" t="e">
        <f t="shared" si="194"/>
        <v>#NUM!</v>
      </c>
      <c r="BE235" s="888" t="str">
        <f t="shared" si="168"/>
        <v>PP</v>
      </c>
      <c r="BF235" s="229" t="e">
        <f t="shared" si="169"/>
        <v>#NUM!</v>
      </c>
      <c r="BG235" s="229" t="e">
        <f t="shared" si="170"/>
        <v>#NUM!</v>
      </c>
      <c r="BH235" s="229" t="e">
        <f t="shared" si="171"/>
        <v>#N/A</v>
      </c>
      <c r="BI235" s="229" t="e">
        <f t="shared" si="172"/>
        <v>#NUM!</v>
      </c>
      <c r="BK235" s="427">
        <f t="shared" si="195"/>
        <v>55</v>
      </c>
      <c r="BL235" s="884">
        <f t="shared" si="196"/>
        <v>1640</v>
      </c>
      <c r="BM235" s="121" t="b">
        <f>IF($Q$36="Fixed",$Q$42,IF($Q$36="Variable",VLOOKUP(BL235,'Financing Constants'!$A$8:$L$148,$BL$179)+$Q$41/10000))</f>
        <v>0</v>
      </c>
      <c r="BN235" s="229" t="e">
        <f t="shared" si="197"/>
        <v>#NUM!</v>
      </c>
      <c r="BO235" s="888" t="str">
        <f t="shared" si="173"/>
        <v>PP</v>
      </c>
      <c r="BP235" s="229" t="e">
        <f t="shared" si="174"/>
        <v>#NUM!</v>
      </c>
      <c r="BQ235" s="229" t="e">
        <f t="shared" si="175"/>
        <v>#NUM!</v>
      </c>
      <c r="BR235" s="229" t="e">
        <f t="shared" si="176"/>
        <v>#N/A</v>
      </c>
      <c r="BS235" s="229" t="e">
        <f t="shared" si="177"/>
        <v>#NUM!</v>
      </c>
      <c r="BU235" s="427">
        <f t="shared" si="198"/>
        <v>55</v>
      </c>
      <c r="BV235" s="884">
        <f t="shared" si="199"/>
        <v>1640</v>
      </c>
      <c r="BW235" s="121" t="b">
        <f>IF($T$36="Fixed",$T$42,IF($T$36="Variable",VLOOKUP(BV235,'Financing Constants'!$A$8:$L$148,$BV$179)+$T$41/10000))</f>
        <v>0</v>
      </c>
      <c r="BX235" s="229" t="e">
        <f t="shared" si="200"/>
        <v>#NUM!</v>
      </c>
      <c r="BY235" s="888" t="str">
        <f t="shared" si="178"/>
        <v>PP</v>
      </c>
      <c r="BZ235" s="229" t="e">
        <f t="shared" si="179"/>
        <v>#NUM!</v>
      </c>
      <c r="CA235" s="229" t="e">
        <f t="shared" si="180"/>
        <v>#NUM!</v>
      </c>
      <c r="CB235" s="229" t="e">
        <f t="shared" si="181"/>
        <v>#N/A</v>
      </c>
      <c r="CC235" s="229" t="e">
        <f t="shared" si="182"/>
        <v>#NUM!</v>
      </c>
    </row>
    <row r="236" spans="23:81" x14ac:dyDescent="0.25">
      <c r="W236" s="427">
        <f t="shared" si="183"/>
        <v>56</v>
      </c>
      <c r="X236" s="884">
        <f t="shared" si="184"/>
        <v>1670</v>
      </c>
      <c r="Y236" s="121" t="b">
        <f>IF($E$36="Fixed",$E$42,IF($E$36="Variable",VLOOKUP(X236,'Financing Constants'!$A$8:$L$148,$X$179)+$E$41/10000))</f>
        <v>0</v>
      </c>
      <c r="Z236" s="229" t="e">
        <f t="shared" si="185"/>
        <v>#N/A</v>
      </c>
      <c r="AA236" s="888" t="str">
        <f t="shared" si="138"/>
        <v>PP</v>
      </c>
      <c r="AB236" s="229" t="e">
        <f t="shared" si="139"/>
        <v>#N/A</v>
      </c>
      <c r="AC236" s="229" t="e">
        <f t="shared" si="155"/>
        <v>#N/A</v>
      </c>
      <c r="AD236" s="229" t="e">
        <f t="shared" si="156"/>
        <v>#N/A</v>
      </c>
      <c r="AE236" s="229" t="e">
        <f t="shared" si="157"/>
        <v>#N/A</v>
      </c>
      <c r="AG236" s="427">
        <f t="shared" si="186"/>
        <v>56</v>
      </c>
      <c r="AH236" s="884">
        <f t="shared" si="187"/>
        <v>1670</v>
      </c>
      <c r="AI236" s="121" t="b">
        <f>IF($H$36="Fixed",$H$42,IF($H$36="Variable",VLOOKUP(AH236,'Financing Constants'!$A$8:$L$148,$AH$179)+$H$41/10000))</f>
        <v>0</v>
      </c>
      <c r="AJ236" s="229" t="e">
        <f t="shared" si="188"/>
        <v>#NUM!</v>
      </c>
      <c r="AK236" s="888" t="str">
        <f t="shared" si="158"/>
        <v>PP</v>
      </c>
      <c r="AL236" s="229" t="e">
        <f t="shared" si="159"/>
        <v>#NUM!</v>
      </c>
      <c r="AM236" s="229" t="e">
        <f t="shared" si="160"/>
        <v>#NUM!</v>
      </c>
      <c r="AN236" s="229" t="e">
        <f t="shared" si="161"/>
        <v>#N/A</v>
      </c>
      <c r="AO236" s="229" t="e">
        <f t="shared" si="162"/>
        <v>#NUM!</v>
      </c>
      <c r="AQ236" s="427">
        <f t="shared" si="189"/>
        <v>56</v>
      </c>
      <c r="AR236" s="884">
        <f t="shared" si="190"/>
        <v>1670</v>
      </c>
      <c r="AS236" s="121" t="b">
        <f>IF($K$36="Fixed",$K$42,IF($K$36="Variable",VLOOKUP(AR236,'Financing Constants'!$A$8:$L$148,$AR$179)+$K$41/10000))</f>
        <v>0</v>
      </c>
      <c r="AT236" s="229" t="e">
        <f t="shared" si="191"/>
        <v>#NUM!</v>
      </c>
      <c r="AU236" s="888" t="str">
        <f t="shared" si="163"/>
        <v>PP</v>
      </c>
      <c r="AV236" s="229" t="e">
        <f t="shared" si="164"/>
        <v>#NUM!</v>
      </c>
      <c r="AW236" s="229" t="e">
        <f t="shared" si="165"/>
        <v>#NUM!</v>
      </c>
      <c r="AX236" s="229" t="e">
        <f t="shared" si="166"/>
        <v>#N/A</v>
      </c>
      <c r="AY236" s="229" t="e">
        <f t="shared" si="167"/>
        <v>#NUM!</v>
      </c>
      <c r="BA236" s="427">
        <f t="shared" si="192"/>
        <v>56</v>
      </c>
      <c r="BB236" s="884">
        <f t="shared" si="193"/>
        <v>1670</v>
      </c>
      <c r="BC236" s="121" t="b">
        <f>IF($N$36="Fixed",$N$42,IF($N$36="Variable",VLOOKUP(BB236,'Financing Constants'!$A$8:$L$148,$BB$179)+$N$41/10000))</f>
        <v>0</v>
      </c>
      <c r="BD236" s="229" t="e">
        <f t="shared" si="194"/>
        <v>#NUM!</v>
      </c>
      <c r="BE236" s="888" t="str">
        <f t="shared" si="168"/>
        <v>PP</v>
      </c>
      <c r="BF236" s="229" t="e">
        <f t="shared" si="169"/>
        <v>#NUM!</v>
      </c>
      <c r="BG236" s="229" t="e">
        <f t="shared" si="170"/>
        <v>#NUM!</v>
      </c>
      <c r="BH236" s="229" t="e">
        <f t="shared" si="171"/>
        <v>#N/A</v>
      </c>
      <c r="BI236" s="229" t="e">
        <f t="shared" si="172"/>
        <v>#NUM!</v>
      </c>
      <c r="BK236" s="427">
        <f t="shared" si="195"/>
        <v>56</v>
      </c>
      <c r="BL236" s="884">
        <f t="shared" si="196"/>
        <v>1670</v>
      </c>
      <c r="BM236" s="121" t="b">
        <f>IF($Q$36="Fixed",$Q$42,IF($Q$36="Variable",VLOOKUP(BL236,'Financing Constants'!$A$8:$L$148,$BL$179)+$Q$41/10000))</f>
        <v>0</v>
      </c>
      <c r="BN236" s="229" t="e">
        <f t="shared" si="197"/>
        <v>#NUM!</v>
      </c>
      <c r="BO236" s="888" t="str">
        <f t="shared" si="173"/>
        <v>PP</v>
      </c>
      <c r="BP236" s="229" t="e">
        <f t="shared" si="174"/>
        <v>#NUM!</v>
      </c>
      <c r="BQ236" s="229" t="e">
        <f t="shared" si="175"/>
        <v>#NUM!</v>
      </c>
      <c r="BR236" s="229" t="e">
        <f t="shared" si="176"/>
        <v>#N/A</v>
      </c>
      <c r="BS236" s="229" t="e">
        <f t="shared" si="177"/>
        <v>#NUM!</v>
      </c>
      <c r="BU236" s="427">
        <f t="shared" si="198"/>
        <v>56</v>
      </c>
      <c r="BV236" s="884">
        <f t="shared" si="199"/>
        <v>1670</v>
      </c>
      <c r="BW236" s="121" t="b">
        <f>IF($T$36="Fixed",$T$42,IF($T$36="Variable",VLOOKUP(BV236,'Financing Constants'!$A$8:$L$148,$BV$179)+$T$41/10000))</f>
        <v>0</v>
      </c>
      <c r="BX236" s="229" t="e">
        <f t="shared" si="200"/>
        <v>#NUM!</v>
      </c>
      <c r="BY236" s="888" t="str">
        <f t="shared" si="178"/>
        <v>PP</v>
      </c>
      <c r="BZ236" s="229" t="e">
        <f t="shared" si="179"/>
        <v>#NUM!</v>
      </c>
      <c r="CA236" s="229" t="e">
        <f t="shared" si="180"/>
        <v>#NUM!</v>
      </c>
      <c r="CB236" s="229" t="e">
        <f t="shared" si="181"/>
        <v>#N/A</v>
      </c>
      <c r="CC236" s="229" t="e">
        <f t="shared" si="182"/>
        <v>#NUM!</v>
      </c>
    </row>
    <row r="237" spans="23:81" x14ac:dyDescent="0.25">
      <c r="W237" s="427">
        <f t="shared" si="183"/>
        <v>57</v>
      </c>
      <c r="X237" s="884">
        <f t="shared" si="184"/>
        <v>1700</v>
      </c>
      <c r="Y237" s="121" t="b">
        <f>IF($E$36="Fixed",$E$42,IF($E$36="Variable",VLOOKUP(X237,'Financing Constants'!$A$8:$L$148,$X$179)+$E$41/10000))</f>
        <v>0</v>
      </c>
      <c r="Z237" s="229" t="e">
        <f t="shared" si="185"/>
        <v>#N/A</v>
      </c>
      <c r="AA237" s="888" t="str">
        <f t="shared" si="138"/>
        <v>PP</v>
      </c>
      <c r="AB237" s="229" t="e">
        <f t="shared" si="139"/>
        <v>#N/A</v>
      </c>
      <c r="AC237" s="229" t="e">
        <f t="shared" si="155"/>
        <v>#N/A</v>
      </c>
      <c r="AD237" s="229" t="e">
        <f t="shared" si="156"/>
        <v>#N/A</v>
      </c>
      <c r="AE237" s="229" t="e">
        <f t="shared" si="157"/>
        <v>#N/A</v>
      </c>
      <c r="AG237" s="427">
        <f t="shared" si="186"/>
        <v>57</v>
      </c>
      <c r="AH237" s="884">
        <f t="shared" si="187"/>
        <v>1700</v>
      </c>
      <c r="AI237" s="121" t="b">
        <f>IF($H$36="Fixed",$H$42,IF($H$36="Variable",VLOOKUP(AH237,'Financing Constants'!$A$8:$L$148,$AH$179)+$H$41/10000))</f>
        <v>0</v>
      </c>
      <c r="AJ237" s="229" t="e">
        <f t="shared" si="188"/>
        <v>#NUM!</v>
      </c>
      <c r="AK237" s="888" t="str">
        <f t="shared" si="158"/>
        <v>PP</v>
      </c>
      <c r="AL237" s="229" t="e">
        <f t="shared" si="159"/>
        <v>#NUM!</v>
      </c>
      <c r="AM237" s="229" t="e">
        <f t="shared" si="160"/>
        <v>#NUM!</v>
      </c>
      <c r="AN237" s="229" t="e">
        <f t="shared" si="161"/>
        <v>#N/A</v>
      </c>
      <c r="AO237" s="229" t="e">
        <f t="shared" si="162"/>
        <v>#NUM!</v>
      </c>
      <c r="AQ237" s="427">
        <f t="shared" si="189"/>
        <v>57</v>
      </c>
      <c r="AR237" s="884">
        <f t="shared" si="190"/>
        <v>1700</v>
      </c>
      <c r="AS237" s="121" t="b">
        <f>IF($K$36="Fixed",$K$42,IF($K$36="Variable",VLOOKUP(AR237,'Financing Constants'!$A$8:$L$148,$AR$179)+$K$41/10000))</f>
        <v>0</v>
      </c>
      <c r="AT237" s="229" t="e">
        <f t="shared" si="191"/>
        <v>#NUM!</v>
      </c>
      <c r="AU237" s="888" t="str">
        <f t="shared" si="163"/>
        <v>PP</v>
      </c>
      <c r="AV237" s="229" t="e">
        <f t="shared" si="164"/>
        <v>#NUM!</v>
      </c>
      <c r="AW237" s="229" t="e">
        <f t="shared" si="165"/>
        <v>#NUM!</v>
      </c>
      <c r="AX237" s="229" t="e">
        <f t="shared" si="166"/>
        <v>#N/A</v>
      </c>
      <c r="AY237" s="229" t="e">
        <f t="shared" si="167"/>
        <v>#NUM!</v>
      </c>
      <c r="BA237" s="427">
        <f t="shared" si="192"/>
        <v>57</v>
      </c>
      <c r="BB237" s="884">
        <f t="shared" si="193"/>
        <v>1700</v>
      </c>
      <c r="BC237" s="121" t="b">
        <f>IF($N$36="Fixed",$N$42,IF($N$36="Variable",VLOOKUP(BB237,'Financing Constants'!$A$8:$L$148,$BB$179)+$N$41/10000))</f>
        <v>0</v>
      </c>
      <c r="BD237" s="229" t="e">
        <f t="shared" si="194"/>
        <v>#NUM!</v>
      </c>
      <c r="BE237" s="888" t="str">
        <f t="shared" si="168"/>
        <v>PP</v>
      </c>
      <c r="BF237" s="229" t="e">
        <f t="shared" si="169"/>
        <v>#NUM!</v>
      </c>
      <c r="BG237" s="229" t="e">
        <f t="shared" si="170"/>
        <v>#NUM!</v>
      </c>
      <c r="BH237" s="229" t="e">
        <f t="shared" si="171"/>
        <v>#N/A</v>
      </c>
      <c r="BI237" s="229" t="e">
        <f t="shared" si="172"/>
        <v>#NUM!</v>
      </c>
      <c r="BK237" s="427">
        <f t="shared" si="195"/>
        <v>57</v>
      </c>
      <c r="BL237" s="884">
        <f t="shared" si="196"/>
        <v>1700</v>
      </c>
      <c r="BM237" s="121" t="b">
        <f>IF($Q$36="Fixed",$Q$42,IF($Q$36="Variable",VLOOKUP(BL237,'Financing Constants'!$A$8:$L$148,$BL$179)+$Q$41/10000))</f>
        <v>0</v>
      </c>
      <c r="BN237" s="229" t="e">
        <f t="shared" si="197"/>
        <v>#NUM!</v>
      </c>
      <c r="BO237" s="888" t="str">
        <f t="shared" si="173"/>
        <v>PP</v>
      </c>
      <c r="BP237" s="229" t="e">
        <f t="shared" si="174"/>
        <v>#NUM!</v>
      </c>
      <c r="BQ237" s="229" t="e">
        <f t="shared" si="175"/>
        <v>#NUM!</v>
      </c>
      <c r="BR237" s="229" t="e">
        <f t="shared" si="176"/>
        <v>#N/A</v>
      </c>
      <c r="BS237" s="229" t="e">
        <f t="shared" si="177"/>
        <v>#NUM!</v>
      </c>
      <c r="BU237" s="427">
        <f t="shared" si="198"/>
        <v>57</v>
      </c>
      <c r="BV237" s="884">
        <f t="shared" si="199"/>
        <v>1700</v>
      </c>
      <c r="BW237" s="121" t="b">
        <f>IF($T$36="Fixed",$T$42,IF($T$36="Variable",VLOOKUP(BV237,'Financing Constants'!$A$8:$L$148,$BV$179)+$T$41/10000))</f>
        <v>0</v>
      </c>
      <c r="BX237" s="229" t="e">
        <f t="shared" si="200"/>
        <v>#NUM!</v>
      </c>
      <c r="BY237" s="888" t="str">
        <f t="shared" si="178"/>
        <v>PP</v>
      </c>
      <c r="BZ237" s="229" t="e">
        <f t="shared" si="179"/>
        <v>#NUM!</v>
      </c>
      <c r="CA237" s="229" t="e">
        <f t="shared" si="180"/>
        <v>#NUM!</v>
      </c>
      <c r="CB237" s="229" t="e">
        <f t="shared" si="181"/>
        <v>#N/A</v>
      </c>
      <c r="CC237" s="229" t="e">
        <f t="shared" si="182"/>
        <v>#NUM!</v>
      </c>
    </row>
    <row r="238" spans="23:81" x14ac:dyDescent="0.25">
      <c r="W238" s="427">
        <f t="shared" si="183"/>
        <v>58</v>
      </c>
      <c r="X238" s="884">
        <f t="shared" si="184"/>
        <v>1730</v>
      </c>
      <c r="Y238" s="121" t="b">
        <f>IF($E$36="Fixed",$E$42,IF($E$36="Variable",VLOOKUP(X238,'Financing Constants'!$A$8:$L$148,$X$179)+$E$41/10000))</f>
        <v>0</v>
      </c>
      <c r="Z238" s="229" t="e">
        <f t="shared" si="185"/>
        <v>#N/A</v>
      </c>
      <c r="AA238" s="888" t="str">
        <f t="shared" si="138"/>
        <v>PP</v>
      </c>
      <c r="AB238" s="229" t="e">
        <f t="shared" si="139"/>
        <v>#N/A</v>
      </c>
      <c r="AC238" s="229" t="e">
        <f t="shared" si="155"/>
        <v>#N/A</v>
      </c>
      <c r="AD238" s="229" t="e">
        <f t="shared" si="156"/>
        <v>#N/A</v>
      </c>
      <c r="AE238" s="229" t="e">
        <f t="shared" si="157"/>
        <v>#N/A</v>
      </c>
      <c r="AG238" s="427">
        <f t="shared" si="186"/>
        <v>58</v>
      </c>
      <c r="AH238" s="884">
        <f t="shared" si="187"/>
        <v>1730</v>
      </c>
      <c r="AI238" s="121" t="b">
        <f>IF($H$36="Fixed",$H$42,IF($H$36="Variable",VLOOKUP(AH238,'Financing Constants'!$A$8:$L$148,$AH$179)+$H$41/10000))</f>
        <v>0</v>
      </c>
      <c r="AJ238" s="229" t="e">
        <f t="shared" si="188"/>
        <v>#NUM!</v>
      </c>
      <c r="AK238" s="888" t="str">
        <f t="shared" si="158"/>
        <v>PP</v>
      </c>
      <c r="AL238" s="229" t="e">
        <f t="shared" si="159"/>
        <v>#NUM!</v>
      </c>
      <c r="AM238" s="229" t="e">
        <f t="shared" si="160"/>
        <v>#NUM!</v>
      </c>
      <c r="AN238" s="229" t="e">
        <f t="shared" si="161"/>
        <v>#N/A</v>
      </c>
      <c r="AO238" s="229" t="e">
        <f t="shared" si="162"/>
        <v>#NUM!</v>
      </c>
      <c r="AQ238" s="427">
        <f t="shared" si="189"/>
        <v>58</v>
      </c>
      <c r="AR238" s="884">
        <f t="shared" si="190"/>
        <v>1730</v>
      </c>
      <c r="AS238" s="121" t="b">
        <f>IF($K$36="Fixed",$K$42,IF($K$36="Variable",VLOOKUP(AR238,'Financing Constants'!$A$8:$L$148,$AR$179)+$K$41/10000))</f>
        <v>0</v>
      </c>
      <c r="AT238" s="229" t="e">
        <f t="shared" si="191"/>
        <v>#NUM!</v>
      </c>
      <c r="AU238" s="888" t="str">
        <f t="shared" si="163"/>
        <v>PP</v>
      </c>
      <c r="AV238" s="229" t="e">
        <f t="shared" si="164"/>
        <v>#NUM!</v>
      </c>
      <c r="AW238" s="229" t="e">
        <f t="shared" si="165"/>
        <v>#NUM!</v>
      </c>
      <c r="AX238" s="229" t="e">
        <f t="shared" si="166"/>
        <v>#N/A</v>
      </c>
      <c r="AY238" s="229" t="e">
        <f t="shared" si="167"/>
        <v>#NUM!</v>
      </c>
      <c r="BA238" s="427">
        <f t="shared" si="192"/>
        <v>58</v>
      </c>
      <c r="BB238" s="884">
        <f t="shared" si="193"/>
        <v>1730</v>
      </c>
      <c r="BC238" s="121" t="b">
        <f>IF($N$36="Fixed",$N$42,IF($N$36="Variable",VLOOKUP(BB238,'Financing Constants'!$A$8:$L$148,$BB$179)+$N$41/10000))</f>
        <v>0</v>
      </c>
      <c r="BD238" s="229" t="e">
        <f t="shared" si="194"/>
        <v>#NUM!</v>
      </c>
      <c r="BE238" s="888" t="str">
        <f t="shared" si="168"/>
        <v>PP</v>
      </c>
      <c r="BF238" s="229" t="e">
        <f t="shared" si="169"/>
        <v>#NUM!</v>
      </c>
      <c r="BG238" s="229" t="e">
        <f t="shared" si="170"/>
        <v>#NUM!</v>
      </c>
      <c r="BH238" s="229" t="e">
        <f t="shared" si="171"/>
        <v>#N/A</v>
      </c>
      <c r="BI238" s="229" t="e">
        <f t="shared" si="172"/>
        <v>#NUM!</v>
      </c>
      <c r="BK238" s="427">
        <f t="shared" si="195"/>
        <v>58</v>
      </c>
      <c r="BL238" s="884">
        <f t="shared" si="196"/>
        <v>1730</v>
      </c>
      <c r="BM238" s="121" t="b">
        <f>IF($Q$36="Fixed",$Q$42,IF($Q$36="Variable",VLOOKUP(BL238,'Financing Constants'!$A$8:$L$148,$BL$179)+$Q$41/10000))</f>
        <v>0</v>
      </c>
      <c r="BN238" s="229" t="e">
        <f t="shared" si="197"/>
        <v>#NUM!</v>
      </c>
      <c r="BO238" s="888" t="str">
        <f t="shared" si="173"/>
        <v>PP</v>
      </c>
      <c r="BP238" s="229" t="e">
        <f t="shared" si="174"/>
        <v>#NUM!</v>
      </c>
      <c r="BQ238" s="229" t="e">
        <f t="shared" si="175"/>
        <v>#NUM!</v>
      </c>
      <c r="BR238" s="229" t="e">
        <f t="shared" si="176"/>
        <v>#N/A</v>
      </c>
      <c r="BS238" s="229" t="e">
        <f t="shared" si="177"/>
        <v>#NUM!</v>
      </c>
      <c r="BU238" s="427">
        <f t="shared" si="198"/>
        <v>58</v>
      </c>
      <c r="BV238" s="884">
        <f t="shared" si="199"/>
        <v>1730</v>
      </c>
      <c r="BW238" s="121" t="b">
        <f>IF($T$36="Fixed",$T$42,IF($T$36="Variable",VLOOKUP(BV238,'Financing Constants'!$A$8:$L$148,$BV$179)+$T$41/10000))</f>
        <v>0</v>
      </c>
      <c r="BX238" s="229" t="e">
        <f t="shared" si="200"/>
        <v>#NUM!</v>
      </c>
      <c r="BY238" s="888" t="str">
        <f t="shared" si="178"/>
        <v>PP</v>
      </c>
      <c r="BZ238" s="229" t="e">
        <f t="shared" si="179"/>
        <v>#NUM!</v>
      </c>
      <c r="CA238" s="229" t="e">
        <f t="shared" si="180"/>
        <v>#NUM!</v>
      </c>
      <c r="CB238" s="229" t="e">
        <f t="shared" si="181"/>
        <v>#N/A</v>
      </c>
      <c r="CC238" s="229" t="e">
        <f t="shared" si="182"/>
        <v>#NUM!</v>
      </c>
    </row>
    <row r="239" spans="23:81" x14ac:dyDescent="0.25">
      <c r="W239" s="427">
        <f t="shared" si="183"/>
        <v>59</v>
      </c>
      <c r="X239" s="884">
        <f t="shared" si="184"/>
        <v>1760</v>
      </c>
      <c r="Y239" s="121" t="b">
        <f>IF($E$36="Fixed",$E$42,IF($E$36="Variable",VLOOKUP(X239,'Financing Constants'!$A$8:$L$148,$X$179)+$E$41/10000))</f>
        <v>0</v>
      </c>
      <c r="Z239" s="229" t="e">
        <f t="shared" si="185"/>
        <v>#N/A</v>
      </c>
      <c r="AA239" s="888" t="str">
        <f t="shared" si="138"/>
        <v>PP</v>
      </c>
      <c r="AB239" s="229" t="e">
        <f t="shared" si="139"/>
        <v>#N/A</v>
      </c>
      <c r="AC239" s="229" t="e">
        <f t="shared" si="155"/>
        <v>#N/A</v>
      </c>
      <c r="AD239" s="229" t="e">
        <f t="shared" si="156"/>
        <v>#N/A</v>
      </c>
      <c r="AE239" s="229" t="e">
        <f t="shared" si="157"/>
        <v>#N/A</v>
      </c>
      <c r="AG239" s="427">
        <f t="shared" si="186"/>
        <v>59</v>
      </c>
      <c r="AH239" s="884">
        <f t="shared" si="187"/>
        <v>1760</v>
      </c>
      <c r="AI239" s="121" t="b">
        <f>IF($H$36="Fixed",$H$42,IF($H$36="Variable",VLOOKUP(AH239,'Financing Constants'!$A$8:$L$148,$AH$179)+$H$41/10000))</f>
        <v>0</v>
      </c>
      <c r="AJ239" s="229" t="e">
        <f t="shared" si="188"/>
        <v>#NUM!</v>
      </c>
      <c r="AK239" s="888" t="str">
        <f t="shared" si="158"/>
        <v>PP</v>
      </c>
      <c r="AL239" s="229" t="e">
        <f t="shared" si="159"/>
        <v>#NUM!</v>
      </c>
      <c r="AM239" s="229" t="e">
        <f t="shared" si="160"/>
        <v>#NUM!</v>
      </c>
      <c r="AN239" s="229" t="e">
        <f t="shared" si="161"/>
        <v>#N/A</v>
      </c>
      <c r="AO239" s="229" t="e">
        <f t="shared" si="162"/>
        <v>#NUM!</v>
      </c>
      <c r="AQ239" s="427">
        <f t="shared" si="189"/>
        <v>59</v>
      </c>
      <c r="AR239" s="884">
        <f t="shared" si="190"/>
        <v>1760</v>
      </c>
      <c r="AS239" s="121" t="b">
        <f>IF($K$36="Fixed",$K$42,IF($K$36="Variable",VLOOKUP(AR239,'Financing Constants'!$A$8:$L$148,$AR$179)+$K$41/10000))</f>
        <v>0</v>
      </c>
      <c r="AT239" s="229" t="e">
        <f t="shared" si="191"/>
        <v>#NUM!</v>
      </c>
      <c r="AU239" s="888" t="str">
        <f t="shared" si="163"/>
        <v>PP</v>
      </c>
      <c r="AV239" s="229" t="e">
        <f t="shared" si="164"/>
        <v>#NUM!</v>
      </c>
      <c r="AW239" s="229" t="e">
        <f t="shared" si="165"/>
        <v>#NUM!</v>
      </c>
      <c r="AX239" s="229" t="e">
        <f t="shared" si="166"/>
        <v>#N/A</v>
      </c>
      <c r="AY239" s="229" t="e">
        <f t="shared" si="167"/>
        <v>#NUM!</v>
      </c>
      <c r="BA239" s="427">
        <f t="shared" si="192"/>
        <v>59</v>
      </c>
      <c r="BB239" s="884">
        <f t="shared" si="193"/>
        <v>1760</v>
      </c>
      <c r="BC239" s="121" t="b">
        <f>IF($N$36="Fixed",$N$42,IF($N$36="Variable",VLOOKUP(BB239,'Financing Constants'!$A$8:$L$148,$BB$179)+$N$41/10000))</f>
        <v>0</v>
      </c>
      <c r="BD239" s="229" t="e">
        <f t="shared" si="194"/>
        <v>#NUM!</v>
      </c>
      <c r="BE239" s="888" t="str">
        <f t="shared" si="168"/>
        <v>PP</v>
      </c>
      <c r="BF239" s="229" t="e">
        <f t="shared" si="169"/>
        <v>#NUM!</v>
      </c>
      <c r="BG239" s="229" t="e">
        <f t="shared" si="170"/>
        <v>#NUM!</v>
      </c>
      <c r="BH239" s="229" t="e">
        <f t="shared" si="171"/>
        <v>#N/A</v>
      </c>
      <c r="BI239" s="229" t="e">
        <f t="shared" si="172"/>
        <v>#NUM!</v>
      </c>
      <c r="BK239" s="427">
        <f t="shared" si="195"/>
        <v>59</v>
      </c>
      <c r="BL239" s="884">
        <f t="shared" si="196"/>
        <v>1760</v>
      </c>
      <c r="BM239" s="121" t="b">
        <f>IF($Q$36="Fixed",$Q$42,IF($Q$36="Variable",VLOOKUP(BL239,'Financing Constants'!$A$8:$L$148,$BL$179)+$Q$41/10000))</f>
        <v>0</v>
      </c>
      <c r="BN239" s="229" t="e">
        <f t="shared" si="197"/>
        <v>#NUM!</v>
      </c>
      <c r="BO239" s="888" t="str">
        <f t="shared" si="173"/>
        <v>PP</v>
      </c>
      <c r="BP239" s="229" t="e">
        <f t="shared" si="174"/>
        <v>#NUM!</v>
      </c>
      <c r="BQ239" s="229" t="e">
        <f t="shared" si="175"/>
        <v>#NUM!</v>
      </c>
      <c r="BR239" s="229" t="e">
        <f t="shared" si="176"/>
        <v>#N/A</v>
      </c>
      <c r="BS239" s="229" t="e">
        <f t="shared" si="177"/>
        <v>#NUM!</v>
      </c>
      <c r="BU239" s="427">
        <f t="shared" si="198"/>
        <v>59</v>
      </c>
      <c r="BV239" s="884">
        <f t="shared" si="199"/>
        <v>1760</v>
      </c>
      <c r="BW239" s="121" t="b">
        <f>IF($T$36="Fixed",$T$42,IF($T$36="Variable",VLOOKUP(BV239,'Financing Constants'!$A$8:$L$148,$BV$179)+$T$41/10000))</f>
        <v>0</v>
      </c>
      <c r="BX239" s="229" t="e">
        <f t="shared" si="200"/>
        <v>#NUM!</v>
      </c>
      <c r="BY239" s="888" t="str">
        <f t="shared" si="178"/>
        <v>PP</v>
      </c>
      <c r="BZ239" s="229" t="e">
        <f t="shared" si="179"/>
        <v>#NUM!</v>
      </c>
      <c r="CA239" s="229" t="e">
        <f t="shared" si="180"/>
        <v>#NUM!</v>
      </c>
      <c r="CB239" s="229" t="e">
        <f t="shared" si="181"/>
        <v>#N/A</v>
      </c>
      <c r="CC239" s="229" t="e">
        <f t="shared" si="182"/>
        <v>#NUM!</v>
      </c>
    </row>
    <row r="240" spans="23:81" x14ac:dyDescent="0.25">
      <c r="W240" s="427">
        <f t="shared" si="183"/>
        <v>60</v>
      </c>
      <c r="X240" s="884">
        <f t="shared" si="184"/>
        <v>1790</v>
      </c>
      <c r="Y240" s="121" t="b">
        <f>IF($E$36="Fixed",$E$42,IF($E$36="Variable",VLOOKUP(X240,'Financing Constants'!$A$8:$L$148,$X$179)+$E$41/10000))</f>
        <v>0</v>
      </c>
      <c r="Z240" s="229" t="e">
        <f t="shared" si="185"/>
        <v>#N/A</v>
      </c>
      <c r="AA240" s="888" t="str">
        <f t="shared" si="138"/>
        <v>PP</v>
      </c>
      <c r="AB240" s="229" t="e">
        <f t="shared" si="139"/>
        <v>#N/A</v>
      </c>
      <c r="AC240" s="229" t="e">
        <f t="shared" si="155"/>
        <v>#N/A</v>
      </c>
      <c r="AD240" s="229" t="e">
        <f t="shared" si="156"/>
        <v>#N/A</v>
      </c>
      <c r="AE240" s="229" t="e">
        <f t="shared" si="157"/>
        <v>#N/A</v>
      </c>
      <c r="AG240" s="427">
        <f t="shared" si="186"/>
        <v>60</v>
      </c>
      <c r="AH240" s="884">
        <f t="shared" si="187"/>
        <v>1790</v>
      </c>
      <c r="AI240" s="121" t="b">
        <f>IF($H$36="Fixed",$H$42,IF($H$36="Variable",VLOOKUP(AH240,'Financing Constants'!$A$8:$L$148,$AH$179)+$H$41/10000))</f>
        <v>0</v>
      </c>
      <c r="AJ240" s="229" t="e">
        <f t="shared" si="188"/>
        <v>#NUM!</v>
      </c>
      <c r="AK240" s="888" t="str">
        <f t="shared" si="158"/>
        <v>PP</v>
      </c>
      <c r="AL240" s="229" t="e">
        <f t="shared" si="159"/>
        <v>#NUM!</v>
      </c>
      <c r="AM240" s="229" t="e">
        <f t="shared" si="160"/>
        <v>#NUM!</v>
      </c>
      <c r="AN240" s="229" t="e">
        <f t="shared" si="161"/>
        <v>#N/A</v>
      </c>
      <c r="AO240" s="229" t="e">
        <f t="shared" si="162"/>
        <v>#NUM!</v>
      </c>
      <c r="AQ240" s="427">
        <f t="shared" si="189"/>
        <v>60</v>
      </c>
      <c r="AR240" s="884">
        <f t="shared" si="190"/>
        <v>1790</v>
      </c>
      <c r="AS240" s="121" t="b">
        <f>IF($K$36="Fixed",$K$42,IF($K$36="Variable",VLOOKUP(AR240,'Financing Constants'!$A$8:$L$148,$AR$179)+$K$41/10000))</f>
        <v>0</v>
      </c>
      <c r="AT240" s="229" t="e">
        <f t="shared" si="191"/>
        <v>#NUM!</v>
      </c>
      <c r="AU240" s="888" t="str">
        <f t="shared" si="163"/>
        <v>PP</v>
      </c>
      <c r="AV240" s="229" t="e">
        <f t="shared" si="164"/>
        <v>#NUM!</v>
      </c>
      <c r="AW240" s="229" t="e">
        <f t="shared" si="165"/>
        <v>#NUM!</v>
      </c>
      <c r="AX240" s="229" t="e">
        <f t="shared" si="166"/>
        <v>#N/A</v>
      </c>
      <c r="AY240" s="229" t="e">
        <f t="shared" si="167"/>
        <v>#NUM!</v>
      </c>
      <c r="BA240" s="427">
        <f t="shared" si="192"/>
        <v>60</v>
      </c>
      <c r="BB240" s="884">
        <f t="shared" si="193"/>
        <v>1790</v>
      </c>
      <c r="BC240" s="121" t="b">
        <f>IF($N$36="Fixed",$N$42,IF($N$36="Variable",VLOOKUP(BB240,'Financing Constants'!$A$8:$L$148,$BB$179)+$N$41/10000))</f>
        <v>0</v>
      </c>
      <c r="BD240" s="229" t="e">
        <f t="shared" si="194"/>
        <v>#NUM!</v>
      </c>
      <c r="BE240" s="888" t="str">
        <f t="shared" si="168"/>
        <v>PP</v>
      </c>
      <c r="BF240" s="229" t="e">
        <f t="shared" si="169"/>
        <v>#NUM!</v>
      </c>
      <c r="BG240" s="229" t="e">
        <f t="shared" si="170"/>
        <v>#NUM!</v>
      </c>
      <c r="BH240" s="229" t="e">
        <f t="shared" si="171"/>
        <v>#N/A</v>
      </c>
      <c r="BI240" s="229" t="e">
        <f t="shared" si="172"/>
        <v>#NUM!</v>
      </c>
      <c r="BK240" s="427">
        <f t="shared" si="195"/>
        <v>60</v>
      </c>
      <c r="BL240" s="884">
        <f t="shared" si="196"/>
        <v>1790</v>
      </c>
      <c r="BM240" s="121" t="b">
        <f>IF($Q$36="Fixed",$Q$42,IF($Q$36="Variable",VLOOKUP(BL240,'Financing Constants'!$A$8:$L$148,$BL$179)+$Q$41/10000))</f>
        <v>0</v>
      </c>
      <c r="BN240" s="229" t="e">
        <f t="shared" si="197"/>
        <v>#NUM!</v>
      </c>
      <c r="BO240" s="888" t="str">
        <f t="shared" si="173"/>
        <v>PP</v>
      </c>
      <c r="BP240" s="229" t="e">
        <f t="shared" si="174"/>
        <v>#NUM!</v>
      </c>
      <c r="BQ240" s="229" t="e">
        <f t="shared" si="175"/>
        <v>#NUM!</v>
      </c>
      <c r="BR240" s="229" t="e">
        <f t="shared" si="176"/>
        <v>#N/A</v>
      </c>
      <c r="BS240" s="229" t="e">
        <f t="shared" si="177"/>
        <v>#NUM!</v>
      </c>
      <c r="BU240" s="427">
        <f t="shared" si="198"/>
        <v>60</v>
      </c>
      <c r="BV240" s="884">
        <f t="shared" si="199"/>
        <v>1790</v>
      </c>
      <c r="BW240" s="121" t="b">
        <f>IF($T$36="Fixed",$T$42,IF($T$36="Variable",VLOOKUP(BV240,'Financing Constants'!$A$8:$L$148,$BV$179)+$T$41/10000))</f>
        <v>0</v>
      </c>
      <c r="BX240" s="229" t="e">
        <f t="shared" si="200"/>
        <v>#NUM!</v>
      </c>
      <c r="BY240" s="888" t="str">
        <f t="shared" si="178"/>
        <v>PP</v>
      </c>
      <c r="BZ240" s="229" t="e">
        <f t="shared" si="179"/>
        <v>#NUM!</v>
      </c>
      <c r="CA240" s="229" t="e">
        <f t="shared" si="180"/>
        <v>#NUM!</v>
      </c>
      <c r="CB240" s="229" t="e">
        <f t="shared" si="181"/>
        <v>#N/A</v>
      </c>
      <c r="CC240" s="229" t="e">
        <f t="shared" si="182"/>
        <v>#NUM!</v>
      </c>
    </row>
    <row r="241" spans="23:81" x14ac:dyDescent="0.25">
      <c r="W241" s="886"/>
      <c r="X241" s="885"/>
      <c r="Y241" s="885"/>
      <c r="Z241" s="893" t="s">
        <v>893</v>
      </c>
      <c r="AA241" s="886" t="s">
        <v>354</v>
      </c>
      <c r="AB241" s="886" t="s">
        <v>789</v>
      </c>
      <c r="AC241" s="886" t="s">
        <v>876</v>
      </c>
      <c r="AD241" s="886" t="s">
        <v>877</v>
      </c>
      <c r="AE241" s="885"/>
      <c r="AG241" s="886"/>
      <c r="AH241" s="885"/>
      <c r="AI241" s="885"/>
      <c r="AJ241" s="893" t="s">
        <v>893</v>
      </c>
      <c r="AK241" s="886" t="s">
        <v>354</v>
      </c>
      <c r="AL241" s="886" t="s">
        <v>789</v>
      </c>
      <c r="AM241" s="886" t="s">
        <v>876</v>
      </c>
      <c r="AN241" s="886" t="s">
        <v>877</v>
      </c>
      <c r="AO241" s="885"/>
      <c r="AQ241" s="886"/>
      <c r="AR241" s="885"/>
      <c r="AS241" s="885"/>
      <c r="AT241" s="893" t="s">
        <v>893</v>
      </c>
      <c r="AU241" s="886" t="s">
        <v>354</v>
      </c>
      <c r="AV241" s="886" t="s">
        <v>789</v>
      </c>
      <c r="AW241" s="886" t="s">
        <v>876</v>
      </c>
      <c r="AX241" s="886" t="s">
        <v>877</v>
      </c>
      <c r="AY241" s="885"/>
      <c r="BA241" s="886"/>
      <c r="BB241" s="885"/>
      <c r="BC241" s="885"/>
      <c r="BD241" s="893" t="s">
        <v>893</v>
      </c>
      <c r="BE241" s="886" t="s">
        <v>354</v>
      </c>
      <c r="BF241" s="886" t="s">
        <v>789</v>
      </c>
      <c r="BG241" s="886" t="s">
        <v>876</v>
      </c>
      <c r="BH241" s="886" t="s">
        <v>877</v>
      </c>
      <c r="BI241" s="885"/>
      <c r="BK241" s="886"/>
      <c r="BL241" s="885"/>
      <c r="BM241" s="885"/>
      <c r="BN241" s="893" t="s">
        <v>893</v>
      </c>
      <c r="BO241" s="886" t="s">
        <v>354</v>
      </c>
      <c r="BP241" s="886" t="s">
        <v>789</v>
      </c>
      <c r="BQ241" s="886" t="s">
        <v>876</v>
      </c>
      <c r="BR241" s="886" t="s">
        <v>877</v>
      </c>
      <c r="BS241" s="885"/>
      <c r="BU241" s="886"/>
      <c r="BV241" s="885"/>
      <c r="BW241" s="885"/>
      <c r="BX241" s="893" t="s">
        <v>893</v>
      </c>
      <c r="BY241" s="886" t="s">
        <v>354</v>
      </c>
      <c r="BZ241" s="886" t="s">
        <v>789</v>
      </c>
      <c r="CA241" s="886" t="s">
        <v>876</v>
      </c>
      <c r="CB241" s="886" t="s">
        <v>877</v>
      </c>
      <c r="CC241" s="885"/>
    </row>
    <row r="242" spans="23:81" x14ac:dyDescent="0.25">
      <c r="AA242" s="840">
        <v>0.5</v>
      </c>
      <c r="AB242" s="229" t="e">
        <f>SUM(AB181:AB186)</f>
        <v>#N/A</v>
      </c>
      <c r="AC242" s="229" t="e">
        <f t="shared" ref="AC242:AD242" si="201">SUM(AC181:AC186)</f>
        <v>#N/A</v>
      </c>
      <c r="AD242" s="229" t="e">
        <f t="shared" si="201"/>
        <v>#N/A</v>
      </c>
      <c r="AK242" s="840">
        <v>0.5</v>
      </c>
      <c r="AL242" s="229" t="e">
        <f>SUM(AL181:AL186)</f>
        <v>#NUM!</v>
      </c>
      <c r="AM242" s="229" t="e">
        <f t="shared" ref="AM242:AN242" si="202">SUM(AM181:AM186)</f>
        <v>#NUM!</v>
      </c>
      <c r="AN242" s="229" t="e">
        <f t="shared" si="202"/>
        <v>#N/A</v>
      </c>
      <c r="AU242" s="840">
        <v>0.5</v>
      </c>
      <c r="AV242" s="229" t="e">
        <f>SUM(AV181:AV186)</f>
        <v>#NUM!</v>
      </c>
      <c r="AW242" s="229" t="e">
        <f t="shared" ref="AW242:AX242" si="203">SUM(AW181:AW186)</f>
        <v>#NUM!</v>
      </c>
      <c r="AX242" s="229" t="e">
        <f t="shared" si="203"/>
        <v>#N/A</v>
      </c>
      <c r="BE242" s="840">
        <v>0.5</v>
      </c>
      <c r="BF242" s="229" t="e">
        <f>SUM(BF181:BF186)</f>
        <v>#NUM!</v>
      </c>
      <c r="BG242" s="229" t="e">
        <f t="shared" ref="BG242:BH242" si="204">SUM(BG181:BG186)</f>
        <v>#NUM!</v>
      </c>
      <c r="BH242" s="229" t="e">
        <f t="shared" si="204"/>
        <v>#N/A</v>
      </c>
      <c r="BO242" s="840">
        <v>0.5</v>
      </c>
      <c r="BP242" s="229" t="e">
        <f>SUM(BP181:BP186)</f>
        <v>#NUM!</v>
      </c>
      <c r="BQ242" s="229" t="e">
        <f t="shared" ref="BQ242:BR242" si="205">SUM(BQ181:BQ186)</f>
        <v>#NUM!</v>
      </c>
      <c r="BR242" s="229" t="e">
        <f t="shared" si="205"/>
        <v>#N/A</v>
      </c>
      <c r="BY242" s="840">
        <v>0.5</v>
      </c>
      <c r="BZ242" s="229" t="e">
        <f>SUM(BZ181:BZ186)</f>
        <v>#NUM!</v>
      </c>
      <c r="CA242" s="229" t="e">
        <f t="shared" ref="CA242:CB242" si="206">SUM(CA181:CA186)</f>
        <v>#NUM!</v>
      </c>
      <c r="CB242" s="229" t="e">
        <f t="shared" si="206"/>
        <v>#N/A</v>
      </c>
    </row>
    <row r="243" spans="23:81" x14ac:dyDescent="0.25">
      <c r="AA243" s="840">
        <v>1</v>
      </c>
      <c r="AB243" s="229" t="e">
        <f>SUM(AB181:AB192)</f>
        <v>#N/A</v>
      </c>
      <c r="AC243" s="229" t="e">
        <f>SUM(AC181:AC192)</f>
        <v>#N/A</v>
      </c>
      <c r="AD243" s="229" t="e">
        <f>SUM(AD181:AD192)</f>
        <v>#N/A</v>
      </c>
      <c r="AK243" s="840">
        <v>1</v>
      </c>
      <c r="AL243" s="229" t="e">
        <f>SUM(AL181:AL192)</f>
        <v>#NUM!</v>
      </c>
      <c r="AM243" s="229" t="e">
        <f>SUM(AM181:AM192)</f>
        <v>#NUM!</v>
      </c>
      <c r="AN243" s="229" t="e">
        <f>SUM(AN181:AN192)</f>
        <v>#N/A</v>
      </c>
      <c r="AU243" s="840">
        <v>1</v>
      </c>
      <c r="AV243" s="229" t="e">
        <f>SUM(AV181:AV192)</f>
        <v>#NUM!</v>
      </c>
      <c r="AW243" s="229" t="e">
        <f>SUM(AW181:AW192)</f>
        <v>#NUM!</v>
      </c>
      <c r="AX243" s="229" t="e">
        <f>SUM(AX181:AX192)</f>
        <v>#N/A</v>
      </c>
      <c r="BE243" s="840">
        <v>1</v>
      </c>
      <c r="BF243" s="229" t="e">
        <f>SUM(BF181:BF192)</f>
        <v>#NUM!</v>
      </c>
      <c r="BG243" s="229" t="e">
        <f>SUM(BG181:BG192)</f>
        <v>#NUM!</v>
      </c>
      <c r="BH243" s="229" t="e">
        <f>SUM(BH181:BH192)</f>
        <v>#N/A</v>
      </c>
      <c r="BO243" s="840">
        <v>1</v>
      </c>
      <c r="BP243" s="229" t="e">
        <f>SUM(BP181:BP192)</f>
        <v>#NUM!</v>
      </c>
      <c r="BQ243" s="229" t="e">
        <f>SUM(BQ181:BQ192)</f>
        <v>#NUM!</v>
      </c>
      <c r="BR243" s="229" t="e">
        <f>SUM(BR181:BR192)</f>
        <v>#N/A</v>
      </c>
      <c r="BY243" s="840">
        <v>1</v>
      </c>
      <c r="BZ243" s="229" t="e">
        <f>SUM(BZ181:BZ192)</f>
        <v>#NUM!</v>
      </c>
      <c r="CA243" s="229" t="e">
        <f>SUM(CA181:CA192)</f>
        <v>#NUM!</v>
      </c>
      <c r="CB243" s="229" t="e">
        <f>SUM(CB181:CB192)</f>
        <v>#N/A</v>
      </c>
    </row>
    <row r="244" spans="23:81" x14ac:dyDescent="0.25">
      <c r="AA244" s="840">
        <v>2</v>
      </c>
      <c r="AB244" s="229" t="e">
        <f>SUM(AB193:AB204)</f>
        <v>#N/A</v>
      </c>
      <c r="AC244" s="229" t="e">
        <f>SUM(AC193:AC204)</f>
        <v>#N/A</v>
      </c>
      <c r="AD244" s="229" t="e">
        <f>SUM(AD193:AD204)</f>
        <v>#N/A</v>
      </c>
      <c r="AK244" s="840">
        <v>2</v>
      </c>
      <c r="AL244" s="229" t="e">
        <f>SUM(AL193:AL204)</f>
        <v>#NUM!</v>
      </c>
      <c r="AM244" s="229" t="e">
        <f>SUM(AM193:AM204)</f>
        <v>#NUM!</v>
      </c>
      <c r="AN244" s="229" t="e">
        <f>SUM(AN193:AN204)</f>
        <v>#N/A</v>
      </c>
      <c r="AU244" s="840">
        <v>2</v>
      </c>
      <c r="AV244" s="229" t="e">
        <f>SUM(AV193:AV204)</f>
        <v>#NUM!</v>
      </c>
      <c r="AW244" s="229" t="e">
        <f>SUM(AW193:AW204)</f>
        <v>#NUM!</v>
      </c>
      <c r="AX244" s="229" t="e">
        <f>SUM(AX193:AX204)</f>
        <v>#N/A</v>
      </c>
      <c r="BE244" s="840">
        <v>2</v>
      </c>
      <c r="BF244" s="229" t="e">
        <f>SUM(BF193:BF204)</f>
        <v>#NUM!</v>
      </c>
      <c r="BG244" s="229" t="e">
        <f>SUM(BG193:BG204)</f>
        <v>#NUM!</v>
      </c>
      <c r="BH244" s="229" t="e">
        <f>SUM(BH193:BH204)</f>
        <v>#N/A</v>
      </c>
      <c r="BO244" s="840">
        <v>2</v>
      </c>
      <c r="BP244" s="229" t="e">
        <f>SUM(BP193:BP204)</f>
        <v>#NUM!</v>
      </c>
      <c r="BQ244" s="229" t="e">
        <f>SUM(BQ193:BQ204)</f>
        <v>#NUM!</v>
      </c>
      <c r="BR244" s="229" t="e">
        <f>SUM(BR193:BR204)</f>
        <v>#N/A</v>
      </c>
      <c r="BY244" s="840">
        <v>2</v>
      </c>
      <c r="BZ244" s="229" t="e">
        <f>SUM(BZ193:BZ204)</f>
        <v>#NUM!</v>
      </c>
      <c r="CA244" s="229" t="e">
        <f>SUM(CA193:CA204)</f>
        <v>#NUM!</v>
      </c>
      <c r="CB244" s="229" t="e">
        <f>SUM(CB193:CB204)</f>
        <v>#N/A</v>
      </c>
    </row>
    <row r="245" spans="23:81" x14ac:dyDescent="0.25">
      <c r="AA245" s="840">
        <v>3</v>
      </c>
      <c r="AB245" s="229" t="e">
        <f>SUM(AB205:AB216)</f>
        <v>#N/A</v>
      </c>
      <c r="AC245" s="229" t="e">
        <f>SUM(AC205:AC216)</f>
        <v>#N/A</v>
      </c>
      <c r="AD245" s="229" t="e">
        <f>SUM(AD205:AD216)</f>
        <v>#N/A</v>
      </c>
      <c r="AK245" s="840">
        <v>3</v>
      </c>
      <c r="AL245" s="229" t="e">
        <f>SUM(AL205:AL216)</f>
        <v>#NUM!</v>
      </c>
      <c r="AM245" s="229" t="e">
        <f>SUM(AM205:AM216)</f>
        <v>#NUM!</v>
      </c>
      <c r="AN245" s="229" t="e">
        <f>SUM(AN205:AN216)</f>
        <v>#N/A</v>
      </c>
      <c r="AU245" s="840">
        <v>3</v>
      </c>
      <c r="AV245" s="229" t="e">
        <f>SUM(AV205:AV216)</f>
        <v>#NUM!</v>
      </c>
      <c r="AW245" s="229" t="e">
        <f>SUM(AW205:AW216)</f>
        <v>#NUM!</v>
      </c>
      <c r="AX245" s="229" t="e">
        <f>SUM(AX205:AX216)</f>
        <v>#N/A</v>
      </c>
      <c r="BE245" s="840">
        <v>3</v>
      </c>
      <c r="BF245" s="229" t="e">
        <f>SUM(BF205:BF216)</f>
        <v>#NUM!</v>
      </c>
      <c r="BG245" s="229" t="e">
        <f>SUM(BG205:BG216)</f>
        <v>#NUM!</v>
      </c>
      <c r="BH245" s="229" t="e">
        <f>SUM(BH205:BH216)</f>
        <v>#N/A</v>
      </c>
      <c r="BO245" s="840">
        <v>3</v>
      </c>
      <c r="BP245" s="229" t="e">
        <f>SUM(BP205:BP216)</f>
        <v>#NUM!</v>
      </c>
      <c r="BQ245" s="229" t="e">
        <f>SUM(BQ205:BQ216)</f>
        <v>#NUM!</v>
      </c>
      <c r="BR245" s="229" t="e">
        <f>SUM(BR205:BR216)</f>
        <v>#N/A</v>
      </c>
      <c r="BY245" s="840">
        <v>3</v>
      </c>
      <c r="BZ245" s="229" t="e">
        <f>SUM(BZ205:BZ216)</f>
        <v>#NUM!</v>
      </c>
      <c r="CA245" s="229" t="e">
        <f>SUM(CA205:CA216)</f>
        <v>#NUM!</v>
      </c>
      <c r="CB245" s="229" t="e">
        <f>SUM(CB205:CB216)</f>
        <v>#N/A</v>
      </c>
    </row>
    <row r="246" spans="23:81" x14ac:dyDescent="0.25">
      <c r="AA246" s="840">
        <v>4</v>
      </c>
      <c r="AB246" s="229" t="e">
        <f>SUM(AB217:AB228)</f>
        <v>#N/A</v>
      </c>
      <c r="AC246" s="229" t="e">
        <f>SUM(AC217:AC228)</f>
        <v>#N/A</v>
      </c>
      <c r="AD246" s="229" t="e">
        <f>SUM(AD217:AD228)</f>
        <v>#N/A</v>
      </c>
      <c r="AK246" s="840">
        <v>4</v>
      </c>
      <c r="AL246" s="229" t="e">
        <f>SUM(AL217:AL228)</f>
        <v>#NUM!</v>
      </c>
      <c r="AM246" s="229" t="e">
        <f>SUM(AM217:AM228)</f>
        <v>#NUM!</v>
      </c>
      <c r="AN246" s="229" t="e">
        <f>SUM(AN217:AN228)</f>
        <v>#N/A</v>
      </c>
      <c r="AU246" s="840">
        <v>4</v>
      </c>
      <c r="AV246" s="229" t="e">
        <f>SUM(AV217:AV228)</f>
        <v>#NUM!</v>
      </c>
      <c r="AW246" s="229" t="e">
        <f>SUM(AW217:AW228)</f>
        <v>#NUM!</v>
      </c>
      <c r="AX246" s="229" t="e">
        <f>SUM(AX217:AX228)</f>
        <v>#N/A</v>
      </c>
      <c r="BE246" s="840">
        <v>4</v>
      </c>
      <c r="BF246" s="229" t="e">
        <f>SUM(BF217:BF228)</f>
        <v>#NUM!</v>
      </c>
      <c r="BG246" s="229" t="e">
        <f>SUM(BG217:BG228)</f>
        <v>#NUM!</v>
      </c>
      <c r="BH246" s="229" t="e">
        <f>SUM(BH217:BH228)</f>
        <v>#N/A</v>
      </c>
      <c r="BO246" s="840">
        <v>4</v>
      </c>
      <c r="BP246" s="229" t="e">
        <f>SUM(BP217:BP228)</f>
        <v>#NUM!</v>
      </c>
      <c r="BQ246" s="229" t="e">
        <f>SUM(BQ217:BQ228)</f>
        <v>#NUM!</v>
      </c>
      <c r="BR246" s="229" t="e">
        <f>SUM(BR217:BR228)</f>
        <v>#N/A</v>
      </c>
      <c r="BY246" s="840">
        <v>4</v>
      </c>
      <c r="BZ246" s="229" t="e">
        <f>SUM(BZ217:BZ228)</f>
        <v>#NUM!</v>
      </c>
      <c r="CA246" s="229" t="e">
        <f>SUM(CA217:CA228)</f>
        <v>#NUM!</v>
      </c>
      <c r="CB246" s="229" t="e">
        <f>SUM(CB217:CB228)</f>
        <v>#N/A</v>
      </c>
    </row>
    <row r="247" spans="23:81" x14ac:dyDescent="0.25">
      <c r="W247" s="884"/>
      <c r="X247" s="121"/>
      <c r="AA247" s="840">
        <v>5</v>
      </c>
      <c r="AB247" s="229" t="e">
        <f>SUM(AB229:AB240)</f>
        <v>#N/A</v>
      </c>
      <c r="AC247" s="229" t="e">
        <f>SUM(AC229:AC240)</f>
        <v>#N/A</v>
      </c>
      <c r="AD247" s="229" t="e">
        <f>SUM(AD229:AD240)</f>
        <v>#N/A</v>
      </c>
      <c r="AG247" s="884"/>
      <c r="AH247" s="121"/>
      <c r="AK247" s="840">
        <v>5</v>
      </c>
      <c r="AL247" s="229" t="e">
        <f>SUM(AL229:AL240)</f>
        <v>#NUM!</v>
      </c>
      <c r="AM247" s="229" t="e">
        <f>SUM(AM229:AM240)</f>
        <v>#NUM!</v>
      </c>
      <c r="AN247" s="229" t="e">
        <f>SUM(AN229:AN240)</f>
        <v>#N/A</v>
      </c>
      <c r="AQ247" s="884"/>
      <c r="AR247" s="121"/>
      <c r="AU247" s="840">
        <v>5</v>
      </c>
      <c r="AV247" s="229" t="e">
        <f>SUM(AV229:AV240)</f>
        <v>#NUM!</v>
      </c>
      <c r="AW247" s="229" t="e">
        <f>SUM(AW229:AW240)</f>
        <v>#NUM!</v>
      </c>
      <c r="AX247" s="229" t="e">
        <f>SUM(AX229:AX240)</f>
        <v>#N/A</v>
      </c>
      <c r="BA247" s="884"/>
      <c r="BB247" s="121"/>
      <c r="BE247" s="840">
        <v>5</v>
      </c>
      <c r="BF247" s="229" t="e">
        <f>SUM(BF229:BF240)</f>
        <v>#NUM!</v>
      </c>
      <c r="BG247" s="229" t="e">
        <f>SUM(BG229:BG240)</f>
        <v>#NUM!</v>
      </c>
      <c r="BH247" s="229" t="e">
        <f>SUM(BH229:BH240)</f>
        <v>#N/A</v>
      </c>
      <c r="BK247" s="884"/>
      <c r="BL247" s="121"/>
      <c r="BO247" s="840">
        <v>5</v>
      </c>
      <c r="BP247" s="229" t="e">
        <f>SUM(BP229:BP240)</f>
        <v>#NUM!</v>
      </c>
      <c r="BQ247" s="229" t="e">
        <f>SUM(BQ229:BQ240)</f>
        <v>#NUM!</v>
      </c>
      <c r="BR247" s="229" t="e">
        <f>SUM(BR229:BR240)</f>
        <v>#N/A</v>
      </c>
      <c r="BU247" s="884"/>
      <c r="BV247" s="121"/>
      <c r="BY247" s="840">
        <v>5</v>
      </c>
      <c r="BZ247" s="229" t="e">
        <f>SUM(BZ229:BZ240)</f>
        <v>#NUM!</v>
      </c>
      <c r="CA247" s="229" t="e">
        <f>SUM(CA229:CA240)</f>
        <v>#NUM!</v>
      </c>
      <c r="CB247" s="229" t="e">
        <f>SUM(CB229:CB240)</f>
        <v>#N/A</v>
      </c>
    </row>
    <row r="248" spans="23:81" x14ac:dyDescent="0.25">
      <c r="W248" s="884"/>
      <c r="X248" s="121"/>
      <c r="AG248" s="884"/>
      <c r="AH248" s="121"/>
      <c r="AQ248" s="884"/>
      <c r="AR248" s="121"/>
      <c r="BA248" s="884"/>
      <c r="BB248" s="121"/>
      <c r="BK248" s="884"/>
      <c r="BL248" s="121"/>
      <c r="BU248" s="884"/>
      <c r="BV248" s="121"/>
    </row>
    <row r="249" spans="23:81" x14ac:dyDescent="0.25">
      <c r="W249" s="884"/>
      <c r="X249" s="121"/>
      <c r="AG249" s="884"/>
      <c r="AH249" s="121"/>
      <c r="AQ249" s="884"/>
      <c r="AR249" s="121"/>
      <c r="BA249" s="884"/>
      <c r="BB249" s="121"/>
      <c r="BK249" s="884"/>
      <c r="BL249" s="121"/>
      <c r="BU249" s="884"/>
      <c r="BV249" s="121"/>
    </row>
    <row r="250" spans="23:81" x14ac:dyDescent="0.25">
      <c r="W250" s="884"/>
      <c r="X250" s="121"/>
    </row>
    <row r="251" spans="23:81" x14ac:dyDescent="0.25">
      <c r="W251" s="884"/>
      <c r="X251" s="121"/>
    </row>
    <row r="252" spans="23:81" x14ac:dyDescent="0.25">
      <c r="W252" s="884"/>
      <c r="X252" s="121"/>
    </row>
    <row r="253" spans="23:81" x14ac:dyDescent="0.25">
      <c r="W253" s="884"/>
      <c r="X253" s="121"/>
    </row>
    <row r="254" spans="23:81" x14ac:dyDescent="0.25">
      <c r="W254" s="884"/>
      <c r="X254" s="121"/>
    </row>
    <row r="255" spans="23:81" x14ac:dyDescent="0.25">
      <c r="W255" s="884"/>
      <c r="X255" s="121"/>
    </row>
    <row r="256" spans="23:81" x14ac:dyDescent="0.25">
      <c r="W256" s="884"/>
      <c r="X256" s="121"/>
    </row>
    <row r="257" spans="23:24" x14ac:dyDescent="0.25">
      <c r="W257" s="884"/>
      <c r="X257" s="121"/>
    </row>
    <row r="258" spans="23:24" x14ac:dyDescent="0.25">
      <c r="W258" s="884"/>
      <c r="X258" s="121"/>
    </row>
    <row r="259" spans="23:24" x14ac:dyDescent="0.25">
      <c r="W259" s="884"/>
      <c r="X259" s="121"/>
    </row>
    <row r="260" spans="23:24" x14ac:dyDescent="0.25">
      <c r="W260" s="884"/>
      <c r="X260" s="121"/>
    </row>
    <row r="261" spans="23:24" x14ac:dyDescent="0.25">
      <c r="W261" s="884"/>
      <c r="X261" s="121"/>
    </row>
    <row r="262" spans="23:24" x14ac:dyDescent="0.25">
      <c r="W262" s="884"/>
      <c r="X262" s="121"/>
    </row>
    <row r="263" spans="23:24" x14ac:dyDescent="0.25">
      <c r="W263" s="884"/>
      <c r="X263" s="121"/>
    </row>
    <row r="264" spans="23:24" x14ac:dyDescent="0.25">
      <c r="W264" s="884"/>
      <c r="X264" s="121"/>
    </row>
    <row r="265" spans="23:24" x14ac:dyDescent="0.25">
      <c r="W265" s="884"/>
      <c r="X265" s="121"/>
    </row>
    <row r="266" spans="23:24" x14ac:dyDescent="0.25">
      <c r="W266" s="884"/>
      <c r="X266" s="121"/>
    </row>
    <row r="267" spans="23:24" x14ac:dyDescent="0.25">
      <c r="W267" s="884"/>
      <c r="X267" s="121"/>
    </row>
    <row r="268" spans="23:24" x14ac:dyDescent="0.25">
      <c r="W268" s="884"/>
      <c r="X268" s="121"/>
    </row>
    <row r="269" spans="23:24" x14ac:dyDescent="0.25">
      <c r="W269" s="884"/>
      <c r="X269" s="121"/>
    </row>
    <row r="270" spans="23:24" x14ac:dyDescent="0.25">
      <c r="W270" s="884"/>
      <c r="X270" s="121"/>
    </row>
    <row r="271" spans="23:24" x14ac:dyDescent="0.25">
      <c r="W271" s="884"/>
      <c r="X271" s="121"/>
    </row>
    <row r="272" spans="23:24" x14ac:dyDescent="0.25">
      <c r="W272" s="884"/>
      <c r="X272" s="121"/>
    </row>
    <row r="273" spans="23:24" x14ac:dyDescent="0.25">
      <c r="W273" s="884"/>
      <c r="X273" s="121"/>
    </row>
    <row r="274" spans="23:24" x14ac:dyDescent="0.25">
      <c r="W274" s="884"/>
      <c r="X274" s="121"/>
    </row>
    <row r="275" spans="23:24" x14ac:dyDescent="0.25">
      <c r="W275" s="884"/>
      <c r="X275" s="121"/>
    </row>
    <row r="276" spans="23:24" x14ac:dyDescent="0.25">
      <c r="W276" s="884"/>
      <c r="X276" s="121"/>
    </row>
    <row r="277" spans="23:24" x14ac:dyDescent="0.25">
      <c r="W277" s="884"/>
      <c r="X277" s="121"/>
    </row>
    <row r="278" spans="23:24" x14ac:dyDescent="0.25">
      <c r="W278" s="884"/>
      <c r="X278" s="121"/>
    </row>
    <row r="279" spans="23:24" x14ac:dyDescent="0.25">
      <c r="W279" s="884"/>
      <c r="X279" s="121"/>
    </row>
    <row r="280" spans="23:24" x14ac:dyDescent="0.25">
      <c r="W280" s="884"/>
      <c r="X280" s="121"/>
    </row>
    <row r="281" spans="23:24" x14ac:dyDescent="0.25">
      <c r="W281" s="884"/>
      <c r="X281" s="121"/>
    </row>
  </sheetData>
  <mergeCells count="138">
    <mergeCell ref="BA103:BI103"/>
    <mergeCell ref="BA177:BI177"/>
    <mergeCell ref="BA178:BI178"/>
    <mergeCell ref="BK103:BS103"/>
    <mergeCell ref="BK104:BS104"/>
    <mergeCell ref="BK177:BS177"/>
    <mergeCell ref="BK178:BS178"/>
    <mergeCell ref="BA104:BI104"/>
    <mergeCell ref="BU103:CC103"/>
    <mergeCell ref="BU104:CC104"/>
    <mergeCell ref="BU177:CC177"/>
    <mergeCell ref="BU178:CC178"/>
    <mergeCell ref="T168:U168"/>
    <mergeCell ref="W178:AE178"/>
    <mergeCell ref="W177:AE177"/>
    <mergeCell ref="W103:AE103"/>
    <mergeCell ref="W104:AE104"/>
    <mergeCell ref="AG103:AO103"/>
    <mergeCell ref="AG104:AO104"/>
    <mergeCell ref="AG177:AO177"/>
    <mergeCell ref="AG178:AO178"/>
    <mergeCell ref="AQ103:AY103"/>
    <mergeCell ref="AQ104:AY104"/>
    <mergeCell ref="AQ177:AY177"/>
    <mergeCell ref="AQ178:AY178"/>
    <mergeCell ref="A10:U10"/>
    <mergeCell ref="E12:F12"/>
    <mergeCell ref="H12:I12"/>
    <mergeCell ref="K23:L23"/>
    <mergeCell ref="N23:O23"/>
    <mergeCell ref="Q23:R23"/>
    <mergeCell ref="T23:U23"/>
    <mergeCell ref="T59:U59"/>
    <mergeCell ref="T71:U71"/>
    <mergeCell ref="T72:U72"/>
    <mergeCell ref="T73:U73"/>
    <mergeCell ref="H18:I18"/>
    <mergeCell ref="K18:L18"/>
    <mergeCell ref="N18:O18"/>
    <mergeCell ref="Q18:R18"/>
    <mergeCell ref="T18:U18"/>
    <mergeCell ref="H23:I23"/>
    <mergeCell ref="T50:U50"/>
    <mergeCell ref="T51:U51"/>
    <mergeCell ref="T55:U55"/>
    <mergeCell ref="T56:U56"/>
    <mergeCell ref="T57:U57"/>
    <mergeCell ref="N59:O59"/>
    <mergeCell ref="N71:O71"/>
    <mergeCell ref="N72:O72"/>
    <mergeCell ref="Q19:R19"/>
    <mergeCell ref="H48:I48"/>
    <mergeCell ref="K48:L48"/>
    <mergeCell ref="N48:O48"/>
    <mergeCell ref="Q48:R48"/>
    <mergeCell ref="N50:O50"/>
    <mergeCell ref="N51:O51"/>
    <mergeCell ref="N55:O55"/>
    <mergeCell ref="N56:O56"/>
    <mergeCell ref="N57:O57"/>
    <mergeCell ref="H59:I59"/>
    <mergeCell ref="H71:I71"/>
    <mergeCell ref="H72:I72"/>
    <mergeCell ref="H50:I50"/>
    <mergeCell ref="H51:I51"/>
    <mergeCell ref="H55:I55"/>
    <mergeCell ref="H56:I56"/>
    <mergeCell ref="H57:I57"/>
    <mergeCell ref="K50:L50"/>
    <mergeCell ref="Q71:R71"/>
    <mergeCell ref="Q72:R72"/>
    <mergeCell ref="E59:F59"/>
    <mergeCell ref="E71:F71"/>
    <mergeCell ref="E72:F72"/>
    <mergeCell ref="E73:F73"/>
    <mergeCell ref="E50:F50"/>
    <mergeCell ref="E51:F51"/>
    <mergeCell ref="E55:F55"/>
    <mergeCell ref="E56:F56"/>
    <mergeCell ref="E57:F57"/>
    <mergeCell ref="K56:L56"/>
    <mergeCell ref="K57:L57"/>
    <mergeCell ref="K59:L59"/>
    <mergeCell ref="K71:L71"/>
    <mergeCell ref="K72:L72"/>
    <mergeCell ref="Q73:R73"/>
    <mergeCell ref="H73:I73"/>
    <mergeCell ref="K73:L73"/>
    <mergeCell ref="K51:L51"/>
    <mergeCell ref="K55:L55"/>
    <mergeCell ref="T100:U100"/>
    <mergeCell ref="T48:U48"/>
    <mergeCell ref="E48:F48"/>
    <mergeCell ref="T19:U19"/>
    <mergeCell ref="E17:U17"/>
    <mergeCell ref="E29:F29"/>
    <mergeCell ref="E19:F19"/>
    <mergeCell ref="H19:I19"/>
    <mergeCell ref="K19:L19"/>
    <mergeCell ref="N19:O19"/>
    <mergeCell ref="H29:I29"/>
    <mergeCell ref="N29:O29"/>
    <mergeCell ref="T29:U29"/>
    <mergeCell ref="K29:L29"/>
    <mergeCell ref="H24:I24"/>
    <mergeCell ref="H25:I25"/>
    <mergeCell ref="K24:L24"/>
    <mergeCell ref="K25:L25"/>
    <mergeCell ref="N24:O24"/>
    <mergeCell ref="N25:O25"/>
    <mergeCell ref="Q24:R24"/>
    <mergeCell ref="Q25:R25"/>
    <mergeCell ref="T24:U24"/>
    <mergeCell ref="T25:U25"/>
    <mergeCell ref="N12:O12"/>
    <mergeCell ref="E99:F99"/>
    <mergeCell ref="E100:F100"/>
    <mergeCell ref="H99:I99"/>
    <mergeCell ref="H100:I100"/>
    <mergeCell ref="K99:L99"/>
    <mergeCell ref="K100:L100"/>
    <mergeCell ref="N99:O99"/>
    <mergeCell ref="N100:O100"/>
    <mergeCell ref="E18:F18"/>
    <mergeCell ref="E23:F23"/>
    <mergeCell ref="K12:L12"/>
    <mergeCell ref="E76:U76"/>
    <mergeCell ref="N73:O73"/>
    <mergeCell ref="Q29:R29"/>
    <mergeCell ref="Q50:R50"/>
    <mergeCell ref="Q51:R51"/>
    <mergeCell ref="Q55:R55"/>
    <mergeCell ref="Q56:R56"/>
    <mergeCell ref="Q57:R57"/>
    <mergeCell ref="Q59:R59"/>
    <mergeCell ref="Q99:R99"/>
    <mergeCell ref="Q100:R100"/>
    <mergeCell ref="T99:U99"/>
  </mergeCells>
  <phoneticPr fontId="89" type="noConversion"/>
  <conditionalFormatting sqref="H114:I1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:I1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9:I1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I13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5:I1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:L1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7:L1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9:L1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3:L1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5:L1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G114 M114 J11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:G127 M127 J12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9:G129 M129 J1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G133 M133 J13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:G135 M135 J13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7:P12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9:P12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3:P13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5:P13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 H79 K79 N79 Q79 T79">
    <cfRule type="colorScale" priority="4">
      <colorScale>
        <cfvo type="min"/>
        <cfvo type="percentile" val="50"/>
        <cfvo type="max"/>
        <color rgb="FF008000"/>
        <color rgb="FFFFEB84"/>
        <color rgb="FFFF6600"/>
      </colorScale>
    </cfRule>
  </conditionalFormatting>
  <conditionalFormatting sqref="E80 H80 K80 N80 Q80 T80">
    <cfRule type="colorScale" priority="3">
      <colorScale>
        <cfvo type="min"/>
        <cfvo type="percentile" val="50"/>
        <cfvo type="max"/>
        <color rgb="FF008000"/>
        <color rgb="FFFFEB84"/>
        <color rgb="FFFF6600"/>
      </colorScale>
    </cfRule>
  </conditionalFormatting>
  <conditionalFormatting sqref="E81 H81 K81 N81 Q81 T81">
    <cfRule type="colorScale" priority="2">
      <colorScale>
        <cfvo type="min"/>
        <cfvo type="percentile" val="50"/>
        <cfvo type="max"/>
        <color rgb="FF008000"/>
        <color rgb="FFFFEB84"/>
        <color rgb="FFFF6600"/>
      </colorScale>
    </cfRule>
  </conditionalFormatting>
  <conditionalFormatting sqref="E82 H82 K82 N82 Q82 T82">
    <cfRule type="colorScale" priority="1">
      <colorScale>
        <cfvo type="min"/>
        <cfvo type="percentile" val="50"/>
        <cfvo type="max"/>
        <color rgb="FF008000"/>
        <color rgb="FFFFEB84"/>
        <color rgb="FFFF6600"/>
      </colorScale>
    </cfRule>
  </conditionalFormatting>
  <dataValidations count="6">
    <dataValidation type="list" allowBlank="1" showInputMessage="1" showErrorMessage="1" sqref="F35 O35:P35 L35 I35 R35" xr:uid="{00000000-0002-0000-0F00-000000000000}">
      <formula1>"Appraisal, Cost, Stabilized Value"</formula1>
    </dataValidation>
    <dataValidation type="list" allowBlank="1" showInputMessage="1" showErrorMessage="1" sqref="E36 N36 K36 H36 Q36 T36" xr:uid="{00000000-0002-0000-0F00-000001000000}">
      <formula1>"Fixed, Variable"</formula1>
    </dataValidation>
    <dataValidation type="list" allowBlank="1" showInputMessage="1" showErrorMessage="1" sqref="E38 N38 K38 H38 Q38 T38" xr:uid="{00000000-0002-0000-0F00-000002000000}">
      <formula1>"LIBOR, Treasury, FHLB, WSJP"</formula1>
    </dataValidation>
    <dataValidation type="list" allowBlank="1" showInputMessage="1" showErrorMessage="1" sqref="E39 N39 K39 H39 Q39 T39" xr:uid="{00000000-0002-0000-0F00-000003000000}">
      <formula1>"30 day, 90 day, 1 year, 3 year, 5 year"</formula1>
    </dataValidation>
    <dataValidation type="list" allowBlank="1" showInputMessage="1" showErrorMessage="1" sqref="E52 N52 K52 H52 Q52 T52" xr:uid="{00000000-0002-0000-0F00-000004000000}">
      <formula1>"Monthly, Quarterly, Yearly"</formula1>
    </dataValidation>
    <dataValidation type="list" allowBlank="1" showInputMessage="1" showErrorMessage="1" sqref="K58 E58 T58 H58 Q58 N58" xr:uid="{00000000-0002-0000-0F00-000005000000}">
      <formula1>"Yes, No"</formula1>
    </dataValidation>
  </dataValidations>
  <pageMargins left="0.25" right="0.25" top="0.75" bottom="0.75" header="0.3" footer="0.3"/>
  <pageSetup scale="43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6600"/>
  </sheetPr>
  <dimension ref="A1:G91"/>
  <sheetViews>
    <sheetView zoomScale="125" zoomScaleNormal="125" zoomScalePageLayoutView="125" workbookViewId="0">
      <selection activeCell="B11" sqref="B11"/>
    </sheetView>
  </sheetViews>
  <sheetFormatPr defaultColWidth="11.42578125" defaultRowHeight="15" x14ac:dyDescent="0.25"/>
  <sheetData>
    <row r="1" spans="1:7" ht="23.25" x14ac:dyDescent="0.35">
      <c r="A1" s="1" t="str">
        <f>+'Data Entry'!C6</f>
        <v>LF III</v>
      </c>
    </row>
    <row r="2" spans="1:7" x14ac:dyDescent="0.25">
      <c r="A2" t="s">
        <v>925</v>
      </c>
    </row>
    <row r="3" spans="1:7" x14ac:dyDescent="0.25">
      <c r="A3" t="s">
        <v>926</v>
      </c>
    </row>
    <row r="5" spans="1:7" x14ac:dyDescent="0.25">
      <c r="A5" s="874"/>
      <c r="B5" s="1303" t="s">
        <v>869</v>
      </c>
      <c r="C5" s="874"/>
      <c r="D5" s="875"/>
      <c r="E5" s="876"/>
      <c r="F5" s="874"/>
    </row>
    <row r="6" spans="1:7" x14ac:dyDescent="0.25">
      <c r="A6" s="877"/>
      <c r="B6" s="1303"/>
      <c r="C6" s="1303" t="s">
        <v>870</v>
      </c>
      <c r="D6" s="1303" t="s">
        <v>871</v>
      </c>
      <c r="E6" s="1303" t="s">
        <v>872</v>
      </c>
      <c r="F6" s="1303" t="s">
        <v>873</v>
      </c>
    </row>
    <row r="7" spans="1:7" ht="15.75" thickBot="1" x14ac:dyDescent="0.3">
      <c r="A7" s="878" t="s">
        <v>874</v>
      </c>
      <c r="B7" s="1304"/>
      <c r="C7" s="1305"/>
      <c r="D7" s="1305"/>
      <c r="E7" s="1305"/>
      <c r="F7" s="1305"/>
      <c r="G7" t="s">
        <v>880</v>
      </c>
    </row>
    <row r="8" spans="1:7" x14ac:dyDescent="0.25">
      <c r="A8" s="879">
        <v>42674</v>
      </c>
      <c r="B8" s="880" t="e">
        <f t="shared" ref="B8:B39" si="0">VLOOKUP(A8,FedRate.UpperBound.Table,2,FALSE)/100</f>
        <v>#REF!</v>
      </c>
      <c r="C8" s="880">
        <v>5.3378000000000002E-3</v>
      </c>
      <c r="D8" s="881">
        <v>1.3381914238021148E-2</v>
      </c>
      <c r="E8" s="880">
        <f t="shared" ref="E8:E34" si="1">+D8-C8</f>
        <v>8.0441142380211477E-3</v>
      </c>
      <c r="F8" s="880">
        <f>D8+$F$1/10000</f>
        <v>1.3381914238021148E-2</v>
      </c>
    </row>
    <row r="9" spans="1:7" x14ac:dyDescent="0.25">
      <c r="A9" s="879">
        <v>42704</v>
      </c>
      <c r="B9" s="880" t="e">
        <f t="shared" si="0"/>
        <v>#REF!</v>
      </c>
      <c r="C9" s="880">
        <v>6.2366999999999995E-3</v>
      </c>
      <c r="D9" s="881">
        <v>1.8030078480590007E-2</v>
      </c>
      <c r="E9" s="880">
        <f t="shared" si="1"/>
        <v>1.1793378480590007E-2</v>
      </c>
      <c r="F9" s="880">
        <f t="shared" ref="F9:F72" si="2">D9+$F$1/10000</f>
        <v>1.8030078480590007E-2</v>
      </c>
    </row>
    <row r="10" spans="1:7" x14ac:dyDescent="0.25">
      <c r="A10" s="879">
        <v>42734</v>
      </c>
      <c r="B10" s="880" t="e">
        <f t="shared" si="0"/>
        <v>#REF!</v>
      </c>
      <c r="C10" s="880">
        <v>7.7166999999999999E-3</v>
      </c>
      <c r="D10" s="881">
        <v>1.9648860000000011E-2</v>
      </c>
      <c r="E10" s="880">
        <f t="shared" si="1"/>
        <v>1.1932160000000011E-2</v>
      </c>
      <c r="F10" s="880">
        <f t="shared" si="2"/>
        <v>1.9648860000000011E-2</v>
      </c>
    </row>
    <row r="11" spans="1:7" x14ac:dyDescent="0.25">
      <c r="A11" s="879">
        <v>42765</v>
      </c>
      <c r="B11" s="880" t="e">
        <f t="shared" si="0"/>
        <v>#REF!</v>
      </c>
      <c r="C11" s="880">
        <v>7.8000000000000005E-3</v>
      </c>
      <c r="D11" s="881">
        <v>2.0074358106296944E-2</v>
      </c>
      <c r="E11" s="880">
        <f t="shared" si="1"/>
        <v>1.2274358106296943E-2</v>
      </c>
      <c r="F11" s="880">
        <f t="shared" si="2"/>
        <v>2.0074358106296944E-2</v>
      </c>
    </row>
    <row r="12" spans="1:7" x14ac:dyDescent="0.25">
      <c r="A12" s="879">
        <v>42794</v>
      </c>
      <c r="B12" s="880" t="e">
        <f t="shared" si="0"/>
        <v>#REF!</v>
      </c>
      <c r="C12" s="880">
        <v>7.888899999999999E-3</v>
      </c>
      <c r="D12" s="881">
        <v>1.9969317923490597E-2</v>
      </c>
      <c r="E12" s="880">
        <f t="shared" si="1"/>
        <v>1.2080417923490598E-2</v>
      </c>
      <c r="F12" s="880">
        <f t="shared" si="2"/>
        <v>1.9969317923490597E-2</v>
      </c>
    </row>
    <row r="13" spans="1:7" x14ac:dyDescent="0.25">
      <c r="A13" s="879">
        <v>42822</v>
      </c>
      <c r="B13" s="880" t="e">
        <f t="shared" si="0"/>
        <v>#REF!</v>
      </c>
      <c r="C13" s="880">
        <v>9.8221999999999997E-3</v>
      </c>
      <c r="D13" s="881">
        <v>2.0626681350761213E-2</v>
      </c>
      <c r="E13" s="880">
        <f t="shared" si="1"/>
        <v>1.0804481350761213E-2</v>
      </c>
      <c r="F13" s="880">
        <f t="shared" si="2"/>
        <v>2.0626681350761213E-2</v>
      </c>
    </row>
    <row r="14" spans="1:7" x14ac:dyDescent="0.25">
      <c r="A14" s="879">
        <v>42853</v>
      </c>
      <c r="B14" s="880" t="e">
        <f t="shared" si="0"/>
        <v>#REF!</v>
      </c>
      <c r="C14" s="880">
        <v>9.9500000000000005E-3</v>
      </c>
      <c r="D14" s="881">
        <v>1.9342291409959793E-2</v>
      </c>
      <c r="E14" s="880">
        <f t="shared" si="1"/>
        <v>9.3922914099597923E-3</v>
      </c>
      <c r="F14" s="880">
        <f t="shared" si="2"/>
        <v>1.9342291409959793E-2</v>
      </c>
    </row>
    <row r="15" spans="1:7" x14ac:dyDescent="0.25">
      <c r="A15" s="879">
        <v>42885</v>
      </c>
      <c r="B15" s="880" t="e">
        <f t="shared" si="0"/>
        <v>#REF!</v>
      </c>
      <c r="C15" s="880">
        <v>1.0505E-2</v>
      </c>
      <c r="D15" s="881">
        <v>1.8373350028788545E-2</v>
      </c>
      <c r="E15" s="880">
        <f t="shared" si="1"/>
        <v>7.8683500287885441E-3</v>
      </c>
      <c r="F15" s="880">
        <f t="shared" si="2"/>
        <v>1.8373350028788545E-2</v>
      </c>
    </row>
    <row r="16" spans="1:7" x14ac:dyDescent="0.25">
      <c r="A16" s="879">
        <v>42916</v>
      </c>
      <c r="B16" s="880" t="e">
        <f t="shared" si="0"/>
        <v>#REF!</v>
      </c>
      <c r="C16" s="880">
        <v>1.2238899999999999E-2</v>
      </c>
      <c r="D16" s="881">
        <v>1.9494043582273114E-2</v>
      </c>
      <c r="E16" s="880">
        <f t="shared" si="1"/>
        <v>7.2551435822731155E-3</v>
      </c>
      <c r="F16" s="880">
        <f t="shared" si="2"/>
        <v>1.9494043582273114E-2</v>
      </c>
    </row>
    <row r="17" spans="1:6" x14ac:dyDescent="0.25">
      <c r="A17" s="879">
        <v>42947</v>
      </c>
      <c r="B17" s="880" t="e">
        <f t="shared" si="0"/>
        <v>#REF!</v>
      </c>
      <c r="C17" s="880">
        <v>1.23167E-2</v>
      </c>
      <c r="D17" s="881">
        <v>1.9021334182453976E-2</v>
      </c>
      <c r="E17" s="880">
        <f t="shared" si="1"/>
        <v>6.7046341824539765E-3</v>
      </c>
      <c r="F17" s="880">
        <f t="shared" si="2"/>
        <v>1.9021334182453976E-2</v>
      </c>
    </row>
    <row r="18" spans="1:6" x14ac:dyDescent="0.25">
      <c r="A18" s="879">
        <v>42976</v>
      </c>
      <c r="B18" s="880" t="e">
        <f t="shared" si="0"/>
        <v>#REF!</v>
      </c>
      <c r="C18" s="880">
        <v>1.2388900000000001E-2</v>
      </c>
      <c r="D18" s="881">
        <v>1.7639792490625628E-2</v>
      </c>
      <c r="E18" s="880">
        <f t="shared" si="1"/>
        <v>5.250892490625627E-3</v>
      </c>
      <c r="F18" s="880">
        <f t="shared" si="2"/>
        <v>1.7639792490625628E-2</v>
      </c>
    </row>
    <row r="19" spans="1:6" x14ac:dyDescent="0.25">
      <c r="A19" s="879">
        <v>43005</v>
      </c>
      <c r="B19" s="880" t="e">
        <f t="shared" si="0"/>
        <v>#REF!</v>
      </c>
      <c r="C19" s="880">
        <v>1.2350000000000002E-2</v>
      </c>
      <c r="D19" s="881">
        <v>1.9881676091758838E-2</v>
      </c>
      <c r="E19" s="880">
        <f t="shared" si="1"/>
        <v>7.5316760917588359E-3</v>
      </c>
      <c r="F19" s="880">
        <f t="shared" si="2"/>
        <v>1.9881676091758838E-2</v>
      </c>
    </row>
    <row r="20" spans="1:6" x14ac:dyDescent="0.25">
      <c r="A20" s="879">
        <v>43035</v>
      </c>
      <c r="B20" s="880" t="e">
        <f t="shared" si="0"/>
        <v>#REF!</v>
      </c>
      <c r="C20" s="880">
        <v>1.24233E-2</v>
      </c>
      <c r="D20" s="881">
        <v>2.1172896704048708E-2</v>
      </c>
      <c r="E20" s="880">
        <f t="shared" si="1"/>
        <v>8.7495967040487083E-3</v>
      </c>
      <c r="F20" s="880">
        <f t="shared" si="2"/>
        <v>2.1172896704048708E-2</v>
      </c>
    </row>
    <row r="21" spans="1:6" x14ac:dyDescent="0.25">
      <c r="A21" s="879">
        <v>43066</v>
      </c>
      <c r="B21" s="880" t="e">
        <f t="shared" si="0"/>
        <v>#REF!</v>
      </c>
      <c r="C21" s="880">
        <v>1.34676E-2</v>
      </c>
      <c r="D21" s="881">
        <v>2.1163759999999966E-2</v>
      </c>
      <c r="E21" s="880">
        <f t="shared" si="1"/>
        <v>7.6961599999999658E-3</v>
      </c>
      <c r="F21" s="880">
        <f t="shared" si="2"/>
        <v>2.1163759999999966E-2</v>
      </c>
    </row>
    <row r="22" spans="1:6" x14ac:dyDescent="0.25">
      <c r="A22" s="879">
        <v>43096</v>
      </c>
      <c r="B22" s="880" t="e">
        <f t="shared" si="0"/>
        <v>#REF!</v>
      </c>
      <c r="C22" s="880">
        <v>1.5689999999999999E-2</v>
      </c>
      <c r="D22" s="881">
        <v>2.2482548832796264E-2</v>
      </c>
      <c r="E22" s="880">
        <f t="shared" si="1"/>
        <v>6.7925488327962649E-3</v>
      </c>
      <c r="F22" s="880">
        <f t="shared" si="2"/>
        <v>2.2482548832796264E-2</v>
      </c>
    </row>
    <row r="23" spans="1:6" x14ac:dyDescent="0.25">
      <c r="A23" s="879">
        <v>43123</v>
      </c>
      <c r="B23" s="880" t="e">
        <f t="shared" si="0"/>
        <v>#REF!</v>
      </c>
      <c r="C23" s="880">
        <v>1.5613500000000001E-2</v>
      </c>
      <c r="D23" s="881">
        <v>2.4842990209682076E-2</v>
      </c>
      <c r="E23" s="880">
        <f t="shared" si="1"/>
        <v>9.2294902096820754E-3</v>
      </c>
      <c r="F23" s="880">
        <f t="shared" si="2"/>
        <v>2.4842990209682076E-2</v>
      </c>
    </row>
    <row r="24" spans="1:6" x14ac:dyDescent="0.25">
      <c r="A24" s="879">
        <v>43154</v>
      </c>
      <c r="B24" s="880" t="e">
        <f t="shared" si="0"/>
        <v>#REF!</v>
      </c>
      <c r="C24" s="880">
        <v>1.6312E-2</v>
      </c>
      <c r="D24" s="881">
        <v>2.7251157545167767E-2</v>
      </c>
      <c r="E24" s="880">
        <f t="shared" si="1"/>
        <v>1.0939157545167767E-2</v>
      </c>
      <c r="F24" s="880">
        <f t="shared" si="2"/>
        <v>2.7251157545167767E-2</v>
      </c>
    </row>
    <row r="25" spans="1:6" x14ac:dyDescent="0.25">
      <c r="A25" s="879">
        <v>43182</v>
      </c>
      <c r="B25" s="880" t="e">
        <f t="shared" si="0"/>
        <v>#REF!</v>
      </c>
      <c r="C25" s="880">
        <v>1.8749999999999999E-2</v>
      </c>
      <c r="D25" s="881">
        <v>2.7639826558181365E-2</v>
      </c>
      <c r="E25" s="880">
        <f t="shared" si="1"/>
        <v>8.8898265581813657E-3</v>
      </c>
      <c r="F25" s="880">
        <f t="shared" si="2"/>
        <v>2.7639826558181365E-2</v>
      </c>
    </row>
    <row r="26" spans="1:6" x14ac:dyDescent="0.25">
      <c r="A26" s="879">
        <v>43213</v>
      </c>
      <c r="B26" s="880" t="e">
        <f t="shared" si="0"/>
        <v>#REF!</v>
      </c>
      <c r="C26" s="880">
        <v>1.8971100000000001E-2</v>
      </c>
      <c r="D26" s="881">
        <v>2.9255015628598356E-2</v>
      </c>
      <c r="E26" s="880">
        <f t="shared" si="1"/>
        <v>1.0283915628598355E-2</v>
      </c>
      <c r="F26" s="880">
        <f t="shared" si="2"/>
        <v>2.9255015628598356E-2</v>
      </c>
    </row>
    <row r="27" spans="1:6" x14ac:dyDescent="0.25">
      <c r="A27" s="879">
        <v>43241</v>
      </c>
      <c r="B27" s="880" t="e">
        <f t="shared" si="0"/>
        <v>#REF!</v>
      </c>
      <c r="C27" s="880">
        <v>1.9612499999999998E-2</v>
      </c>
      <c r="D27" s="881">
        <v>2.9987192597224752E-2</v>
      </c>
      <c r="E27" s="880">
        <f t="shared" si="1"/>
        <v>1.0374692597224754E-2</v>
      </c>
      <c r="F27" s="880">
        <f t="shared" si="2"/>
        <v>2.9987192597224752E-2</v>
      </c>
    </row>
    <row r="28" spans="1:6" x14ac:dyDescent="0.25">
      <c r="A28" s="879">
        <v>43271</v>
      </c>
      <c r="B28" s="880" t="e">
        <f t="shared" si="0"/>
        <v>#REF!</v>
      </c>
      <c r="C28" s="880">
        <v>2.0836299999999999E-2</v>
      </c>
      <c r="D28" s="881">
        <v>2.9357806270850786E-2</v>
      </c>
      <c r="E28" s="880">
        <f t="shared" si="1"/>
        <v>8.5215062708507879E-3</v>
      </c>
      <c r="F28" s="880">
        <f t="shared" si="2"/>
        <v>2.9357806270850786E-2</v>
      </c>
    </row>
    <row r="29" spans="1:6" x14ac:dyDescent="0.25">
      <c r="A29" s="879">
        <v>43301</v>
      </c>
      <c r="B29" s="880" t="e">
        <f t="shared" si="0"/>
        <v>#REF!</v>
      </c>
      <c r="C29" s="880">
        <v>2.069E-2</v>
      </c>
      <c r="D29" s="881">
        <v>2.9121916818773588E-2</v>
      </c>
      <c r="E29" s="880">
        <f t="shared" si="1"/>
        <v>8.4319168187735882E-3</v>
      </c>
      <c r="F29" s="880">
        <f t="shared" si="2"/>
        <v>2.9121916818773588E-2</v>
      </c>
    </row>
    <row r="30" spans="1:6" x14ac:dyDescent="0.25">
      <c r="A30" s="879">
        <v>43332</v>
      </c>
      <c r="B30" s="880" t="e">
        <f t="shared" si="0"/>
        <v>#REF!</v>
      </c>
      <c r="C30" s="880">
        <v>2.0670000000000001E-2</v>
      </c>
      <c r="D30" s="881">
        <v>2.8480276460061248E-2</v>
      </c>
      <c r="E30" s="880">
        <f t="shared" si="1"/>
        <v>7.8102764600612475E-3</v>
      </c>
      <c r="F30" s="880">
        <f t="shared" si="2"/>
        <v>2.8480276460061248E-2</v>
      </c>
    </row>
    <row r="31" spans="1:6" x14ac:dyDescent="0.25">
      <c r="A31" s="879">
        <v>43362</v>
      </c>
      <c r="B31" s="880" t="e">
        <f t="shared" si="0"/>
        <v>#REF!</v>
      </c>
      <c r="C31" s="880">
        <v>2.1824400000000001E-2</v>
      </c>
      <c r="D31" s="881">
        <v>3.0761200311915714E-2</v>
      </c>
      <c r="E31" s="880">
        <f t="shared" si="1"/>
        <v>8.9368003119157137E-3</v>
      </c>
      <c r="F31" s="880">
        <f t="shared" si="2"/>
        <v>3.0761200311915714E-2</v>
      </c>
    </row>
    <row r="32" spans="1:6" x14ac:dyDescent="0.25">
      <c r="A32" s="879">
        <v>43392</v>
      </c>
      <c r="B32" s="880" t="e">
        <f t="shared" si="0"/>
        <v>#REF!</v>
      </c>
      <c r="C32" s="880">
        <v>2.28188E-2</v>
      </c>
      <c r="D32" s="881">
        <v>3.1987009999999948E-2</v>
      </c>
      <c r="E32" s="880">
        <f t="shared" si="1"/>
        <v>9.1682099999999475E-3</v>
      </c>
      <c r="F32" s="880">
        <f t="shared" si="2"/>
        <v>3.1987009999999948E-2</v>
      </c>
    </row>
    <row r="33" spans="1:6" x14ac:dyDescent="0.25">
      <c r="A33" s="879">
        <v>43423</v>
      </c>
      <c r="B33" s="880" t="e">
        <f t="shared" si="0"/>
        <v>#REF!</v>
      </c>
      <c r="C33" s="880">
        <v>2.2950539299058548E-2</v>
      </c>
      <c r="D33" s="881">
        <v>3.0060472820772632E-2</v>
      </c>
      <c r="E33" s="880">
        <f t="shared" si="1"/>
        <v>7.109933521714084E-3</v>
      </c>
      <c r="F33" s="880">
        <f t="shared" si="2"/>
        <v>3.0060472820772632E-2</v>
      </c>
    </row>
    <row r="34" spans="1:6" x14ac:dyDescent="0.25">
      <c r="A34" s="879">
        <v>43454</v>
      </c>
      <c r="B34" s="880" t="e">
        <f t="shared" si="0"/>
        <v>#REF!</v>
      </c>
      <c r="C34" s="880">
        <v>2.4700000000000003E-2</v>
      </c>
      <c r="D34" s="881">
        <v>3.2199999999999999E-2</v>
      </c>
      <c r="E34" s="880">
        <f t="shared" si="1"/>
        <v>7.4999999999999963E-3</v>
      </c>
      <c r="F34" s="880">
        <f t="shared" si="2"/>
        <v>3.2199999999999999E-2</v>
      </c>
    </row>
    <row r="35" spans="1:6" x14ac:dyDescent="0.25">
      <c r="A35" s="882">
        <f>A34+30</f>
        <v>43484</v>
      </c>
      <c r="B35" s="880" t="e">
        <f t="shared" si="0"/>
        <v>#REF!</v>
      </c>
      <c r="C35" s="883">
        <f t="shared" ref="C35:E35" si="3">((C37-C34)*1/3)+C34</f>
        <v>2.5533333333333335E-2</v>
      </c>
      <c r="D35" s="883">
        <f t="shared" si="3"/>
        <v>3.2733333333333337E-2</v>
      </c>
      <c r="E35" s="883">
        <f t="shared" si="3"/>
        <v>7.1999999999999981E-3</v>
      </c>
      <c r="F35" s="880">
        <f t="shared" si="2"/>
        <v>3.2733333333333337E-2</v>
      </c>
    </row>
    <row r="36" spans="1:6" x14ac:dyDescent="0.25">
      <c r="A36" s="882">
        <f>A37-30</f>
        <v>43514</v>
      </c>
      <c r="B36" s="880" t="e">
        <f t="shared" si="0"/>
        <v>#REF!</v>
      </c>
      <c r="C36" s="883">
        <f t="shared" ref="C36:E36" si="4">((C37-C34)*2/3)+C34</f>
        <v>2.636666666666667E-2</v>
      </c>
      <c r="D36" s="883">
        <f t="shared" si="4"/>
        <v>3.3266666666666667E-2</v>
      </c>
      <c r="E36" s="883">
        <f t="shared" si="4"/>
        <v>6.8999999999999999E-3</v>
      </c>
      <c r="F36" s="880">
        <f t="shared" si="2"/>
        <v>3.3266666666666667E-2</v>
      </c>
    </row>
    <row r="37" spans="1:6" x14ac:dyDescent="0.25">
      <c r="A37" s="879">
        <v>43544</v>
      </c>
      <c r="B37" s="880" t="e">
        <f t="shared" si="0"/>
        <v>#REF!</v>
      </c>
      <c r="C37" s="880">
        <v>2.7200000000000002E-2</v>
      </c>
      <c r="D37" s="881">
        <v>3.3800000000000004E-2</v>
      </c>
      <c r="E37" s="880">
        <f>+D37-C37</f>
        <v>6.6000000000000017E-3</v>
      </c>
      <c r="F37" s="880">
        <f t="shared" si="2"/>
        <v>3.3800000000000004E-2</v>
      </c>
    </row>
    <row r="38" spans="1:6" x14ac:dyDescent="0.25">
      <c r="A38" s="882">
        <f>A37+30</f>
        <v>43574</v>
      </c>
      <c r="B38" s="880" t="e">
        <f t="shared" si="0"/>
        <v>#REF!</v>
      </c>
      <c r="C38" s="883">
        <f t="shared" ref="C38:E38" si="5">((C40-C37)*1/3)+C37</f>
        <v>2.8000000000000001E-2</v>
      </c>
      <c r="D38" s="883">
        <f t="shared" si="5"/>
        <v>3.4233333333333338E-2</v>
      </c>
      <c r="E38" s="883">
        <f t="shared" si="5"/>
        <v>6.2333333333333364E-3</v>
      </c>
      <c r="F38" s="880">
        <f t="shared" si="2"/>
        <v>3.4233333333333338E-2</v>
      </c>
    </row>
    <row r="39" spans="1:6" x14ac:dyDescent="0.25">
      <c r="A39" s="882">
        <f>A40-30</f>
        <v>43606</v>
      </c>
      <c r="B39" s="880" t="e">
        <f t="shared" si="0"/>
        <v>#REF!</v>
      </c>
      <c r="C39" s="883">
        <f t="shared" ref="C39:E39" si="6">((C40-C37)*2/3)+C37</f>
        <v>2.8800000000000003E-2</v>
      </c>
      <c r="D39" s="883">
        <f t="shared" si="6"/>
        <v>3.4666666666666672E-2</v>
      </c>
      <c r="E39" s="883">
        <f t="shared" si="6"/>
        <v>5.8666666666666702E-3</v>
      </c>
      <c r="F39" s="880">
        <f t="shared" si="2"/>
        <v>3.4666666666666672E-2</v>
      </c>
    </row>
    <row r="40" spans="1:6" x14ac:dyDescent="0.25">
      <c r="A40" s="879">
        <v>43636</v>
      </c>
      <c r="B40" s="880" t="e">
        <f t="shared" ref="B40:B71" si="7">VLOOKUP(A40,FedRate.UpperBound.Table,2,FALSE)/100</f>
        <v>#REF!</v>
      </c>
      <c r="C40" s="880">
        <v>2.9600000000000001E-2</v>
      </c>
      <c r="D40" s="881">
        <v>3.5100000000000006E-2</v>
      </c>
      <c r="E40" s="880">
        <f>+D40-C40</f>
        <v>5.5000000000000049E-3</v>
      </c>
      <c r="F40" s="880">
        <f t="shared" si="2"/>
        <v>3.5100000000000006E-2</v>
      </c>
    </row>
    <row r="41" spans="1:6" x14ac:dyDescent="0.25">
      <c r="A41" s="882">
        <f>A40+30</f>
        <v>43666</v>
      </c>
      <c r="B41" s="880" t="e">
        <f t="shared" si="7"/>
        <v>#REF!</v>
      </c>
      <c r="C41" s="883">
        <f t="shared" ref="C41:E41" si="8">((C43-C40)*1/3)+C40</f>
        <v>3.0166666666666668E-2</v>
      </c>
      <c r="D41" s="883">
        <f t="shared" si="8"/>
        <v>3.5600000000000007E-2</v>
      </c>
      <c r="E41" s="883">
        <f t="shared" si="8"/>
        <v>5.4333333333333386E-3</v>
      </c>
      <c r="F41" s="880">
        <f t="shared" si="2"/>
        <v>3.5600000000000007E-2</v>
      </c>
    </row>
    <row r="42" spans="1:6" x14ac:dyDescent="0.25">
      <c r="A42" s="882">
        <f>A43-30</f>
        <v>43698</v>
      </c>
      <c r="B42" s="880" t="e">
        <f t="shared" si="7"/>
        <v>#REF!</v>
      </c>
      <c r="C42" s="883">
        <f t="shared" ref="C42:E42" si="9">((C43-C40)*2/3)+C40</f>
        <v>3.0733333333333335E-2</v>
      </c>
      <c r="D42" s="883">
        <f t="shared" si="9"/>
        <v>3.6100000000000007E-2</v>
      </c>
      <c r="E42" s="883">
        <f t="shared" si="9"/>
        <v>5.3666666666666724E-3</v>
      </c>
      <c r="F42" s="880">
        <f t="shared" si="2"/>
        <v>3.6100000000000007E-2</v>
      </c>
    </row>
    <row r="43" spans="1:6" x14ac:dyDescent="0.25">
      <c r="A43" s="879">
        <v>43728</v>
      </c>
      <c r="B43" s="880" t="e">
        <f t="shared" si="7"/>
        <v>#REF!</v>
      </c>
      <c r="C43" s="880">
        <v>3.1300000000000001E-2</v>
      </c>
      <c r="D43" s="881">
        <v>3.6600000000000008E-2</v>
      </c>
      <c r="E43" s="880">
        <f>+D43-C43</f>
        <v>5.3000000000000061E-3</v>
      </c>
      <c r="F43" s="880">
        <f t="shared" si="2"/>
        <v>3.6600000000000008E-2</v>
      </c>
    </row>
    <row r="44" spans="1:6" x14ac:dyDescent="0.25">
      <c r="A44" s="882">
        <f>A43+30</f>
        <v>43758</v>
      </c>
      <c r="B44" s="880" t="e">
        <f t="shared" si="7"/>
        <v>#REF!</v>
      </c>
      <c r="C44" s="883">
        <f t="shared" ref="C44:E44" si="10">((C46-C43)*1/3)+C43</f>
        <v>3.2050000000000002E-2</v>
      </c>
      <c r="D44" s="883">
        <f t="shared" si="10"/>
        <v>3.673333333333334E-2</v>
      </c>
      <c r="E44" s="883">
        <f t="shared" si="10"/>
        <v>4.6833333333333406E-3</v>
      </c>
      <c r="F44" s="880">
        <f t="shared" si="2"/>
        <v>3.673333333333334E-2</v>
      </c>
    </row>
    <row r="45" spans="1:6" x14ac:dyDescent="0.25">
      <c r="A45" s="882">
        <f>A46-30</f>
        <v>43789</v>
      </c>
      <c r="B45" s="880" t="e">
        <f t="shared" si="7"/>
        <v>#REF!</v>
      </c>
      <c r="C45" s="883">
        <f t="shared" ref="C45:E45" si="11">((C46-C43)*2/3)+C43</f>
        <v>3.2799999999999996E-2</v>
      </c>
      <c r="D45" s="883">
        <f t="shared" si="11"/>
        <v>3.6866666666666673E-2</v>
      </c>
      <c r="E45" s="883">
        <f t="shared" si="11"/>
        <v>4.0666666666666742E-3</v>
      </c>
      <c r="F45" s="880">
        <f t="shared" si="2"/>
        <v>3.6866666666666673E-2</v>
      </c>
    </row>
    <row r="46" spans="1:6" x14ac:dyDescent="0.25">
      <c r="A46" s="879">
        <v>43819</v>
      </c>
      <c r="B46" s="880" t="e">
        <f t="shared" si="7"/>
        <v>#REF!</v>
      </c>
      <c r="C46" s="880">
        <v>3.3549999999999996E-2</v>
      </c>
      <c r="D46" s="881">
        <v>3.7000000000000005E-2</v>
      </c>
      <c r="E46" s="880">
        <f>+D46-C46</f>
        <v>3.4500000000000086E-3</v>
      </c>
      <c r="F46" s="880">
        <f t="shared" si="2"/>
        <v>3.7000000000000005E-2</v>
      </c>
    </row>
    <row r="47" spans="1:6" x14ac:dyDescent="0.25">
      <c r="A47" s="882">
        <f>A46+30</f>
        <v>43849</v>
      </c>
      <c r="B47" s="880" t="e">
        <f t="shared" si="7"/>
        <v>#REF!</v>
      </c>
      <c r="C47" s="883">
        <f t="shared" ref="C47:E47" si="12">((C49-C46)*1/3)+C46</f>
        <v>3.3799999999999997E-2</v>
      </c>
      <c r="D47" s="883">
        <f t="shared" si="12"/>
        <v>3.7333333333333336E-2</v>
      </c>
      <c r="E47" s="883">
        <f t="shared" si="12"/>
        <v>3.5333333333333419E-3</v>
      </c>
      <c r="F47" s="880">
        <f t="shared" si="2"/>
        <v>3.7333333333333336E-2</v>
      </c>
    </row>
    <row r="48" spans="1:6" x14ac:dyDescent="0.25">
      <c r="A48" s="882">
        <f>A49-30</f>
        <v>43880</v>
      </c>
      <c r="B48" s="880" t="e">
        <f t="shared" si="7"/>
        <v>#REF!</v>
      </c>
      <c r="C48" s="883">
        <f t="shared" ref="C48:E48" si="13">((C49-C46)*2/3)+C46</f>
        <v>3.4049999999999997E-2</v>
      </c>
      <c r="D48" s="883">
        <f t="shared" si="13"/>
        <v>3.7666666666666675E-2</v>
      </c>
      <c r="E48" s="883">
        <f t="shared" si="13"/>
        <v>3.6166666666666756E-3</v>
      </c>
      <c r="F48" s="880">
        <f t="shared" si="2"/>
        <v>3.7666666666666675E-2</v>
      </c>
    </row>
    <row r="49" spans="1:6" x14ac:dyDescent="0.25">
      <c r="A49" s="879">
        <v>43910</v>
      </c>
      <c r="B49" s="880" t="e">
        <f t="shared" si="7"/>
        <v>#REF!</v>
      </c>
      <c r="C49" s="880">
        <v>3.4299999999999997E-2</v>
      </c>
      <c r="D49" s="881">
        <v>3.8000000000000006E-2</v>
      </c>
      <c r="E49" s="880">
        <f>+D49-C49</f>
        <v>3.7000000000000088E-3</v>
      </c>
      <c r="F49" s="880">
        <f t="shared" si="2"/>
        <v>3.8000000000000006E-2</v>
      </c>
    </row>
    <row r="50" spans="1:6" x14ac:dyDescent="0.25">
      <c r="A50" s="882">
        <f>A49+30</f>
        <v>43940</v>
      </c>
      <c r="B50" s="880" t="e">
        <f t="shared" si="7"/>
        <v>#REF!</v>
      </c>
      <c r="C50" s="883">
        <f t="shared" ref="C50:E50" si="14">((C52-C49)*1/3)+C49</f>
        <v>3.4966666666666667E-2</v>
      </c>
      <c r="D50" s="883">
        <f t="shared" si="14"/>
        <v>3.7666666666666675E-2</v>
      </c>
      <c r="E50" s="883">
        <f t="shared" si="14"/>
        <v>2.7000000000000079E-3</v>
      </c>
      <c r="F50" s="880">
        <f t="shared" si="2"/>
        <v>3.7666666666666675E-2</v>
      </c>
    </row>
    <row r="51" spans="1:6" x14ac:dyDescent="0.25">
      <c r="A51" s="882">
        <f>A52-30</f>
        <v>43971</v>
      </c>
      <c r="B51" s="880" t="e">
        <f t="shared" si="7"/>
        <v>#REF!</v>
      </c>
      <c r="C51" s="883">
        <f t="shared" ref="C51:E51" si="15">((C52-C49)*2/3)+C49</f>
        <v>3.5633333333333329E-2</v>
      </c>
      <c r="D51" s="883">
        <f t="shared" si="15"/>
        <v>3.7333333333333336E-2</v>
      </c>
      <c r="E51" s="883">
        <f t="shared" si="15"/>
        <v>1.7000000000000071E-3</v>
      </c>
      <c r="F51" s="880">
        <f t="shared" si="2"/>
        <v>3.7333333333333336E-2</v>
      </c>
    </row>
    <row r="52" spans="1:6" x14ac:dyDescent="0.25">
      <c r="A52" s="879">
        <f>A40+365</f>
        <v>44001</v>
      </c>
      <c r="B52" s="880" t="e">
        <f t="shared" si="7"/>
        <v>#REF!</v>
      </c>
      <c r="C52" s="880">
        <v>3.6299999999999999E-2</v>
      </c>
      <c r="D52" s="881">
        <v>3.7000000000000005E-2</v>
      </c>
      <c r="E52" s="880">
        <f>+D52-C52</f>
        <v>7.0000000000000617E-4</v>
      </c>
      <c r="F52" s="880">
        <f t="shared" si="2"/>
        <v>3.7000000000000005E-2</v>
      </c>
    </row>
    <row r="53" spans="1:6" x14ac:dyDescent="0.25">
      <c r="A53" s="882">
        <f>A52+30</f>
        <v>44031</v>
      </c>
      <c r="B53" s="880" t="e">
        <f t="shared" si="7"/>
        <v>#REF!</v>
      </c>
      <c r="C53" s="883">
        <f t="shared" ref="C53:E53" si="16">((C55-C52)*1/3)+C52</f>
        <v>3.6466666666666668E-2</v>
      </c>
      <c r="D53" s="883">
        <f t="shared" si="16"/>
        <v>3.7166666666666674E-2</v>
      </c>
      <c r="E53" s="883">
        <f t="shared" si="16"/>
        <v>7.0000000000000617E-4</v>
      </c>
      <c r="F53" s="880">
        <f t="shared" si="2"/>
        <v>3.7166666666666674E-2</v>
      </c>
    </row>
    <row r="54" spans="1:6" x14ac:dyDescent="0.25">
      <c r="A54" s="882">
        <f>A55-30</f>
        <v>44063</v>
      </c>
      <c r="B54" s="880" t="e">
        <f t="shared" si="7"/>
        <v>#REF!</v>
      </c>
      <c r="C54" s="883">
        <f t="shared" ref="C54:E54" si="17">((C55-C52)*2/3)+C52</f>
        <v>3.663333333333333E-2</v>
      </c>
      <c r="D54" s="883">
        <f t="shared" si="17"/>
        <v>3.7333333333333336E-2</v>
      </c>
      <c r="E54" s="883">
        <f t="shared" si="17"/>
        <v>7.0000000000000617E-4</v>
      </c>
      <c r="F54" s="880">
        <f t="shared" si="2"/>
        <v>3.7333333333333336E-2</v>
      </c>
    </row>
    <row r="55" spans="1:6" x14ac:dyDescent="0.25">
      <c r="A55" s="879">
        <f>A43+365</f>
        <v>44093</v>
      </c>
      <c r="B55" s="880" t="e">
        <f t="shared" si="7"/>
        <v>#REF!</v>
      </c>
      <c r="C55" s="880">
        <v>3.6799999999999999E-2</v>
      </c>
      <c r="D55" s="881">
        <v>3.7500000000000006E-2</v>
      </c>
      <c r="E55" s="880">
        <f>+D55-C55</f>
        <v>7.0000000000000617E-4</v>
      </c>
      <c r="F55" s="880">
        <f t="shared" si="2"/>
        <v>3.7500000000000006E-2</v>
      </c>
    </row>
    <row r="56" spans="1:6" x14ac:dyDescent="0.25">
      <c r="A56" s="882">
        <f>A55+30</f>
        <v>44123</v>
      </c>
      <c r="B56" s="880" t="e">
        <f t="shared" si="7"/>
        <v>#REF!</v>
      </c>
      <c r="C56" s="883">
        <f t="shared" ref="C56:E56" si="18">((C58-C55)*1/3)+C55</f>
        <v>3.6799999999999999E-2</v>
      </c>
      <c r="D56" s="883">
        <f t="shared" si="18"/>
        <v>3.7916666666666675E-2</v>
      </c>
      <c r="E56" s="883">
        <f t="shared" si="18"/>
        <v>1.1166666666666731E-3</v>
      </c>
      <c r="F56" s="880">
        <f t="shared" si="2"/>
        <v>3.7916666666666675E-2</v>
      </c>
    </row>
    <row r="57" spans="1:6" x14ac:dyDescent="0.25">
      <c r="A57" s="882">
        <f>A58-30</f>
        <v>44154</v>
      </c>
      <c r="B57" s="880" t="e">
        <f t="shared" si="7"/>
        <v>#REF!</v>
      </c>
      <c r="C57" s="883">
        <f t="shared" ref="C57:E57" si="19">((C58-C55)*2/3)+C55</f>
        <v>3.6799999999999999E-2</v>
      </c>
      <c r="D57" s="883">
        <f t="shared" si="19"/>
        <v>3.8333333333333337E-2</v>
      </c>
      <c r="E57" s="883">
        <f t="shared" si="19"/>
        <v>1.5333333333333401E-3</v>
      </c>
      <c r="F57" s="880">
        <f t="shared" si="2"/>
        <v>3.8333333333333337E-2</v>
      </c>
    </row>
    <row r="58" spans="1:6" x14ac:dyDescent="0.25">
      <c r="A58" s="879">
        <f>A46+365</f>
        <v>44184</v>
      </c>
      <c r="B58" s="880" t="e">
        <f t="shared" si="7"/>
        <v>#REF!</v>
      </c>
      <c r="C58" s="880">
        <v>3.6799999999999999E-2</v>
      </c>
      <c r="D58" s="881">
        <v>3.8750000000000007E-2</v>
      </c>
      <c r="E58" s="880">
        <f>+D58-C58</f>
        <v>1.9500000000000073E-3</v>
      </c>
      <c r="F58" s="880">
        <f t="shared" si="2"/>
        <v>3.8750000000000007E-2</v>
      </c>
    </row>
    <row r="59" spans="1:6" x14ac:dyDescent="0.25">
      <c r="A59" s="882">
        <f>A58+30</f>
        <v>44214</v>
      </c>
      <c r="B59" s="880" t="e">
        <f t="shared" si="7"/>
        <v>#REF!</v>
      </c>
      <c r="C59" s="883">
        <f t="shared" ref="C59:E59" si="20">((C61-C58)*1/3)+C58</f>
        <v>3.6799999999999999E-2</v>
      </c>
      <c r="D59" s="883">
        <f t="shared" si="20"/>
        <v>3.8750000000000007E-2</v>
      </c>
      <c r="E59" s="883">
        <f t="shared" si="20"/>
        <v>1.9500000000000073E-3</v>
      </c>
      <c r="F59" s="880">
        <f t="shared" si="2"/>
        <v>3.8750000000000007E-2</v>
      </c>
    </row>
    <row r="60" spans="1:6" x14ac:dyDescent="0.25">
      <c r="A60" s="882">
        <f>A61-30</f>
        <v>44245</v>
      </c>
      <c r="B60" s="880" t="e">
        <f t="shared" si="7"/>
        <v>#REF!</v>
      </c>
      <c r="C60" s="883">
        <f t="shared" ref="C60:E60" si="21">((C61-C58)*2/3)+C58</f>
        <v>3.6799999999999999E-2</v>
      </c>
      <c r="D60" s="883">
        <f t="shared" si="21"/>
        <v>3.8750000000000007E-2</v>
      </c>
      <c r="E60" s="883">
        <f t="shared" si="21"/>
        <v>1.9500000000000073E-3</v>
      </c>
      <c r="F60" s="880">
        <f t="shared" si="2"/>
        <v>3.8750000000000007E-2</v>
      </c>
    </row>
    <row r="61" spans="1:6" x14ac:dyDescent="0.25">
      <c r="A61" s="879">
        <f>A49+365</f>
        <v>44275</v>
      </c>
      <c r="B61" s="880" t="e">
        <f t="shared" si="7"/>
        <v>#REF!</v>
      </c>
      <c r="C61" s="880">
        <v>3.6799999999999999E-2</v>
      </c>
      <c r="D61" s="881">
        <v>3.8750000000000007E-2</v>
      </c>
      <c r="E61" s="880">
        <f>+D61-C61</f>
        <v>1.9500000000000073E-3</v>
      </c>
      <c r="F61" s="880">
        <f t="shared" si="2"/>
        <v>3.8750000000000007E-2</v>
      </c>
    </row>
    <row r="62" spans="1:6" x14ac:dyDescent="0.25">
      <c r="A62" s="882">
        <f>A61+30</f>
        <v>44305</v>
      </c>
      <c r="B62" s="880" t="e">
        <f t="shared" si="7"/>
        <v>#REF!</v>
      </c>
      <c r="C62" s="883">
        <f t="shared" ref="C62:E62" si="22">((C64-C61)*1/3)+C61</f>
        <v>3.6799999999999999E-2</v>
      </c>
      <c r="D62" s="883">
        <f t="shared" si="22"/>
        <v>3.8583333333333338E-2</v>
      </c>
      <c r="E62" s="883">
        <f t="shared" si="22"/>
        <v>1.7833333333333405E-3</v>
      </c>
      <c r="F62" s="880">
        <f t="shared" si="2"/>
        <v>3.8583333333333338E-2</v>
      </c>
    </row>
    <row r="63" spans="1:6" x14ac:dyDescent="0.25">
      <c r="A63" s="882">
        <f>A64-30</f>
        <v>44336</v>
      </c>
      <c r="B63" s="880" t="e">
        <f t="shared" si="7"/>
        <v>#REF!</v>
      </c>
      <c r="C63" s="883">
        <f t="shared" ref="C63:E63" si="23">((C64-C61)*2/3)+C61</f>
        <v>3.6799999999999999E-2</v>
      </c>
      <c r="D63" s="883">
        <f t="shared" si="23"/>
        <v>3.8416666666666675E-2</v>
      </c>
      <c r="E63" s="883">
        <f t="shared" si="23"/>
        <v>1.6166666666666736E-3</v>
      </c>
      <c r="F63" s="880">
        <f t="shared" si="2"/>
        <v>3.8416666666666675E-2</v>
      </c>
    </row>
    <row r="64" spans="1:6" x14ac:dyDescent="0.25">
      <c r="A64" s="879">
        <f>A52+365</f>
        <v>44366</v>
      </c>
      <c r="B64" s="880" t="e">
        <f t="shared" si="7"/>
        <v>#REF!</v>
      </c>
      <c r="C64" s="880">
        <v>3.6799999999999999E-2</v>
      </c>
      <c r="D64" s="881">
        <v>3.8250000000000006E-2</v>
      </c>
      <c r="E64" s="880">
        <f>+D64-C64</f>
        <v>1.4500000000000068E-3</v>
      </c>
      <c r="F64" s="880">
        <f t="shared" si="2"/>
        <v>3.8250000000000006E-2</v>
      </c>
    </row>
    <row r="65" spans="1:6" x14ac:dyDescent="0.25">
      <c r="A65" s="882">
        <f>A64+30</f>
        <v>44396</v>
      </c>
      <c r="B65" s="880" t="e">
        <f t="shared" si="7"/>
        <v>#REF!</v>
      </c>
      <c r="C65" s="883">
        <f t="shared" ref="C65:E65" si="24">((C67-C64)*1/3)+C64</f>
        <v>3.6466666666666668E-2</v>
      </c>
      <c r="D65" s="883">
        <f t="shared" si="24"/>
        <v>3.8083333333333337E-2</v>
      </c>
      <c r="E65" s="883">
        <f t="shared" si="24"/>
        <v>1.6166666666666736E-3</v>
      </c>
      <c r="F65" s="880">
        <f t="shared" si="2"/>
        <v>3.8083333333333337E-2</v>
      </c>
    </row>
    <row r="66" spans="1:6" x14ac:dyDescent="0.25">
      <c r="A66" s="882">
        <f>A67-30</f>
        <v>44428</v>
      </c>
      <c r="B66" s="880" t="e">
        <f t="shared" si="7"/>
        <v>#REF!</v>
      </c>
      <c r="C66" s="883">
        <f t="shared" ref="C66:E66" si="25">((C67-C64)*2/3)+C64</f>
        <v>3.613333333333333E-2</v>
      </c>
      <c r="D66" s="883">
        <f t="shared" si="25"/>
        <v>3.7916666666666675E-2</v>
      </c>
      <c r="E66" s="883">
        <f t="shared" si="25"/>
        <v>1.7833333333333405E-3</v>
      </c>
      <c r="F66" s="880">
        <f t="shared" si="2"/>
        <v>3.7916666666666675E-2</v>
      </c>
    </row>
    <row r="67" spans="1:6" x14ac:dyDescent="0.25">
      <c r="A67" s="879">
        <f t="shared" ref="A67" si="26">A55+365</f>
        <v>44458</v>
      </c>
      <c r="B67" s="880" t="e">
        <f t="shared" si="7"/>
        <v>#REF!</v>
      </c>
      <c r="C67" s="880">
        <v>3.5799999999999998E-2</v>
      </c>
      <c r="D67" s="881">
        <v>3.7750000000000006E-2</v>
      </c>
      <c r="E67" s="880">
        <f>+D67-C67</f>
        <v>1.9500000000000073E-3</v>
      </c>
      <c r="F67" s="880">
        <f t="shared" si="2"/>
        <v>3.7750000000000006E-2</v>
      </c>
    </row>
    <row r="68" spans="1:6" x14ac:dyDescent="0.25">
      <c r="A68" s="882">
        <f>A67+30</f>
        <v>44488</v>
      </c>
      <c r="B68" s="880" t="e">
        <f t="shared" si="7"/>
        <v>#REF!</v>
      </c>
      <c r="C68" s="883">
        <f t="shared" ref="C68:E68" si="27">((C70-C67)*1/3)+C67</f>
        <v>3.5466666666666667E-2</v>
      </c>
      <c r="D68" s="883">
        <f t="shared" si="27"/>
        <v>3.7416666666666674E-2</v>
      </c>
      <c r="E68" s="883">
        <f t="shared" si="27"/>
        <v>1.9500000000000073E-3</v>
      </c>
      <c r="F68" s="880">
        <f t="shared" si="2"/>
        <v>3.7416666666666674E-2</v>
      </c>
    </row>
    <row r="69" spans="1:6" x14ac:dyDescent="0.25">
      <c r="A69" s="882">
        <f>A70-30</f>
        <v>44519</v>
      </c>
      <c r="B69" s="880" t="e">
        <f t="shared" si="7"/>
        <v>#REF!</v>
      </c>
      <c r="C69" s="883">
        <f t="shared" ref="C69:E69" si="28">((C70-C67)*2/3)+C67</f>
        <v>3.5133333333333329E-2</v>
      </c>
      <c r="D69" s="883">
        <f t="shared" si="28"/>
        <v>3.7083333333333336E-2</v>
      </c>
      <c r="E69" s="883">
        <f t="shared" si="28"/>
        <v>1.9500000000000073E-3</v>
      </c>
      <c r="F69" s="880">
        <f t="shared" si="2"/>
        <v>3.7083333333333336E-2</v>
      </c>
    </row>
    <row r="70" spans="1:6" x14ac:dyDescent="0.25">
      <c r="A70" s="879">
        <f>A58+365</f>
        <v>44549</v>
      </c>
      <c r="B70" s="880" t="e">
        <f t="shared" si="7"/>
        <v>#REF!</v>
      </c>
      <c r="C70" s="880">
        <v>3.4799999999999998E-2</v>
      </c>
      <c r="D70" s="881">
        <v>3.6750000000000005E-2</v>
      </c>
      <c r="E70" s="880">
        <f>+D70-C70</f>
        <v>1.9500000000000073E-3</v>
      </c>
      <c r="F70" s="880">
        <f t="shared" si="2"/>
        <v>3.6750000000000005E-2</v>
      </c>
    </row>
    <row r="71" spans="1:6" x14ac:dyDescent="0.25">
      <c r="A71" s="882">
        <f>A70+30</f>
        <v>44579</v>
      </c>
      <c r="B71" s="880" t="e">
        <f t="shared" si="7"/>
        <v>#REF!</v>
      </c>
      <c r="C71" s="883">
        <f t="shared" ref="C71:E71" si="29">((C73-C70)*1/3)+C70</f>
        <v>3.4549999999999997E-2</v>
      </c>
      <c r="D71" s="883">
        <f t="shared" si="29"/>
        <v>3.6666666666666674E-2</v>
      </c>
      <c r="E71" s="883">
        <f t="shared" si="29"/>
        <v>2.1166666666666742E-3</v>
      </c>
      <c r="F71" s="880">
        <f t="shared" si="2"/>
        <v>3.6666666666666674E-2</v>
      </c>
    </row>
    <row r="72" spans="1:6" x14ac:dyDescent="0.25">
      <c r="A72" s="882">
        <f>A73-30</f>
        <v>44610</v>
      </c>
      <c r="B72" s="880" t="e">
        <f t="shared" ref="B72:B91" si="30">VLOOKUP(A72,FedRate.UpperBound.Table,2,FALSE)/100</f>
        <v>#REF!</v>
      </c>
      <c r="C72" s="883">
        <f t="shared" ref="C72:E72" si="31">((C73-C70)*2/3)+C70</f>
        <v>3.4299999999999997E-2</v>
      </c>
      <c r="D72" s="883">
        <f t="shared" si="31"/>
        <v>3.6583333333333336E-2</v>
      </c>
      <c r="E72" s="883">
        <f t="shared" si="31"/>
        <v>2.2833333333333408E-3</v>
      </c>
      <c r="F72" s="880">
        <f t="shared" si="2"/>
        <v>3.6583333333333336E-2</v>
      </c>
    </row>
    <row r="73" spans="1:6" x14ac:dyDescent="0.25">
      <c r="A73" s="879">
        <f>A61+365</f>
        <v>44640</v>
      </c>
      <c r="B73" s="880" t="e">
        <f t="shared" si="30"/>
        <v>#REF!</v>
      </c>
      <c r="C73" s="880">
        <v>3.4049999999999997E-2</v>
      </c>
      <c r="D73" s="881">
        <v>3.6500000000000005E-2</v>
      </c>
      <c r="E73" s="880">
        <f>+D73-C73</f>
        <v>2.4500000000000077E-3</v>
      </c>
      <c r="F73" s="880">
        <f t="shared" ref="F73:F91" si="32">D73+$F$1/10000</f>
        <v>3.6500000000000005E-2</v>
      </c>
    </row>
    <row r="74" spans="1:6" x14ac:dyDescent="0.25">
      <c r="A74" s="882">
        <f>A73+30</f>
        <v>44670</v>
      </c>
      <c r="B74" s="880" t="e">
        <f t="shared" si="30"/>
        <v>#REF!</v>
      </c>
      <c r="C74" s="883">
        <f t="shared" ref="C74:E74" si="33">((C76-C73)*1/3)+C73</f>
        <v>3.3799999999999997E-2</v>
      </c>
      <c r="D74" s="883">
        <f t="shared" si="33"/>
        <v>3.6250000000000004E-2</v>
      </c>
      <c r="E74" s="883">
        <f t="shared" si="33"/>
        <v>2.4500000000000077E-3</v>
      </c>
      <c r="F74" s="880">
        <f t="shared" si="32"/>
        <v>3.6250000000000004E-2</v>
      </c>
    </row>
    <row r="75" spans="1:6" x14ac:dyDescent="0.25">
      <c r="A75" s="882">
        <f>A76-30</f>
        <v>44701</v>
      </c>
      <c r="B75" s="880" t="e">
        <f t="shared" si="30"/>
        <v>#REF!</v>
      </c>
      <c r="C75" s="883">
        <f t="shared" ref="C75:E75" si="34">((C76-C73)*2/3)+C73</f>
        <v>3.3549999999999996E-2</v>
      </c>
      <c r="D75" s="883">
        <f t="shared" si="34"/>
        <v>3.6000000000000004E-2</v>
      </c>
      <c r="E75" s="883">
        <f t="shared" si="34"/>
        <v>2.4500000000000077E-3</v>
      </c>
      <c r="F75" s="880">
        <f t="shared" si="32"/>
        <v>3.6000000000000004E-2</v>
      </c>
    </row>
    <row r="76" spans="1:6" x14ac:dyDescent="0.25">
      <c r="A76" s="879">
        <f>A64+365</f>
        <v>44731</v>
      </c>
      <c r="B76" s="880" t="e">
        <f t="shared" si="30"/>
        <v>#REF!</v>
      </c>
      <c r="C76" s="880">
        <v>3.3299999999999996E-2</v>
      </c>
      <c r="D76" s="881">
        <v>3.5750000000000004E-2</v>
      </c>
      <c r="E76" s="880">
        <f>+D76-C76</f>
        <v>2.4500000000000077E-3</v>
      </c>
      <c r="F76" s="880">
        <f t="shared" si="32"/>
        <v>3.5750000000000004E-2</v>
      </c>
    </row>
    <row r="77" spans="1:6" x14ac:dyDescent="0.25">
      <c r="A77" s="882">
        <f>A76+30</f>
        <v>44761</v>
      </c>
      <c r="B77" s="880" t="e">
        <f t="shared" si="30"/>
        <v>#REF!</v>
      </c>
      <c r="C77" s="883">
        <f t="shared" ref="C77:E77" si="35">((C79-C76)*1/3)+C76</f>
        <v>3.2966666666666665E-2</v>
      </c>
      <c r="D77" s="883">
        <f t="shared" si="35"/>
        <v>3.5583333333333335E-2</v>
      </c>
      <c r="E77" s="883">
        <f t="shared" si="35"/>
        <v>2.6166666666666747E-3</v>
      </c>
      <c r="F77" s="880">
        <f t="shared" si="32"/>
        <v>3.5583333333333335E-2</v>
      </c>
    </row>
    <row r="78" spans="1:6" x14ac:dyDescent="0.25">
      <c r="A78" s="882">
        <f>A79-30</f>
        <v>44793</v>
      </c>
      <c r="B78" s="880" t="e">
        <f t="shared" si="30"/>
        <v>#REF!</v>
      </c>
      <c r="C78" s="883">
        <f t="shared" ref="C78:E78" si="36">((C79-C76)*2/3)+C76</f>
        <v>3.2633333333333327E-2</v>
      </c>
      <c r="D78" s="883">
        <f t="shared" si="36"/>
        <v>3.5416666666666673E-2</v>
      </c>
      <c r="E78" s="883">
        <f t="shared" si="36"/>
        <v>2.7833333333333412E-3</v>
      </c>
      <c r="F78" s="880">
        <f t="shared" si="32"/>
        <v>3.5416666666666673E-2</v>
      </c>
    </row>
    <row r="79" spans="1:6" x14ac:dyDescent="0.25">
      <c r="A79" s="879">
        <f>A67+365</f>
        <v>44823</v>
      </c>
      <c r="B79" s="880" t="e">
        <f t="shared" si="30"/>
        <v>#REF!</v>
      </c>
      <c r="C79" s="880">
        <v>3.2299999999999995E-2</v>
      </c>
      <c r="D79" s="881">
        <v>3.5250000000000004E-2</v>
      </c>
      <c r="E79" s="880">
        <f>+D79-C79</f>
        <v>2.9500000000000082E-3</v>
      </c>
      <c r="F79" s="880">
        <f t="shared" si="32"/>
        <v>3.5250000000000004E-2</v>
      </c>
    </row>
    <row r="80" spans="1:6" x14ac:dyDescent="0.25">
      <c r="A80" s="882">
        <f>A79+30</f>
        <v>44853</v>
      </c>
      <c r="B80" s="880" t="e">
        <f t="shared" si="30"/>
        <v>#REF!</v>
      </c>
      <c r="C80" s="883">
        <f t="shared" ref="C80:E80" si="37">((C82-C79)*1/3)+C79</f>
        <v>3.3133333333333327E-2</v>
      </c>
      <c r="D80" s="883">
        <f t="shared" si="37"/>
        <v>3.5666666666666673E-2</v>
      </c>
      <c r="E80" s="883">
        <f t="shared" si="37"/>
        <v>2.533333333333341E-3</v>
      </c>
      <c r="F80" s="880">
        <f t="shared" si="32"/>
        <v>3.5666666666666673E-2</v>
      </c>
    </row>
    <row r="81" spans="1:6" x14ac:dyDescent="0.25">
      <c r="A81" s="882">
        <f>A82-30</f>
        <v>44884</v>
      </c>
      <c r="B81" s="880" t="e">
        <f t="shared" si="30"/>
        <v>#REF!</v>
      </c>
      <c r="C81" s="883">
        <f t="shared" ref="C81:E81" si="38">((C82-C79)*2/3)+C79</f>
        <v>3.3966666666666666E-2</v>
      </c>
      <c r="D81" s="883">
        <f t="shared" si="38"/>
        <v>3.6083333333333335E-2</v>
      </c>
      <c r="E81" s="883">
        <f t="shared" si="38"/>
        <v>2.1166666666666742E-3</v>
      </c>
      <c r="F81" s="880">
        <f t="shared" si="32"/>
        <v>3.6083333333333335E-2</v>
      </c>
    </row>
    <row r="82" spans="1:6" x14ac:dyDescent="0.25">
      <c r="A82" s="879">
        <f>A70+365</f>
        <v>44914</v>
      </c>
      <c r="B82" s="880" t="e">
        <f t="shared" si="30"/>
        <v>#REF!</v>
      </c>
      <c r="C82" s="880">
        <v>3.4799999999999998E-2</v>
      </c>
      <c r="D82" s="881">
        <v>3.6500000000000005E-2</v>
      </c>
      <c r="E82" s="880">
        <f>+D82-C82</f>
        <v>1.7000000000000071E-3</v>
      </c>
      <c r="F82" s="880">
        <f t="shared" si="32"/>
        <v>3.6500000000000005E-2</v>
      </c>
    </row>
    <row r="83" spans="1:6" x14ac:dyDescent="0.25">
      <c r="A83" s="882">
        <f>A82+30</f>
        <v>44944</v>
      </c>
      <c r="B83" s="880" t="e">
        <f t="shared" si="30"/>
        <v>#REF!</v>
      </c>
      <c r="C83" s="883">
        <f t="shared" ref="C83:E83" si="39">((C85-C82)*1/3)+C82</f>
        <v>3.4799999999999998E-2</v>
      </c>
      <c r="D83" s="883">
        <f t="shared" si="39"/>
        <v>3.6500000000000005E-2</v>
      </c>
      <c r="E83" s="883">
        <f t="shared" si="39"/>
        <v>1.7000000000000071E-3</v>
      </c>
      <c r="F83" s="880">
        <f t="shared" si="32"/>
        <v>3.6500000000000005E-2</v>
      </c>
    </row>
    <row r="84" spans="1:6" x14ac:dyDescent="0.25">
      <c r="A84" s="882">
        <f>A85-30</f>
        <v>44975</v>
      </c>
      <c r="B84" s="880" t="e">
        <f t="shared" si="30"/>
        <v>#REF!</v>
      </c>
      <c r="C84" s="883">
        <f t="shared" ref="C84:E84" si="40">((C85-C82)*2/3)+C82</f>
        <v>3.4799999999999998E-2</v>
      </c>
      <c r="D84" s="883">
        <f t="shared" si="40"/>
        <v>3.6500000000000005E-2</v>
      </c>
      <c r="E84" s="883">
        <f t="shared" si="40"/>
        <v>1.7000000000000071E-3</v>
      </c>
      <c r="F84" s="880">
        <f t="shared" si="32"/>
        <v>3.6500000000000005E-2</v>
      </c>
    </row>
    <row r="85" spans="1:6" x14ac:dyDescent="0.25">
      <c r="A85" s="879">
        <f>A73+365</f>
        <v>45005</v>
      </c>
      <c r="B85" s="880" t="e">
        <f t="shared" si="30"/>
        <v>#REF!</v>
      </c>
      <c r="C85" s="880">
        <v>3.4799999999999998E-2</v>
      </c>
      <c r="D85" s="881">
        <v>3.6500000000000005E-2</v>
      </c>
      <c r="E85" s="880">
        <f>+D85-C85</f>
        <v>1.7000000000000071E-3</v>
      </c>
      <c r="F85" s="880">
        <f t="shared" si="32"/>
        <v>3.6500000000000005E-2</v>
      </c>
    </row>
    <row r="86" spans="1:6" x14ac:dyDescent="0.25">
      <c r="A86" s="882">
        <f>A85+30</f>
        <v>45035</v>
      </c>
      <c r="B86" s="880" t="e">
        <f t="shared" si="30"/>
        <v>#REF!</v>
      </c>
      <c r="C86" s="883">
        <f t="shared" ref="C86:E86" si="41">((C88-C85)*1/3)+C85</f>
        <v>3.4799999999999998E-2</v>
      </c>
      <c r="D86" s="883">
        <f t="shared" si="41"/>
        <v>3.6500000000000005E-2</v>
      </c>
      <c r="E86" s="883">
        <f t="shared" si="41"/>
        <v>1.7000000000000071E-3</v>
      </c>
      <c r="F86" s="880">
        <f t="shared" si="32"/>
        <v>3.6500000000000005E-2</v>
      </c>
    </row>
    <row r="87" spans="1:6" x14ac:dyDescent="0.25">
      <c r="A87" s="882">
        <f>A88-30</f>
        <v>45066</v>
      </c>
      <c r="B87" s="880" t="e">
        <f t="shared" si="30"/>
        <v>#REF!</v>
      </c>
      <c r="C87" s="883">
        <f t="shared" ref="C87:E87" si="42">((C88-C85)*2/3)+C85</f>
        <v>3.4799999999999998E-2</v>
      </c>
      <c r="D87" s="883">
        <f t="shared" si="42"/>
        <v>3.6500000000000005E-2</v>
      </c>
      <c r="E87" s="883">
        <f t="shared" si="42"/>
        <v>1.7000000000000071E-3</v>
      </c>
      <c r="F87" s="880">
        <f t="shared" si="32"/>
        <v>3.6500000000000005E-2</v>
      </c>
    </row>
    <row r="88" spans="1:6" x14ac:dyDescent="0.25">
      <c r="A88" s="879">
        <f>A76+365</f>
        <v>45096</v>
      </c>
      <c r="B88" s="880" t="e">
        <f t="shared" si="30"/>
        <v>#REF!</v>
      </c>
      <c r="C88" s="880">
        <v>3.4799999999999998E-2</v>
      </c>
      <c r="D88" s="881">
        <v>3.6500000000000005E-2</v>
      </c>
      <c r="E88" s="880">
        <f>+D88-C88</f>
        <v>1.7000000000000071E-3</v>
      </c>
      <c r="F88" s="880">
        <f t="shared" si="32"/>
        <v>3.6500000000000005E-2</v>
      </c>
    </row>
    <row r="89" spans="1:6" x14ac:dyDescent="0.25">
      <c r="A89" s="882">
        <f>A88+30</f>
        <v>45126</v>
      </c>
      <c r="B89" s="880" t="e">
        <f t="shared" si="30"/>
        <v>#REF!</v>
      </c>
      <c r="C89" s="883">
        <f t="shared" ref="C89:E89" si="43">((C91-C88)*1/3)+C88</f>
        <v>3.4799999999999998E-2</v>
      </c>
      <c r="D89" s="883">
        <f t="shared" si="43"/>
        <v>3.6500000000000005E-2</v>
      </c>
      <c r="E89" s="883">
        <f t="shared" si="43"/>
        <v>1.7000000000000071E-3</v>
      </c>
      <c r="F89" s="880">
        <f t="shared" si="32"/>
        <v>3.6500000000000005E-2</v>
      </c>
    </row>
    <row r="90" spans="1:6" x14ac:dyDescent="0.25">
      <c r="A90" s="882">
        <f>A91-30</f>
        <v>45158</v>
      </c>
      <c r="B90" s="880" t="e">
        <f t="shared" si="30"/>
        <v>#REF!</v>
      </c>
      <c r="C90" s="883">
        <f t="shared" ref="C90:E90" si="44">((C91-C88)*2/3)+C88</f>
        <v>3.4799999999999998E-2</v>
      </c>
      <c r="D90" s="883">
        <f t="shared" si="44"/>
        <v>3.6500000000000005E-2</v>
      </c>
      <c r="E90" s="883">
        <f t="shared" si="44"/>
        <v>1.7000000000000071E-3</v>
      </c>
      <c r="F90" s="880">
        <f t="shared" si="32"/>
        <v>3.6500000000000005E-2</v>
      </c>
    </row>
    <row r="91" spans="1:6" x14ac:dyDescent="0.25">
      <c r="A91" s="879">
        <f>A79+365</f>
        <v>45188</v>
      </c>
      <c r="B91" s="880" t="e">
        <f t="shared" si="30"/>
        <v>#REF!</v>
      </c>
      <c r="C91" s="880">
        <v>3.4799999999999998E-2</v>
      </c>
      <c r="D91" s="881">
        <v>3.6500000000000005E-2</v>
      </c>
      <c r="E91" s="880">
        <f>+D91-C91</f>
        <v>1.7000000000000071E-3</v>
      </c>
      <c r="F91" s="880">
        <f t="shared" si="32"/>
        <v>3.6500000000000005E-2</v>
      </c>
    </row>
  </sheetData>
  <mergeCells count="5">
    <mergeCell ref="B5:B7"/>
    <mergeCell ref="C6:C7"/>
    <mergeCell ref="D6:D7"/>
    <mergeCell ref="E6:E7"/>
    <mergeCell ref="F6:F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CC33-63BC-4CB6-9E00-AB35D935A548}">
  <dimension ref="A1:L107"/>
  <sheetViews>
    <sheetView zoomScaleNormal="100" workbookViewId="0">
      <selection activeCell="B17" sqref="B17:D17"/>
    </sheetView>
  </sheetViews>
  <sheetFormatPr defaultColWidth="8.85546875" defaultRowHeight="15.75" x14ac:dyDescent="0.25"/>
  <cols>
    <col min="1" max="1" width="31.5703125" style="929" customWidth="1"/>
    <col min="2" max="2" width="21.140625" style="929" customWidth="1"/>
    <col min="3" max="3" width="14" style="929" bestFit="1" customWidth="1"/>
    <col min="4" max="4" width="32.140625" style="929" customWidth="1"/>
    <col min="5" max="5" width="2.28515625" style="929" customWidth="1"/>
    <col min="6" max="6" width="23.42578125" style="929" customWidth="1"/>
    <col min="7" max="7" width="15.28515625" style="929" customWidth="1"/>
    <col min="8" max="8" width="11.28515625" style="929" customWidth="1"/>
    <col min="9" max="16384" width="8.85546875" style="929"/>
  </cols>
  <sheetData>
    <row r="1" spans="1:8" x14ac:dyDescent="0.25">
      <c r="A1" s="928" t="s">
        <v>965</v>
      </c>
      <c r="F1" s="930" t="s">
        <v>966</v>
      </c>
      <c r="G1" s="930"/>
      <c r="H1" s="930"/>
    </row>
    <row r="2" spans="1:8" ht="16.5" thickBot="1" x14ac:dyDescent="0.3">
      <c r="B2" s="931" t="s">
        <v>651</v>
      </c>
      <c r="C2" s="931"/>
      <c r="D2" s="931" t="s">
        <v>469</v>
      </c>
    </row>
    <row r="3" spans="1:8" x14ac:dyDescent="0.25">
      <c r="A3" s="929" t="s">
        <v>967</v>
      </c>
      <c r="B3" s="1308" t="str">
        <f>+'Data Entry'!E15</f>
        <v>Hampton</v>
      </c>
      <c r="C3" s="1308"/>
      <c r="F3" s="928" t="s">
        <v>968</v>
      </c>
      <c r="G3" s="932" t="s">
        <v>399</v>
      </c>
      <c r="H3" s="932" t="s">
        <v>514</v>
      </c>
    </row>
    <row r="4" spans="1:8" x14ac:dyDescent="0.25">
      <c r="A4" s="929" t="s">
        <v>249</v>
      </c>
      <c r="B4" s="1306" t="str">
        <f>+'Data Entry'!E16</f>
        <v>Wichita, KS 67209</v>
      </c>
      <c r="C4" s="1306"/>
      <c r="F4" s="929" t="s">
        <v>969</v>
      </c>
      <c r="G4" s="933">
        <f>+'Key Data'!L10</f>
        <v>0.76400000000000001</v>
      </c>
      <c r="H4" s="934" t="e">
        <f>+'[2]Key Data'!L25</f>
        <v>#DIV/0!</v>
      </c>
    </row>
    <row r="5" spans="1:8" x14ac:dyDescent="0.25">
      <c r="A5" s="929" t="s">
        <v>970</v>
      </c>
      <c r="B5" s="935"/>
      <c r="C5" s="935"/>
      <c r="F5" s="929" t="s">
        <v>971</v>
      </c>
      <c r="G5" s="936">
        <f>+'Key Data'!L12</f>
        <v>112.02</v>
      </c>
      <c r="H5" s="934" t="e">
        <f>+'[2]Key Data'!L26</f>
        <v>#DIV/0!</v>
      </c>
    </row>
    <row r="6" spans="1:8" x14ac:dyDescent="0.25">
      <c r="A6" s="929" t="s">
        <v>972</v>
      </c>
      <c r="B6" s="937"/>
      <c r="C6" s="938"/>
      <c r="F6" s="929" t="s">
        <v>973</v>
      </c>
      <c r="G6" s="939">
        <f>G4*G5</f>
        <v>85.583280000000002</v>
      </c>
      <c r="H6" s="940" t="e">
        <f>H4*H5</f>
        <v>#DIV/0!</v>
      </c>
    </row>
    <row r="7" spans="1:8" x14ac:dyDescent="0.25">
      <c r="A7" s="929" t="s">
        <v>974</v>
      </c>
      <c r="B7" s="935">
        <f>+'Key Data'!D55</f>
        <v>201610</v>
      </c>
      <c r="C7" s="935"/>
      <c r="F7" s="941" t="s">
        <v>975</v>
      </c>
      <c r="G7" s="942" t="str">
        <f>+'Key Data'!L6</f>
        <v>November</v>
      </c>
    </row>
    <row r="8" spans="1:8" x14ac:dyDescent="0.25">
      <c r="A8" s="929" t="s">
        <v>976</v>
      </c>
      <c r="B8" s="1306"/>
      <c r="C8" s="1306"/>
    </row>
    <row r="9" spans="1:8" x14ac:dyDescent="0.25">
      <c r="A9" s="929" t="s">
        <v>977</v>
      </c>
      <c r="B9" s="935">
        <f>+'Key Data'!C55</f>
        <v>125</v>
      </c>
      <c r="C9" s="935"/>
      <c r="F9" s="928" t="s">
        <v>978</v>
      </c>
      <c r="G9" s="932" t="s">
        <v>979</v>
      </c>
      <c r="H9" s="932" t="s">
        <v>119</v>
      </c>
    </row>
    <row r="10" spans="1:8" x14ac:dyDescent="0.25">
      <c r="A10" s="929" t="s">
        <v>980</v>
      </c>
      <c r="B10" s="935"/>
      <c r="C10" s="935"/>
      <c r="F10" s="929" t="s">
        <v>981</v>
      </c>
      <c r="G10" s="943">
        <f>+ProForma!L20</f>
        <v>4044844.1199999996</v>
      </c>
      <c r="H10" s="944">
        <f>+G10/$B$9</f>
        <v>32358.752959999998</v>
      </c>
    </row>
    <row r="11" spans="1:8" x14ac:dyDescent="0.25">
      <c r="A11" s="929" t="s">
        <v>982</v>
      </c>
      <c r="B11" s="935"/>
      <c r="C11" s="935"/>
      <c r="F11" s="929" t="s">
        <v>983</v>
      </c>
      <c r="G11" s="945">
        <f>+ProForma!L28</f>
        <v>750928.42</v>
      </c>
      <c r="H11" s="944">
        <f>+G11/$B$9</f>
        <v>6007.4273600000006</v>
      </c>
    </row>
    <row r="12" spans="1:8" x14ac:dyDescent="0.25">
      <c r="A12" s="929" t="s">
        <v>984</v>
      </c>
      <c r="B12" s="935"/>
      <c r="C12" s="935"/>
      <c r="F12" s="929" t="s">
        <v>985</v>
      </c>
      <c r="G12" s="945">
        <f>+ProForma!L41+ProForma!L69</f>
        <v>1423331.0784</v>
      </c>
      <c r="H12" s="944">
        <f>+G12/$B$9</f>
        <v>11386.6486272</v>
      </c>
    </row>
    <row r="13" spans="1:8" ht="16.5" thickBot="1" x14ac:dyDescent="0.3">
      <c r="B13" s="941"/>
      <c r="C13" s="941"/>
      <c r="F13" s="929" t="s">
        <v>160</v>
      </c>
      <c r="G13" s="946">
        <f>+G10-G11-G12</f>
        <v>1870584.6215999997</v>
      </c>
      <c r="H13" s="946">
        <f>+G13/$B$9</f>
        <v>14964.676972799998</v>
      </c>
    </row>
    <row r="14" spans="1:8" ht="16.5" thickTop="1" x14ac:dyDescent="0.25">
      <c r="A14" s="928" t="s">
        <v>863</v>
      </c>
      <c r="B14" s="1309"/>
      <c r="C14" s="1309"/>
      <c r="D14" s="1309"/>
      <c r="F14" s="941" t="s">
        <v>986</v>
      </c>
      <c r="G14" s="942" t="str">
        <f>+ProForma!L4</f>
        <v>T12 - October</v>
      </c>
    </row>
    <row r="15" spans="1:8" x14ac:dyDescent="0.25">
      <c r="A15" s="929" t="s">
        <v>987</v>
      </c>
      <c r="B15" s="1306"/>
      <c r="C15" s="1306"/>
      <c r="D15" s="1306"/>
      <c r="F15" s="928"/>
    </row>
    <row r="16" spans="1:8" x14ac:dyDescent="0.25">
      <c r="A16" s="929" t="s">
        <v>988</v>
      </c>
      <c r="B16" s="1306"/>
      <c r="C16" s="1306"/>
      <c r="D16" s="1306"/>
      <c r="F16" s="928" t="s">
        <v>989</v>
      </c>
    </row>
    <row r="17" spans="1:11" x14ac:dyDescent="0.25">
      <c r="A17" s="929" t="s">
        <v>990</v>
      </c>
      <c r="B17" s="1306"/>
      <c r="C17" s="1306"/>
      <c r="D17" s="1306"/>
    </row>
    <row r="19" spans="1:11" ht="16.5" thickBot="1" x14ac:dyDescent="0.3">
      <c r="A19" s="928" t="s">
        <v>786</v>
      </c>
      <c r="B19" s="931" t="s">
        <v>991</v>
      </c>
      <c r="C19" s="931" t="s">
        <v>119</v>
      </c>
    </row>
    <row r="20" spans="1:11" x14ac:dyDescent="0.25">
      <c r="A20" s="929" t="s">
        <v>992</v>
      </c>
      <c r="B20" s="947">
        <f>+Pricing!E6</f>
        <v>18000000</v>
      </c>
      <c r="C20" s="944">
        <f>+B20/$B$9</f>
        <v>144000</v>
      </c>
    </row>
    <row r="21" spans="1:11" x14ac:dyDescent="0.25">
      <c r="A21" s="929" t="s">
        <v>993</v>
      </c>
      <c r="B21" s="947"/>
      <c r="C21" s="944">
        <f>+B21/$B$9</f>
        <v>0</v>
      </c>
    </row>
    <row r="22" spans="1:11" x14ac:dyDescent="0.25">
      <c r="A22" s="929" t="s">
        <v>994</v>
      </c>
      <c r="B22" s="944">
        <f>+B21-B23</f>
        <v>-18000000</v>
      </c>
      <c r="C22" s="944">
        <f>+B22/$B$9</f>
        <v>-144000</v>
      </c>
    </row>
    <row r="23" spans="1:11" ht="16.5" thickBot="1" x14ac:dyDescent="0.3">
      <c r="A23" s="928" t="s">
        <v>786</v>
      </c>
      <c r="B23" s="948">
        <f>+Pricing!E15</f>
        <v>18000000</v>
      </c>
      <c r="C23" s="944">
        <f>+B23/$B$9</f>
        <v>144000</v>
      </c>
    </row>
    <row r="24" spans="1:11" ht="16.5" thickTop="1" x14ac:dyDescent="0.25">
      <c r="A24" s="929" t="s">
        <v>133</v>
      </c>
      <c r="B24" s="947">
        <f>+'PIP &amp; Source &amp; Use'!F27</f>
        <v>907800</v>
      </c>
      <c r="C24" s="947">
        <f>+B24/$B$9</f>
        <v>7262.4</v>
      </c>
    </row>
    <row r="25" spans="1:11" ht="16.5" thickBot="1" x14ac:dyDescent="0.3">
      <c r="A25" s="928" t="s">
        <v>995</v>
      </c>
      <c r="B25" s="949">
        <f>+B23+B24</f>
        <v>18907800</v>
      </c>
      <c r="C25" s="947"/>
      <c r="D25" s="950"/>
    </row>
    <row r="26" spans="1:11" ht="16.5" thickTop="1" x14ac:dyDescent="0.25">
      <c r="A26" s="929" t="s">
        <v>996</v>
      </c>
      <c r="B26" s="947">
        <f>+'PIP &amp; Source &amp; Use'!F9+'PIP &amp; Source &amp; Use'!F10</f>
        <v>200000</v>
      </c>
      <c r="C26" s="944">
        <f>+B26/B9</f>
        <v>1600</v>
      </c>
      <c r="F26" s="950"/>
    </row>
    <row r="27" spans="1:11" x14ac:dyDescent="0.25">
      <c r="A27" s="929" t="s">
        <v>1036</v>
      </c>
      <c r="B27" s="947">
        <f>+'PIP &amp; Source &amp; Use'!F12</f>
        <v>175000</v>
      </c>
      <c r="C27" s="947"/>
      <c r="K27" s="951"/>
    </row>
    <row r="28" spans="1:11" ht="16.5" thickBot="1" x14ac:dyDescent="0.3">
      <c r="A28" s="928" t="s">
        <v>997</v>
      </c>
      <c r="B28" s="946">
        <f>+B25+B26+B27</f>
        <v>19282800</v>
      </c>
      <c r="C28" s="952">
        <f>+B28/B9</f>
        <v>154262.39999999999</v>
      </c>
    </row>
    <row r="29" spans="1:11" ht="16.5" thickTop="1" x14ac:dyDescent="0.25">
      <c r="A29" s="928"/>
      <c r="B29" s="953"/>
      <c r="C29" s="954"/>
    </row>
    <row r="30" spans="1:11" x14ac:dyDescent="0.25">
      <c r="A30" s="929" t="s">
        <v>998</v>
      </c>
      <c r="B30" s="955">
        <f>+Pricing!E19</f>
        <v>18750000</v>
      </c>
      <c r="C30" s="947">
        <f>+Pricing!D19</f>
        <v>150000</v>
      </c>
    </row>
    <row r="31" spans="1:11" x14ac:dyDescent="0.25">
      <c r="B31" s="956"/>
      <c r="C31" s="947"/>
    </row>
    <row r="32" spans="1:11" x14ac:dyDescent="0.25">
      <c r="A32" s="929" t="s">
        <v>999</v>
      </c>
      <c r="B32" s="947">
        <f>+Pricing!E43</f>
        <v>7000325</v>
      </c>
      <c r="C32" s="944">
        <f>+B32/B9</f>
        <v>56002.6</v>
      </c>
    </row>
    <row r="33" spans="1:12" x14ac:dyDescent="0.25">
      <c r="B33" s="947"/>
      <c r="C33" s="947"/>
      <c r="D33" s="950"/>
    </row>
    <row r="34" spans="1:12" x14ac:dyDescent="0.25">
      <c r="A34" s="928" t="s">
        <v>946</v>
      </c>
      <c r="B34" s="947"/>
      <c r="C34" s="947"/>
    </row>
    <row r="35" spans="1:12" x14ac:dyDescent="0.25">
      <c r="A35" s="929" t="s">
        <v>1000</v>
      </c>
      <c r="B35" s="947"/>
      <c r="C35" s="944">
        <f>+B35/$B$9</f>
        <v>0</v>
      </c>
      <c r="D35" s="950"/>
    </row>
    <row r="36" spans="1:12" x14ac:dyDescent="0.25">
      <c r="A36" s="929" t="s">
        <v>1001</v>
      </c>
      <c r="B36" s="947"/>
      <c r="C36" s="944">
        <f>+B36/$B$9</f>
        <v>0</v>
      </c>
    </row>
    <row r="37" spans="1:12" x14ac:dyDescent="0.25">
      <c r="A37" s="929" t="s">
        <v>1002</v>
      </c>
      <c r="B37" s="947"/>
      <c r="C37" s="947"/>
    </row>
    <row r="38" spans="1:12" x14ac:dyDescent="0.25">
      <c r="B38" s="957">
        <f>+B42/B28</f>
        <v>0</v>
      </c>
      <c r="C38" s="947"/>
    </row>
    <row r="39" spans="1:12" x14ac:dyDescent="0.25">
      <c r="A39" s="928" t="s">
        <v>1003</v>
      </c>
      <c r="B39" s="947"/>
      <c r="C39" s="947"/>
    </row>
    <row r="40" spans="1:12" x14ac:dyDescent="0.25">
      <c r="A40" s="958" t="s">
        <v>1004</v>
      </c>
      <c r="B40" s="1307"/>
      <c r="C40" s="1307"/>
    </row>
    <row r="41" spans="1:12" x14ac:dyDescent="0.25">
      <c r="A41" s="929" t="s">
        <v>1005</v>
      </c>
      <c r="B41" s="947"/>
      <c r="C41" s="959"/>
      <c r="D41" s="956"/>
    </row>
    <row r="42" spans="1:12" x14ac:dyDescent="0.25">
      <c r="A42" s="929" t="s">
        <v>1006</v>
      </c>
      <c r="B42" s="947"/>
      <c r="C42" s="947"/>
    </row>
    <row r="43" spans="1:12" x14ac:dyDescent="0.25">
      <c r="A43" s="929" t="s">
        <v>1007</v>
      </c>
      <c r="B43" s="957" t="e">
        <f>+B42/B35</f>
        <v>#DIV/0!</v>
      </c>
      <c r="C43" s="933"/>
    </row>
    <row r="44" spans="1:12" x14ac:dyDescent="0.25">
      <c r="A44" s="929" t="s">
        <v>1008</v>
      </c>
      <c r="B44" s="947"/>
      <c r="C44" s="933"/>
    </row>
    <row r="45" spans="1:12" x14ac:dyDescent="0.25">
      <c r="A45" s="929" t="s">
        <v>1009</v>
      </c>
      <c r="B45" s="947"/>
      <c r="C45" s="933"/>
      <c r="L45" s="960"/>
    </row>
    <row r="46" spans="1:12" x14ac:dyDescent="0.25">
      <c r="A46" s="929" t="s">
        <v>1010</v>
      </c>
      <c r="B46" s="933"/>
      <c r="C46" s="933"/>
    </row>
    <row r="47" spans="1:12" x14ac:dyDescent="0.25">
      <c r="A47" s="929" t="s">
        <v>1011</v>
      </c>
      <c r="B47" s="961"/>
      <c r="C47" s="933"/>
    </row>
    <row r="48" spans="1:12" x14ac:dyDescent="0.25">
      <c r="A48" s="929" t="s">
        <v>1012</v>
      </c>
      <c r="B48" s="962"/>
      <c r="C48" s="933"/>
    </row>
    <row r="49" spans="1:3" x14ac:dyDescent="0.25">
      <c r="A49" s="929" t="s">
        <v>1013</v>
      </c>
      <c r="B49" s="947"/>
      <c r="C49" s="933"/>
    </row>
    <row r="51" spans="1:3" ht="16.5" thickBot="1" x14ac:dyDescent="0.3">
      <c r="A51" s="928" t="s">
        <v>118</v>
      </c>
      <c r="B51" s="931" t="s">
        <v>118</v>
      </c>
    </row>
    <row r="52" spans="1:3" x14ac:dyDescent="0.25">
      <c r="A52" s="929" t="s">
        <v>1014</v>
      </c>
      <c r="B52" s="963">
        <f>+G13/B23</f>
        <v>0.10392136786666666</v>
      </c>
    </row>
    <row r="53" spans="1:3" x14ac:dyDescent="0.25">
      <c r="A53" s="929" t="s">
        <v>1015</v>
      </c>
      <c r="B53" s="963">
        <f>+G13/B25</f>
        <v>9.8931902262558297E-2</v>
      </c>
    </row>
    <row r="54" spans="1:3" x14ac:dyDescent="0.25">
      <c r="A54" s="929" t="s">
        <v>1016</v>
      </c>
      <c r="B54" s="963">
        <f>+G13/B28</f>
        <v>9.7007935652498586E-2</v>
      </c>
    </row>
    <row r="55" spans="1:3" x14ac:dyDescent="0.25">
      <c r="C55" s="947"/>
    </row>
    <row r="56" spans="1:3" x14ac:dyDescent="0.25">
      <c r="A56" s="928" t="s">
        <v>1017</v>
      </c>
    </row>
    <row r="57" spans="1:3" x14ac:dyDescent="0.25">
      <c r="A57" s="929" t="s">
        <v>1018</v>
      </c>
      <c r="B57" s="947"/>
      <c r="C57" s="947"/>
    </row>
    <row r="58" spans="1:3" x14ac:dyDescent="0.25">
      <c r="A58" s="929" t="s">
        <v>1019</v>
      </c>
      <c r="B58" s="964"/>
      <c r="C58" s="947"/>
    </row>
    <row r="59" spans="1:3" x14ac:dyDescent="0.25">
      <c r="A59" s="929" t="s">
        <v>1020</v>
      </c>
      <c r="B59" s="965"/>
      <c r="C59" s="966"/>
    </row>
    <row r="61" spans="1:3" x14ac:dyDescent="0.25">
      <c r="A61" s="928" t="s">
        <v>1021</v>
      </c>
    </row>
    <row r="63" spans="1:3" x14ac:dyDescent="0.25">
      <c r="A63" s="967"/>
    </row>
    <row r="64" spans="1:3" x14ac:dyDescent="0.25">
      <c r="A64" s="967"/>
    </row>
    <row r="65" spans="1:3" x14ac:dyDescent="0.25">
      <c r="A65" s="967"/>
    </row>
    <row r="66" spans="1:3" x14ac:dyDescent="0.25">
      <c r="A66" s="967"/>
    </row>
    <row r="69" spans="1:3" x14ac:dyDescent="0.25">
      <c r="A69" s="928" t="s">
        <v>95</v>
      </c>
    </row>
    <row r="70" spans="1:3" x14ac:dyDescent="0.25">
      <c r="A70" s="928" t="s">
        <v>86</v>
      </c>
      <c r="B70" s="932" t="s">
        <v>272</v>
      </c>
      <c r="C70" s="932" t="s">
        <v>88</v>
      </c>
    </row>
    <row r="71" spans="1:3" x14ac:dyDescent="0.25">
      <c r="A71" s="967" t="str">
        <f>+'Key Data'!B55</f>
        <v>Hampton Inn &amp; Suites Wichita Airport</v>
      </c>
      <c r="B71" s="964">
        <f>+'Key Data'!C55</f>
        <v>125</v>
      </c>
      <c r="C71" s="964">
        <f>+'Key Data'!D55</f>
        <v>201610</v>
      </c>
    </row>
    <row r="72" spans="1:3" x14ac:dyDescent="0.25">
      <c r="A72" s="967" t="str">
        <f>+'Key Data'!B56</f>
        <v>Best Western Plus Wichita West Airport Inn</v>
      </c>
      <c r="B72" s="964">
        <f>+'Key Data'!C56</f>
        <v>121</v>
      </c>
      <c r="C72" s="964">
        <f>+'Key Data'!D56</f>
        <v>199509</v>
      </c>
    </row>
    <row r="73" spans="1:3" x14ac:dyDescent="0.25">
      <c r="A73" s="967" t="str">
        <f>+'Key Data'!B57</f>
        <v>Holiday Inn Express &amp; Suites Wichita Airport</v>
      </c>
      <c r="B73" s="964">
        <f>+'Key Data'!C57</f>
        <v>84</v>
      </c>
      <c r="C73" s="964">
        <f>+'Key Data'!D57</f>
        <v>200703</v>
      </c>
    </row>
    <row r="74" spans="1:3" x14ac:dyDescent="0.25">
      <c r="A74" s="967" t="str">
        <f>+'Key Data'!B58</f>
        <v>Comfort Suites Airport Wichita</v>
      </c>
      <c r="B74" s="964">
        <f>+'Key Data'!C58</f>
        <v>78</v>
      </c>
      <c r="C74" s="964">
        <f>+'Key Data'!D58</f>
        <v>200711</v>
      </c>
    </row>
    <row r="75" spans="1:3" x14ac:dyDescent="0.25">
      <c r="A75" s="967" t="str">
        <f>+'Key Data'!B59</f>
        <v xml:space="preserve">Springhill Suites Wichita Airport </v>
      </c>
      <c r="B75" s="964">
        <f>+'Key Data'!C59</f>
        <v>121</v>
      </c>
      <c r="C75" s="964">
        <f>+'Key Data'!D59</f>
        <v>201501</v>
      </c>
    </row>
    <row r="76" spans="1:3" x14ac:dyDescent="0.25">
      <c r="A76" s="967">
        <f>+'Key Data'!B60</f>
        <v>0</v>
      </c>
      <c r="B76" s="964">
        <f>+'Key Data'!C60</f>
        <v>0</v>
      </c>
      <c r="C76" s="964">
        <f>+'Key Data'!D60</f>
        <v>0</v>
      </c>
    </row>
    <row r="77" spans="1:3" x14ac:dyDescent="0.25">
      <c r="A77" s="967">
        <f>+'Key Data'!B61</f>
        <v>0</v>
      </c>
      <c r="B77" s="964">
        <f>+'Key Data'!C61</f>
        <v>0</v>
      </c>
      <c r="C77" s="964">
        <f>+'Key Data'!D61</f>
        <v>0</v>
      </c>
    </row>
    <row r="78" spans="1:3" x14ac:dyDescent="0.25">
      <c r="A78" s="967">
        <f>+'Key Data'!B62</f>
        <v>0</v>
      </c>
      <c r="B78" s="964">
        <f>+'Key Data'!C62</f>
        <v>0</v>
      </c>
      <c r="C78" s="964">
        <f>+'Key Data'!D62</f>
        <v>0</v>
      </c>
    </row>
    <row r="80" spans="1:3" x14ac:dyDescent="0.25">
      <c r="A80" s="928" t="s">
        <v>651</v>
      </c>
    </row>
    <row r="82" spans="1:1" x14ac:dyDescent="0.25">
      <c r="A82" s="929" t="s">
        <v>976</v>
      </c>
    </row>
    <row r="83" spans="1:1" x14ac:dyDescent="0.25">
      <c r="A83" s="929" t="s">
        <v>1022</v>
      </c>
    </row>
    <row r="84" spans="1:1" x14ac:dyDescent="0.25">
      <c r="A84" s="929" t="s">
        <v>1023</v>
      </c>
    </row>
    <row r="85" spans="1:1" x14ac:dyDescent="0.25">
      <c r="A85" s="929" t="s">
        <v>1024</v>
      </c>
    </row>
    <row r="86" spans="1:1" x14ac:dyDescent="0.25">
      <c r="A86" s="929" t="s">
        <v>1025</v>
      </c>
    </row>
    <row r="87" spans="1:1" x14ac:dyDescent="0.25">
      <c r="A87" s="929" t="s">
        <v>1026</v>
      </c>
    </row>
    <row r="89" spans="1:1" x14ac:dyDescent="0.25">
      <c r="A89" s="929" t="s">
        <v>980</v>
      </c>
    </row>
    <row r="90" spans="1:1" x14ac:dyDescent="0.25">
      <c r="A90" s="929" t="s">
        <v>1027</v>
      </c>
    </row>
    <row r="91" spans="1:1" x14ac:dyDescent="0.25">
      <c r="A91" s="929" t="s">
        <v>257</v>
      </c>
    </row>
    <row r="92" spans="1:1" x14ac:dyDescent="0.25">
      <c r="A92" s="929" t="s">
        <v>1028</v>
      </c>
    </row>
    <row r="93" spans="1:1" x14ac:dyDescent="0.25">
      <c r="A93" s="929" t="s">
        <v>1029</v>
      </c>
    </row>
    <row r="94" spans="1:1" x14ac:dyDescent="0.25">
      <c r="A94" s="929" t="s">
        <v>1026</v>
      </c>
    </row>
    <row r="97" spans="1:1" x14ac:dyDescent="0.25">
      <c r="A97" s="929" t="s">
        <v>982</v>
      </c>
    </row>
    <row r="98" spans="1:1" x14ac:dyDescent="0.25">
      <c r="A98" s="929" t="s">
        <v>1030</v>
      </c>
    </row>
    <row r="99" spans="1:1" x14ac:dyDescent="0.25">
      <c r="A99" s="929" t="s">
        <v>1031</v>
      </c>
    </row>
    <row r="100" spans="1:1" x14ac:dyDescent="0.25">
      <c r="A100" s="929" t="s">
        <v>1032</v>
      </c>
    </row>
    <row r="104" spans="1:1" x14ac:dyDescent="0.25">
      <c r="A104" s="929" t="s">
        <v>984</v>
      </c>
    </row>
    <row r="105" spans="1:1" x14ac:dyDescent="0.25">
      <c r="A105" s="929" t="s">
        <v>1033</v>
      </c>
    </row>
    <row r="106" spans="1:1" x14ac:dyDescent="0.25">
      <c r="A106" s="929" t="s">
        <v>1034</v>
      </c>
    </row>
    <row r="107" spans="1:1" x14ac:dyDescent="0.25">
      <c r="A107" s="929" t="s">
        <v>1035</v>
      </c>
    </row>
  </sheetData>
  <mergeCells count="8">
    <mergeCell ref="B17:D17"/>
    <mergeCell ref="B40:C40"/>
    <mergeCell ref="B3:C3"/>
    <mergeCell ref="B4:C4"/>
    <mergeCell ref="B8:C8"/>
    <mergeCell ref="B14:D14"/>
    <mergeCell ref="B15:D15"/>
    <mergeCell ref="B16:D16"/>
  </mergeCells>
  <dataValidations count="4">
    <dataValidation type="list" allowBlank="1" showInputMessage="1" showErrorMessage="1" sqref="B8" xr:uid="{E2791704-A1E6-47CF-AFC9-616740EE5577}">
      <formula1>$A$83:$A$87</formula1>
    </dataValidation>
    <dataValidation type="list" allowBlank="1" showInputMessage="1" showErrorMessage="1" sqref="B12:C12" xr:uid="{B8F6E053-D598-46C7-944D-EF174AF5C6D8}">
      <formula1>$A$105:$A$107</formula1>
    </dataValidation>
    <dataValidation type="list" allowBlank="1" showInputMessage="1" showErrorMessage="1" sqref="B11:C11" xr:uid="{3409EC76-7B78-473B-B450-9DCBC3A0EB77}">
      <formula1>$A$98:$A$100</formula1>
    </dataValidation>
    <dataValidation type="list" allowBlank="1" showInputMessage="1" showErrorMessage="1" sqref="B10:C10" xr:uid="{BFC655A4-0369-4E55-B9F2-C4579D66B0D7}">
      <formula1>$A$90:$A$94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P110"/>
  <sheetViews>
    <sheetView workbookViewId="0">
      <selection activeCell="I12" sqref="I12"/>
    </sheetView>
  </sheetViews>
  <sheetFormatPr defaultColWidth="8.7109375" defaultRowHeight="15" x14ac:dyDescent="0.25"/>
  <cols>
    <col min="1" max="1" width="33.7109375" customWidth="1"/>
    <col min="2" max="2" width="13.28515625" customWidth="1"/>
    <col min="3" max="6" width="12.7109375" customWidth="1"/>
    <col min="7" max="7" width="9.28515625" customWidth="1"/>
    <col min="8" max="9" width="12.7109375" customWidth="1"/>
    <col min="10" max="10" width="46.7109375" customWidth="1"/>
    <col min="16" max="16" width="11.140625" bestFit="1" customWidth="1"/>
  </cols>
  <sheetData>
    <row r="1" spans="1:16" s="46" customFormat="1" ht="26.25" x14ac:dyDescent="0.4">
      <c r="A1" s="44" t="s">
        <v>694</v>
      </c>
      <c r="B1" s="45"/>
      <c r="D1" s="45"/>
      <c r="E1" s="45"/>
      <c r="F1" s="45"/>
      <c r="G1" s="45"/>
    </row>
    <row r="2" spans="1:16" ht="15.75" x14ac:dyDescent="0.25">
      <c r="A2" s="47" t="str">
        <f>+'Data Entry'!A2</f>
        <v>v12.7</v>
      </c>
      <c r="M2" s="516"/>
      <c r="N2" s="516"/>
      <c r="O2" s="516"/>
      <c r="P2" s="517"/>
    </row>
    <row r="3" spans="1:16" s="49" customFormat="1" ht="18.75" x14ac:dyDescent="0.3">
      <c r="A3" s="48" t="s">
        <v>120</v>
      </c>
      <c r="B3" s="1056" t="str">
        <f>+'Data Entry'!E13</f>
        <v>Hampton Inn &amp; Suites Wichita Airport</v>
      </c>
      <c r="C3" s="1056"/>
      <c r="D3" s="1056"/>
      <c r="E3" s="1056"/>
      <c r="M3" s="515"/>
      <c r="N3" s="515"/>
      <c r="O3" s="515"/>
      <c r="P3" s="281"/>
    </row>
    <row r="4" spans="1:16" x14ac:dyDescent="0.25">
      <c r="M4" s="515"/>
      <c r="N4" s="515"/>
      <c r="O4" s="515"/>
      <c r="P4" s="281"/>
    </row>
    <row r="5" spans="1:16" ht="15.75" x14ac:dyDescent="0.25">
      <c r="A5" s="1054" t="s">
        <v>121</v>
      </c>
      <c r="B5" s="1055"/>
      <c r="C5" s="1055"/>
      <c r="D5" s="1055"/>
      <c r="E5" s="1055"/>
      <c r="F5" s="1055"/>
      <c r="G5" s="1055"/>
      <c r="H5" s="1055"/>
      <c r="I5" s="1055"/>
      <c r="J5" s="1055"/>
      <c r="M5" s="515"/>
      <c r="N5" s="515"/>
      <c r="O5" s="515"/>
      <c r="P5" s="281"/>
    </row>
    <row r="6" spans="1:16" x14ac:dyDescent="0.25">
      <c r="B6" s="50"/>
      <c r="C6" s="50"/>
      <c r="M6" s="515"/>
      <c r="N6" s="515"/>
      <c r="O6" s="515"/>
      <c r="P6" s="281"/>
    </row>
    <row r="7" spans="1:16" s="427" customFormat="1" x14ac:dyDescent="0.25">
      <c r="B7" s="50"/>
      <c r="C7" s="50"/>
      <c r="F7" s="587" t="s">
        <v>664</v>
      </c>
      <c r="G7" s="587" t="s">
        <v>699</v>
      </c>
      <c r="I7" s="51" t="s">
        <v>238</v>
      </c>
      <c r="M7" s="515"/>
      <c r="N7" s="515"/>
      <c r="O7" s="515"/>
      <c r="P7" s="281"/>
    </row>
    <row r="8" spans="1:16" s="427" customFormat="1" x14ac:dyDescent="0.25">
      <c r="A8" s="584" t="s">
        <v>634</v>
      </c>
      <c r="B8" s="585">
        <f>+Pricing!E6</f>
        <v>18000000</v>
      </c>
      <c r="C8" s="583"/>
      <c r="D8" s="427" t="s">
        <v>697</v>
      </c>
      <c r="F8" s="37">
        <f>+B9/B8</f>
        <v>0.10392136786666664</v>
      </c>
      <c r="G8" s="37">
        <f>+B9/(B8+B20)</f>
        <v>9.7007935652498573E-2</v>
      </c>
      <c r="M8" s="515"/>
      <c r="N8" s="515"/>
      <c r="O8" s="515"/>
      <c r="P8" s="281"/>
    </row>
    <row r="9" spans="1:16" s="427" customFormat="1" x14ac:dyDescent="0.25">
      <c r="A9" s="584" t="s">
        <v>695</v>
      </c>
      <c r="B9" s="586">
        <f>+Pricing!E8</f>
        <v>1870584.6215999995</v>
      </c>
      <c r="C9" s="583"/>
      <c r="M9" s="515"/>
      <c r="N9" s="515"/>
      <c r="O9" s="515"/>
      <c r="P9" s="281"/>
    </row>
    <row r="10" spans="1:16" x14ac:dyDescent="0.25">
      <c r="A10" s="51" t="s">
        <v>122</v>
      </c>
      <c r="B10" s="52">
        <f>+Pricing!E15</f>
        <v>18000000</v>
      </c>
      <c r="C10" s="53"/>
      <c r="D10" t="s">
        <v>698</v>
      </c>
      <c r="F10" s="37">
        <f>+B9/B10</f>
        <v>0.10392136786666664</v>
      </c>
      <c r="G10" s="37">
        <f>+B9/(B10+B20)</f>
        <v>9.7007935652498573E-2</v>
      </c>
      <c r="M10" s="515"/>
      <c r="N10" s="515"/>
      <c r="O10" s="515"/>
      <c r="P10" s="281"/>
    </row>
    <row r="11" spans="1:16" x14ac:dyDescent="0.25">
      <c r="A11" s="51" t="s">
        <v>124</v>
      </c>
      <c r="B11" s="52">
        <f>B10*0.2</f>
        <v>3600000</v>
      </c>
      <c r="C11" s="53"/>
      <c r="G11" s="51"/>
      <c r="M11" s="281"/>
      <c r="N11" s="281"/>
      <c r="O11" s="281"/>
      <c r="P11" s="281"/>
    </row>
    <row r="12" spans="1:16" x14ac:dyDescent="0.25">
      <c r="A12" s="51" t="s">
        <v>126</v>
      </c>
      <c r="B12" s="52">
        <f>B10*0.2</f>
        <v>3600000</v>
      </c>
      <c r="C12" s="53"/>
    </row>
    <row r="13" spans="1:16" x14ac:dyDescent="0.25">
      <c r="A13" s="51" t="s">
        <v>129</v>
      </c>
      <c r="B13" s="52">
        <f>B10*0.6</f>
        <v>10800000</v>
      </c>
      <c r="C13" s="53"/>
      <c r="G13" s="51"/>
    </row>
    <row r="14" spans="1:16" ht="18" x14ac:dyDescent="0.25">
      <c r="A14" s="55" t="s">
        <v>131</v>
      </c>
      <c r="B14" s="53"/>
      <c r="C14" s="53"/>
      <c r="D14" s="1050" t="s">
        <v>696</v>
      </c>
      <c r="E14" s="1051"/>
      <c r="F14" s="1052"/>
      <c r="G14" s="169"/>
    </row>
    <row r="15" spans="1:16" x14ac:dyDescent="0.25">
      <c r="A15" s="51"/>
      <c r="B15" s="56"/>
      <c r="C15" s="56"/>
      <c r="D15" s="588" t="s">
        <v>123</v>
      </c>
      <c r="E15" s="589">
        <f>+(B29)/(B10+B20)</f>
        <v>0.36303467338768231</v>
      </c>
      <c r="F15" s="590"/>
    </row>
    <row r="16" spans="1:16" x14ac:dyDescent="0.25">
      <c r="A16" s="57" t="s">
        <v>132</v>
      </c>
      <c r="B16" s="56"/>
      <c r="C16" s="56"/>
      <c r="D16" s="588" t="s">
        <v>125</v>
      </c>
      <c r="E16" s="589">
        <f>+Pricing!E37</f>
        <v>4.9250000000000002E-2</v>
      </c>
      <c r="F16" s="590"/>
    </row>
    <row r="17" spans="1:10" x14ac:dyDescent="0.25">
      <c r="A17" s="51"/>
      <c r="B17" s="168"/>
      <c r="C17" s="51"/>
      <c r="D17" s="588" t="s">
        <v>127</v>
      </c>
      <c r="E17" s="101">
        <f>+Pricing!E38</f>
        <v>30</v>
      </c>
      <c r="F17" s="591" t="s">
        <v>128</v>
      </c>
      <c r="J17" s="58"/>
    </row>
    <row r="18" spans="1:10" x14ac:dyDescent="0.25">
      <c r="A18" s="51" t="s">
        <v>126</v>
      </c>
      <c r="B18" s="56">
        <f>+'PIP &amp; Source &amp; Use'!F13+'PIP &amp; Source &amp; Use'!F29</f>
        <v>375000</v>
      </c>
      <c r="C18" s="51"/>
      <c r="D18" s="592" t="s">
        <v>130</v>
      </c>
      <c r="E18" s="593">
        <f>+Pricing!E39</f>
        <v>792174.75888169068</v>
      </c>
      <c r="F18" s="594"/>
    </row>
    <row r="19" spans="1:10" x14ac:dyDescent="0.25">
      <c r="A19" s="51" t="s">
        <v>133</v>
      </c>
      <c r="B19" s="56">
        <f>+'PIP &amp; Source &amp; Use'!F27</f>
        <v>907800</v>
      </c>
      <c r="C19" s="56"/>
    </row>
    <row r="20" spans="1:10" ht="15.75" thickBot="1" x14ac:dyDescent="0.3">
      <c r="A20" s="57" t="s">
        <v>134</v>
      </c>
      <c r="B20" s="59">
        <f>SUM(B17:B19)</f>
        <v>1282800</v>
      </c>
      <c r="C20" s="60"/>
      <c r="D20" s="51"/>
      <c r="E20" s="51"/>
      <c r="F20" s="51"/>
      <c r="G20" s="256"/>
    </row>
    <row r="21" spans="1:10" ht="15.75" thickTop="1" x14ac:dyDescent="0.25">
      <c r="A21" s="51"/>
      <c r="B21" s="56"/>
      <c r="C21" s="56"/>
      <c r="D21" s="51"/>
      <c r="E21" s="51"/>
      <c r="F21" s="51"/>
      <c r="H21" s="51"/>
    </row>
    <row r="22" spans="1:10" x14ac:dyDescent="0.25">
      <c r="A22" s="57" t="s">
        <v>135</v>
      </c>
      <c r="B22" s="56"/>
      <c r="C22" s="56"/>
      <c r="D22" s="1050" t="s">
        <v>136</v>
      </c>
      <c r="E22" s="1057"/>
      <c r="F22" s="1058"/>
      <c r="H22" s="51"/>
    </row>
    <row r="23" spans="1:10" x14ac:dyDescent="0.25">
      <c r="A23" s="51" t="s">
        <v>137</v>
      </c>
      <c r="B23" s="56">
        <f>B11+B17</f>
        <v>3600000</v>
      </c>
      <c r="C23" s="56"/>
      <c r="D23" s="61" t="s">
        <v>138</v>
      </c>
      <c r="E23" s="62"/>
      <c r="F23" s="63" t="s">
        <v>139</v>
      </c>
      <c r="H23" s="51"/>
    </row>
    <row r="24" spans="1:10" x14ac:dyDescent="0.25">
      <c r="A24" s="51" t="s">
        <v>140</v>
      </c>
      <c r="B24" s="56">
        <f>B12+B18</f>
        <v>3975000</v>
      </c>
      <c r="C24" s="56"/>
      <c r="D24" s="64">
        <v>7</v>
      </c>
      <c r="E24" s="65"/>
      <c r="F24" s="66">
        <f>B24/D24</f>
        <v>567857.14285714284</v>
      </c>
      <c r="H24" s="51"/>
    </row>
    <row r="25" spans="1:10" x14ac:dyDescent="0.25">
      <c r="A25" s="51" t="s">
        <v>129</v>
      </c>
      <c r="B25" s="56">
        <f>B13</f>
        <v>10800000</v>
      </c>
      <c r="C25" s="56"/>
      <c r="D25" s="64">
        <v>39.5</v>
      </c>
      <c r="E25" s="65"/>
      <c r="F25" s="66">
        <f>B25/D25</f>
        <v>273417.72151898732</v>
      </c>
      <c r="H25" s="51"/>
    </row>
    <row r="26" spans="1:10" x14ac:dyDescent="0.25">
      <c r="A26" s="51" t="s">
        <v>133</v>
      </c>
      <c r="B26" s="56">
        <f>B19</f>
        <v>907800</v>
      </c>
      <c r="C26" s="56"/>
      <c r="D26" s="67">
        <f>+D25</f>
        <v>39.5</v>
      </c>
      <c r="E26" s="68"/>
      <c r="F26" s="69">
        <f>B26/D26</f>
        <v>22982.278481012658</v>
      </c>
      <c r="H26" s="51"/>
    </row>
    <row r="27" spans="1:10" ht="15.75" thickBot="1" x14ac:dyDescent="0.3">
      <c r="A27" s="57" t="s">
        <v>141</v>
      </c>
      <c r="B27" s="70">
        <f>+B10+B20</f>
        <v>19282800</v>
      </c>
      <c r="C27" s="1059" t="s">
        <v>142</v>
      </c>
      <c r="D27" s="1060"/>
      <c r="E27" s="1061"/>
      <c r="F27" s="70">
        <f>SUM(F24:F26)</f>
        <v>864257.14285714284</v>
      </c>
      <c r="G27" s="51"/>
      <c r="H27" s="51"/>
    </row>
    <row r="28" spans="1:10" ht="15.75" thickTop="1" x14ac:dyDescent="0.25">
      <c r="A28" s="57"/>
      <c r="B28" s="71"/>
      <c r="C28" s="56"/>
      <c r="D28" s="51"/>
      <c r="E28" s="51"/>
      <c r="F28" s="51"/>
      <c r="G28" s="72"/>
      <c r="H28" s="72"/>
      <c r="I28" s="71"/>
    </row>
    <row r="29" spans="1:10" ht="15.75" thickBot="1" x14ac:dyDescent="0.3">
      <c r="A29" s="57" t="s">
        <v>143</v>
      </c>
      <c r="B29" s="73">
        <f>+Pricing!E43</f>
        <v>7000325</v>
      </c>
      <c r="C29" s="1059" t="s">
        <v>144</v>
      </c>
      <c r="D29" s="1060"/>
      <c r="E29" s="1061"/>
      <c r="F29" s="74">
        <f>+F27/B29</f>
        <v>0.12345957407079569</v>
      </c>
      <c r="G29" s="51"/>
    </row>
    <row r="30" spans="1:10" ht="16.5" thickTop="1" thickBot="1" x14ac:dyDescent="0.3">
      <c r="A30" s="57" t="s">
        <v>145</v>
      </c>
      <c r="B30" s="70">
        <f>B27-B29</f>
        <v>12282475</v>
      </c>
      <c r="C30" s="56"/>
      <c r="D30" s="51"/>
      <c r="E30" s="51"/>
      <c r="F30" s="54"/>
      <c r="G30" s="51"/>
    </row>
    <row r="31" spans="1:10" ht="15.75" thickTop="1" x14ac:dyDescent="0.25">
      <c r="A31" s="57"/>
      <c r="B31" s="71"/>
      <c r="C31" s="75"/>
      <c r="D31" s="51"/>
      <c r="E31" s="51"/>
      <c r="F31" s="51"/>
      <c r="G31" s="51"/>
    </row>
    <row r="32" spans="1:10" x14ac:dyDescent="0.25">
      <c r="A32" s="51" t="s">
        <v>146</v>
      </c>
      <c r="B32" s="76">
        <f>+ProForma!S71/'Board Summary'!E18</f>
        <v>2.234068521133326</v>
      </c>
      <c r="C32" s="56"/>
      <c r="D32" s="51"/>
      <c r="E32" s="51"/>
      <c r="F32" s="51"/>
      <c r="G32" s="72"/>
      <c r="H32" s="72"/>
      <c r="I32" s="71"/>
    </row>
    <row r="33" spans="1:10" x14ac:dyDescent="0.25">
      <c r="A33" s="77"/>
      <c r="B33" s="78"/>
      <c r="C33" s="50"/>
      <c r="G33" s="72"/>
      <c r="H33" s="72"/>
      <c r="I33" s="71"/>
    </row>
    <row r="34" spans="1:10" ht="15.75" x14ac:dyDescent="0.25">
      <c r="A34" s="1054" t="s">
        <v>147</v>
      </c>
      <c r="B34" s="1055"/>
      <c r="C34" s="1055"/>
      <c r="D34" s="1055"/>
      <c r="E34" s="1055"/>
      <c r="F34" s="1055"/>
      <c r="G34" s="1055"/>
      <c r="H34" s="1055"/>
      <c r="I34" s="1055"/>
      <c r="J34" s="1055"/>
    </row>
    <row r="35" spans="1:10" ht="15.75" thickBot="1" x14ac:dyDescent="0.3">
      <c r="A35" s="77"/>
      <c r="B35" s="78"/>
      <c r="C35" s="50"/>
      <c r="G35" s="72"/>
      <c r="H35" s="72"/>
      <c r="I35" s="71"/>
    </row>
    <row r="36" spans="1:10" x14ac:dyDescent="0.25">
      <c r="A36" s="79"/>
      <c r="B36" s="1044" t="s">
        <v>148</v>
      </c>
      <c r="C36" s="1045"/>
      <c r="D36" s="1045"/>
      <c r="E36" s="1046" t="s">
        <v>149</v>
      </c>
      <c r="F36" s="1047"/>
      <c r="G36" s="1047"/>
      <c r="H36" s="1048"/>
      <c r="I36" s="1049"/>
      <c r="J36" s="80"/>
    </row>
    <row r="37" spans="1:10" ht="15.75" thickBot="1" x14ac:dyDescent="0.3">
      <c r="A37" s="79"/>
      <c r="B37" s="81">
        <v>2016</v>
      </c>
      <c r="C37" s="81">
        <v>2017</v>
      </c>
      <c r="D37" s="82" t="s">
        <v>150</v>
      </c>
      <c r="E37" s="83" t="str">
        <f>+ProForma!S4</f>
        <v>T12 2019</v>
      </c>
      <c r="F37" s="83" t="str">
        <f>+ProForma!U4</f>
        <v>T12 2020</v>
      </c>
      <c r="G37" s="82" t="str">
        <f>+ProForma!W4</f>
        <v>T12 2021</v>
      </c>
      <c r="H37" s="82" t="str">
        <f>+ProForma!Y4</f>
        <v>T12 2022</v>
      </c>
      <c r="I37" s="84" t="str">
        <f>+ProForma!AA4</f>
        <v>T12 2023</v>
      </c>
      <c r="J37" s="80"/>
    </row>
    <row r="38" spans="1:10" x14ac:dyDescent="0.25">
      <c r="A38" s="79" t="s">
        <v>39</v>
      </c>
      <c r="B38" s="85">
        <f>+ProForma!J8</f>
        <v>0.73199999999999998</v>
      </c>
      <c r="C38" s="85">
        <f>+ProForma!L8</f>
        <v>0.76400000000000001</v>
      </c>
      <c r="D38" s="85">
        <f>+'Key Data'!L10</f>
        <v>0.76400000000000001</v>
      </c>
      <c r="E38" s="151">
        <f>+ProForma!S8</f>
        <v>0.78008580000000005</v>
      </c>
      <c r="F38" s="152">
        <f>+ProForma!U8</f>
        <v>0.78788665800000002</v>
      </c>
      <c r="G38" s="152">
        <f>+ProForma!W8</f>
        <v>0.79576552458000005</v>
      </c>
      <c r="H38" s="152">
        <f>+ProForma!Y8</f>
        <v>0.80372317982580022</v>
      </c>
      <c r="I38" s="153">
        <f>+ProForma!AA8</f>
        <v>0.80372317982580022</v>
      </c>
      <c r="J38" s="80"/>
    </row>
    <row r="39" spans="1:10" x14ac:dyDescent="0.25">
      <c r="A39" s="79" t="s">
        <v>155</v>
      </c>
      <c r="B39" s="86">
        <f>+ProForma!J9</f>
        <v>111.63</v>
      </c>
      <c r="C39" s="86">
        <f>+ProForma!L9</f>
        <v>112.02</v>
      </c>
      <c r="D39" s="86">
        <f>+'Key Data'!L12</f>
        <v>112.02</v>
      </c>
      <c r="E39" s="154">
        <f>+ProForma!S9</f>
        <v>113.51894999999999</v>
      </c>
      <c r="F39" s="155">
        <f>+ProForma!U9</f>
        <v>114.65413949999999</v>
      </c>
      <c r="G39" s="155">
        <f>+ProForma!W9</f>
        <v>115.80068089499999</v>
      </c>
      <c r="H39" s="155">
        <f>+ProForma!Y9</f>
        <v>116.95868770394998</v>
      </c>
      <c r="I39" s="156">
        <f>+ProForma!AA9</f>
        <v>118.12827458098948</v>
      </c>
      <c r="J39" s="80"/>
    </row>
    <row r="40" spans="1:10" x14ac:dyDescent="0.25">
      <c r="A40" s="79" t="s">
        <v>156</v>
      </c>
      <c r="B40" s="158">
        <f t="shared" ref="B40:I40" si="0">+B38*B39</f>
        <v>81.713159999999988</v>
      </c>
      <c r="C40" s="158">
        <f t="shared" si="0"/>
        <v>85.583280000000002</v>
      </c>
      <c r="D40" s="158">
        <f t="shared" si="0"/>
        <v>85.583280000000002</v>
      </c>
      <c r="E40" s="154">
        <f t="shared" si="0"/>
        <v>88.554520925909998</v>
      </c>
      <c r="F40" s="155">
        <f t="shared" si="0"/>
        <v>90.334466796520786</v>
      </c>
      <c r="G40" s="155">
        <f t="shared" si="0"/>
        <v>92.150189579130853</v>
      </c>
      <c r="H40" s="155">
        <f t="shared" si="0"/>
        <v>94.002408389671402</v>
      </c>
      <c r="I40" s="156">
        <f t="shared" si="0"/>
        <v>94.942432473568118</v>
      </c>
      <c r="J40" s="80"/>
    </row>
    <row r="41" spans="1:10" x14ac:dyDescent="0.25">
      <c r="A41" s="79"/>
      <c r="B41" s="78"/>
      <c r="C41" s="56"/>
      <c r="D41" s="51"/>
      <c r="E41" s="157"/>
      <c r="F41" s="101"/>
      <c r="G41" s="72"/>
      <c r="H41" s="72"/>
      <c r="I41" s="88"/>
      <c r="J41" s="80"/>
    </row>
    <row r="42" spans="1:10" x14ac:dyDescent="0.25">
      <c r="A42" s="79" t="s">
        <v>157</v>
      </c>
      <c r="B42" s="52">
        <f>+ProForma!H20</f>
        <v>0</v>
      </c>
      <c r="C42" s="89">
        <f>+ProForma!J20</f>
        <v>3903117.98</v>
      </c>
      <c r="D42" s="89">
        <f>+ProForma!L20</f>
        <v>4044844.1199999996</v>
      </c>
      <c r="E42" s="90">
        <f>+ProForma!S20</f>
        <v>4204024.4657908324</v>
      </c>
      <c r="F42" s="91">
        <f>+ProForma!U20</f>
        <v>4286871.7406229107</v>
      </c>
      <c r="G42" s="91">
        <f>+ProForma!W20</f>
        <v>4371367.7095098114</v>
      </c>
      <c r="H42" s="91">
        <f>+ProForma!Y20</f>
        <v>4457545.3458403433</v>
      </c>
      <c r="I42" s="92">
        <f>+ProForma!AA20</f>
        <v>4500433.9446681309</v>
      </c>
      <c r="J42" s="80"/>
    </row>
    <row r="43" spans="1:10" x14ac:dyDescent="0.25">
      <c r="A43" s="79" t="s">
        <v>158</v>
      </c>
      <c r="B43" s="52">
        <f>+ProForma!H28</f>
        <v>0</v>
      </c>
      <c r="C43" s="89">
        <f>+ProForma!J28</f>
        <v>754978.15999999992</v>
      </c>
      <c r="D43" s="89">
        <f>+ProForma!L28</f>
        <v>750928.42</v>
      </c>
      <c r="E43" s="90">
        <f>+ProForma!S28</f>
        <v>913615.74717034248</v>
      </c>
      <c r="F43" s="91">
        <f>+ProForma!U28</f>
        <v>931729.45128036349</v>
      </c>
      <c r="G43" s="91">
        <f>+ProForma!W28</f>
        <v>950204.74111891503</v>
      </c>
      <c r="H43" s="91">
        <f>+ProForma!Y28</f>
        <v>969048.85956189956</v>
      </c>
      <c r="I43" s="92">
        <f>+ProForma!AA28</f>
        <v>978484.35130401282</v>
      </c>
      <c r="J43" s="80"/>
    </row>
    <row r="44" spans="1:10" x14ac:dyDescent="0.25">
      <c r="A44" s="79" t="s">
        <v>159</v>
      </c>
      <c r="B44" s="52">
        <f>+ProForma!H41+ProForma!H69</f>
        <v>0</v>
      </c>
      <c r="C44" s="89">
        <f>+ProForma!J41+ProForma!J69</f>
        <v>1377904.0285999998</v>
      </c>
      <c r="D44" s="89">
        <f>+ProForma!L41+ProForma!L69</f>
        <v>1423331.0784</v>
      </c>
      <c r="E44" s="90">
        <f>+ProForma!S41+ProForma!S69</f>
        <v>1520636.0265665222</v>
      </c>
      <c r="F44" s="91">
        <f>+ProForma!U41+ProForma!U69</f>
        <v>1552500.1095087086</v>
      </c>
      <c r="G44" s="91">
        <f>+ProForma!W41+ProForma!W69</f>
        <v>1585054.5765433414</v>
      </c>
      <c r="H44" s="91">
        <f>+ProForma!Y69+ProForma!Y41</f>
        <v>1618315.0267481585</v>
      </c>
      <c r="I44" s="92">
        <f>+ProForma!AA69+ProForma!AA41</f>
        <v>1637420.5665719188</v>
      </c>
      <c r="J44" s="80"/>
    </row>
    <row r="45" spans="1:10" x14ac:dyDescent="0.25">
      <c r="A45" s="79" t="s">
        <v>160</v>
      </c>
      <c r="B45" s="91">
        <f t="shared" ref="B45:G45" si="1">+B42-B43-B44</f>
        <v>0</v>
      </c>
      <c r="C45" s="91">
        <f t="shared" si="1"/>
        <v>1770235.7914000005</v>
      </c>
      <c r="D45" s="91">
        <f t="shared" si="1"/>
        <v>1870584.6215999997</v>
      </c>
      <c r="E45" s="90">
        <f t="shared" si="1"/>
        <v>1769772.6920539676</v>
      </c>
      <c r="F45" s="91">
        <f t="shared" si="1"/>
        <v>1802642.1798338387</v>
      </c>
      <c r="G45" s="91">
        <f t="shared" si="1"/>
        <v>1836108.3918475551</v>
      </c>
      <c r="H45" s="91">
        <f>+H42-H43-G44</f>
        <v>1903441.9097351022</v>
      </c>
      <c r="I45" s="92">
        <f>+I42-I43-H44</f>
        <v>1903634.5666159596</v>
      </c>
      <c r="J45" s="80"/>
    </row>
    <row r="46" spans="1:10" x14ac:dyDescent="0.25">
      <c r="A46" s="79" t="s">
        <v>161</v>
      </c>
      <c r="B46" s="52">
        <f>+C46</f>
        <v>792174.75888169068</v>
      </c>
      <c r="C46" s="52">
        <f>+E18</f>
        <v>792174.75888169068</v>
      </c>
      <c r="D46" s="52">
        <f t="shared" ref="D46:I46" si="2">+C46</f>
        <v>792174.75888169068</v>
      </c>
      <c r="E46" s="93">
        <f t="shared" si="2"/>
        <v>792174.75888169068</v>
      </c>
      <c r="F46" s="94">
        <f t="shared" si="2"/>
        <v>792174.75888169068</v>
      </c>
      <c r="G46" s="94">
        <f t="shared" si="2"/>
        <v>792174.75888169068</v>
      </c>
      <c r="H46" s="94">
        <f t="shared" si="2"/>
        <v>792174.75888169068</v>
      </c>
      <c r="I46" s="95">
        <f t="shared" si="2"/>
        <v>792174.75888169068</v>
      </c>
      <c r="J46" s="80"/>
    </row>
    <row r="47" spans="1:10" ht="15.75" thickBot="1" x14ac:dyDescent="0.3">
      <c r="A47" s="79" t="s">
        <v>162</v>
      </c>
      <c r="B47" s="91">
        <f t="shared" ref="B47:I47" si="3">+B45-B46</f>
        <v>-792174.75888169068</v>
      </c>
      <c r="C47" s="91">
        <f t="shared" si="3"/>
        <v>978061.03251830977</v>
      </c>
      <c r="D47" s="91">
        <f t="shared" si="3"/>
        <v>1078409.862718309</v>
      </c>
      <c r="E47" s="96">
        <f t="shared" si="3"/>
        <v>977597.93317227694</v>
      </c>
      <c r="F47" s="97">
        <f t="shared" si="3"/>
        <v>1010467.420952148</v>
      </c>
      <c r="G47" s="97">
        <f t="shared" si="3"/>
        <v>1043933.6329658644</v>
      </c>
      <c r="H47" s="97">
        <f t="shared" si="3"/>
        <v>1111267.1508534115</v>
      </c>
      <c r="I47" s="98">
        <f t="shared" si="3"/>
        <v>1111459.807734269</v>
      </c>
      <c r="J47" s="80"/>
    </row>
    <row r="48" spans="1:10" x14ac:dyDescent="0.25">
      <c r="A48" s="79"/>
      <c r="B48" s="78"/>
      <c r="C48" s="87"/>
      <c r="D48" s="80"/>
      <c r="E48" s="80"/>
      <c r="F48" s="80"/>
      <c r="G48" s="72"/>
      <c r="H48" s="72"/>
      <c r="I48" s="71"/>
      <c r="J48" s="80"/>
    </row>
    <row r="49" spans="1:16" x14ac:dyDescent="0.25">
      <c r="A49" s="79"/>
      <c r="B49" s="78"/>
      <c r="C49" s="87"/>
      <c r="D49" s="80"/>
      <c r="E49" s="80"/>
      <c r="F49" s="80"/>
      <c r="G49" s="72"/>
      <c r="H49" s="72"/>
      <c r="I49" s="71"/>
      <c r="J49" s="80"/>
    </row>
    <row r="50" spans="1:16" x14ac:dyDescent="0.25">
      <c r="A50" s="79"/>
      <c r="B50" s="78"/>
      <c r="C50" s="87"/>
      <c r="D50" s="80"/>
      <c r="E50" s="80"/>
      <c r="F50" s="80"/>
      <c r="G50" s="72"/>
      <c r="H50" s="72"/>
      <c r="I50" s="71"/>
      <c r="J50" s="80"/>
    </row>
    <row r="51" spans="1:16" x14ac:dyDescent="0.25">
      <c r="A51" s="57"/>
      <c r="B51" s="99"/>
      <c r="C51" s="87"/>
      <c r="D51" s="80"/>
      <c r="E51" s="80"/>
      <c r="F51" s="100"/>
      <c r="G51" s="75"/>
      <c r="H51" s="75"/>
      <c r="I51" s="80"/>
      <c r="J51" s="80"/>
    </row>
    <row r="52" spans="1:16" ht="15.75" x14ac:dyDescent="0.25">
      <c r="A52" s="1054" t="s">
        <v>163</v>
      </c>
      <c r="B52" s="1055"/>
      <c r="C52" s="1055"/>
      <c r="D52" s="1055"/>
      <c r="E52" s="1055"/>
      <c r="F52" s="1055"/>
      <c r="G52" s="1055"/>
      <c r="H52" s="1055"/>
      <c r="I52" s="1055"/>
      <c r="J52" s="1055"/>
    </row>
    <row r="53" spans="1:16" x14ac:dyDescent="0.25">
      <c r="A53" s="51"/>
      <c r="B53" s="56"/>
      <c r="C53" s="56"/>
      <c r="D53" s="51"/>
      <c r="E53" s="51"/>
      <c r="F53" s="51"/>
      <c r="G53" s="51"/>
      <c r="H53" s="51"/>
      <c r="I53" s="51"/>
      <c r="J53" s="51"/>
    </row>
    <row r="54" spans="1:16" s="103" customFormat="1" x14ac:dyDescent="0.25">
      <c r="A54" s="101"/>
      <c r="B54" s="102" t="str">
        <f>+E37</f>
        <v>T12 2019</v>
      </c>
      <c r="C54" s="102" t="str">
        <f>+F37</f>
        <v>T12 2020</v>
      </c>
      <c r="D54" s="102" t="str">
        <f>+G37</f>
        <v>T12 2021</v>
      </c>
      <c r="E54" s="102" t="str">
        <f>+H37</f>
        <v>T12 2022</v>
      </c>
      <c r="F54" s="102" t="str">
        <f>+I37</f>
        <v>T12 2023</v>
      </c>
      <c r="G54" s="101"/>
      <c r="H54" s="101"/>
      <c r="I54" s="101"/>
      <c r="J54" s="101"/>
      <c r="M54"/>
      <c r="N54"/>
      <c r="O54"/>
      <c r="P54"/>
    </row>
    <row r="55" spans="1:16" s="103" customFormat="1" x14ac:dyDescent="0.25">
      <c r="A55" s="104" t="s">
        <v>78</v>
      </c>
      <c r="B55" s="105">
        <f>+E47</f>
        <v>977597.93317227694</v>
      </c>
      <c r="C55" s="105">
        <f>+F47</f>
        <v>1010467.420952148</v>
      </c>
      <c r="D55" s="105">
        <f>+G47</f>
        <v>1043933.6329658644</v>
      </c>
      <c r="E55" s="105">
        <f>+H47</f>
        <v>1111267.1508534115</v>
      </c>
      <c r="F55" s="105">
        <f>+I47</f>
        <v>1111459.807734269</v>
      </c>
      <c r="G55" s="101"/>
      <c r="H55" s="101"/>
      <c r="I55" s="101"/>
      <c r="J55" s="106"/>
    </row>
    <row r="56" spans="1:16" s="103" customFormat="1" x14ac:dyDescent="0.25">
      <c r="A56" s="101"/>
      <c r="B56" s="60"/>
      <c r="C56" s="101"/>
      <c r="D56" s="101"/>
      <c r="E56" s="101"/>
      <c r="F56" s="107"/>
      <c r="G56" s="108"/>
      <c r="H56" s="101"/>
      <c r="I56" s="101"/>
      <c r="J56" s="101"/>
    </row>
    <row r="57" spans="1:16" s="103" customFormat="1" x14ac:dyDescent="0.25">
      <c r="A57" s="104" t="s">
        <v>164</v>
      </c>
      <c r="B57" s="109">
        <f>+ProForma!S80</f>
        <v>93631.432565845302</v>
      </c>
      <c r="C57" s="110">
        <f>+ProForma!U80</f>
        <v>196485.56123942634</v>
      </c>
      <c r="D57" s="110">
        <f>+ProForma!W80</f>
        <v>206162.47513046814</v>
      </c>
      <c r="E57" s="110">
        <f>+ProForma!Y80</f>
        <v>216315.97703064364</v>
      </c>
      <c r="F57" s="110">
        <f>+ProForma!AA80</f>
        <v>226969.53889940283</v>
      </c>
      <c r="G57" s="101"/>
      <c r="H57" s="101"/>
      <c r="I57" s="101"/>
      <c r="J57" s="106"/>
    </row>
    <row r="58" spans="1:16" s="103" customFormat="1" x14ac:dyDescent="0.25">
      <c r="A58" s="111"/>
      <c r="B58" s="60"/>
      <c r="C58" s="60"/>
      <c r="D58" s="101"/>
      <c r="E58" s="101"/>
      <c r="F58" s="101"/>
      <c r="G58" s="101"/>
      <c r="H58" s="101"/>
      <c r="I58" s="101"/>
      <c r="J58" s="101"/>
    </row>
    <row r="59" spans="1:16" s="103" customFormat="1" x14ac:dyDescent="0.25">
      <c r="A59" s="104" t="s">
        <v>165</v>
      </c>
      <c r="B59" s="112">
        <f>+B55/$B$29</f>
        <v>0.1396503638291475</v>
      </c>
      <c r="C59" s="112">
        <f>+C55/$B$29</f>
        <v>0.14434578693877043</v>
      </c>
      <c r="D59" s="112">
        <f>+D55/$B$29</f>
        <v>0.14912645240983302</v>
      </c>
      <c r="E59" s="112">
        <f>+E55/$B$29</f>
        <v>0.15874507981463881</v>
      </c>
      <c r="F59" s="112">
        <f>+F55/$B$29</f>
        <v>0.15877260094842297</v>
      </c>
      <c r="G59" s="101"/>
      <c r="H59" s="101"/>
      <c r="I59" s="101"/>
      <c r="J59" s="101"/>
    </row>
    <row r="60" spans="1:16" s="103" customFormat="1" x14ac:dyDescent="0.25">
      <c r="A60" s="111"/>
      <c r="B60" s="60"/>
      <c r="C60" s="60"/>
      <c r="D60" s="51"/>
      <c r="E60" s="101"/>
      <c r="F60" s="101"/>
      <c r="G60" s="101"/>
      <c r="H60" s="101"/>
      <c r="I60" s="101"/>
      <c r="J60" s="101"/>
    </row>
    <row r="61" spans="1:16" s="103" customFormat="1" x14ac:dyDescent="0.25">
      <c r="A61" s="104" t="s">
        <v>166</v>
      </c>
      <c r="B61" s="113">
        <f>+(B55+B57)/$B$29</f>
        <v>0.15302566177114951</v>
      </c>
      <c r="C61" s="113">
        <f>+(C55+C57)/$B$29</f>
        <v>0.17241384967006165</v>
      </c>
      <c r="D61" s="113">
        <f>+(D55+D57)/$B$29</f>
        <v>0.17857686723064037</v>
      </c>
      <c r="E61" s="113">
        <f>+(E55+E57)/$B$29</f>
        <v>0.18964592756537094</v>
      </c>
      <c r="F61" s="113">
        <f>+(F55+F57)/$B$29</f>
        <v>0.19119531545087862</v>
      </c>
      <c r="G61" s="101"/>
      <c r="H61" s="101"/>
      <c r="I61" s="101"/>
      <c r="J61" s="106"/>
    </row>
    <row r="62" spans="1:16" s="103" customFormat="1" x14ac:dyDescent="0.25">
      <c r="A62" s="111"/>
      <c r="B62" s="60"/>
      <c r="C62" s="60"/>
      <c r="D62" s="101"/>
      <c r="E62" s="101"/>
      <c r="F62" s="101"/>
      <c r="G62" s="101"/>
      <c r="H62" s="101"/>
      <c r="I62" s="101"/>
      <c r="J62" s="101"/>
    </row>
    <row r="63" spans="1:16" s="103" customFormat="1" x14ac:dyDescent="0.25">
      <c r="A63" s="104" t="s">
        <v>167</v>
      </c>
      <c r="B63" s="114">
        <f>+B61</f>
        <v>0.15302566177114951</v>
      </c>
      <c r="C63" s="112">
        <f>+C61+B63</f>
        <v>0.32543951144121119</v>
      </c>
      <c r="D63" s="112">
        <f>+D61+C63</f>
        <v>0.50401637867185156</v>
      </c>
      <c r="E63" s="112">
        <f>+E61+D63</f>
        <v>0.69366230623722247</v>
      </c>
      <c r="F63" s="112">
        <f>+F61+E63</f>
        <v>0.88485762168810111</v>
      </c>
      <c r="G63" s="101"/>
      <c r="H63" s="101"/>
      <c r="I63" s="101"/>
      <c r="J63" s="106"/>
    </row>
    <row r="64" spans="1:16" s="103" customFormat="1" x14ac:dyDescent="0.25">
      <c r="A64" s="111"/>
      <c r="B64" s="60"/>
      <c r="C64" s="60"/>
      <c r="D64" s="101"/>
      <c r="E64" s="101"/>
      <c r="F64" s="101"/>
      <c r="G64" s="101"/>
      <c r="H64" s="101"/>
      <c r="I64" s="101"/>
      <c r="J64" s="101"/>
    </row>
    <row r="65" spans="1:16" s="103" customFormat="1" x14ac:dyDescent="0.25">
      <c r="A65" s="104" t="s">
        <v>168</v>
      </c>
      <c r="B65" s="60"/>
      <c r="C65" s="60"/>
      <c r="D65" s="101"/>
      <c r="E65" s="101"/>
      <c r="F65" s="115">
        <f>+Pricing!L69</f>
        <v>2444711.1324277073</v>
      </c>
      <c r="G65" s="101"/>
      <c r="H65" s="101"/>
      <c r="I65" s="101"/>
      <c r="J65" s="101"/>
    </row>
    <row r="66" spans="1:16" s="103" customFormat="1" x14ac:dyDescent="0.25">
      <c r="A66" s="104" t="s">
        <v>169</v>
      </c>
      <c r="B66" s="60"/>
      <c r="C66" s="60"/>
      <c r="D66" s="101"/>
      <c r="E66" s="101"/>
      <c r="F66" s="112">
        <f>F65/B29</f>
        <v>0.34922823332169683</v>
      </c>
      <c r="G66" s="101"/>
      <c r="H66" s="101"/>
      <c r="I66" s="101"/>
      <c r="J66" s="101"/>
    </row>
    <row r="67" spans="1:16" s="103" customFormat="1" ht="6" customHeight="1" x14ac:dyDescent="0.25">
      <c r="A67" s="104"/>
      <c r="B67" s="71"/>
      <c r="C67" s="60"/>
      <c r="D67" s="101"/>
      <c r="E67" s="101"/>
      <c r="F67" s="101"/>
      <c r="G67" s="101"/>
      <c r="H67" s="101"/>
      <c r="I67" s="101"/>
      <c r="J67" s="101"/>
    </row>
    <row r="68" spans="1:16" s="103" customFormat="1" ht="15.75" thickBot="1" x14ac:dyDescent="0.3">
      <c r="A68" s="116" t="s">
        <v>170</v>
      </c>
      <c r="B68" s="70"/>
      <c r="C68" s="59"/>
      <c r="D68" s="117"/>
      <c r="E68" s="117"/>
      <c r="F68" s="118">
        <f>+(F63+F66)/5</f>
        <v>0.2468171710019596</v>
      </c>
      <c r="G68" s="101"/>
      <c r="H68" s="101"/>
      <c r="I68" s="101"/>
      <c r="J68" s="101"/>
    </row>
    <row r="69" spans="1:16" ht="15.75" thickTop="1" x14ac:dyDescent="0.25">
      <c r="A69" s="51"/>
      <c r="B69" s="56"/>
      <c r="C69" s="56"/>
      <c r="D69" s="51"/>
      <c r="E69" s="51"/>
      <c r="F69" s="51"/>
      <c r="G69" s="51"/>
      <c r="H69" s="51"/>
      <c r="I69" s="51"/>
      <c r="J69" s="51"/>
      <c r="M69" s="103"/>
      <c r="N69" s="103"/>
      <c r="O69" s="103"/>
      <c r="P69" s="103"/>
    </row>
    <row r="70" spans="1:16" ht="15.75" x14ac:dyDescent="0.25">
      <c r="A70" s="1054" t="s">
        <v>116</v>
      </c>
      <c r="B70" s="1055"/>
      <c r="C70" s="1055"/>
      <c r="D70" s="1055"/>
      <c r="E70" s="1055"/>
      <c r="F70" s="1055"/>
      <c r="G70" s="1055"/>
      <c r="H70" s="1055"/>
      <c r="I70" s="1055"/>
      <c r="J70" s="1055"/>
    </row>
    <row r="71" spans="1:16" ht="6" customHeight="1" x14ac:dyDescent="0.25">
      <c r="B71" s="50"/>
      <c r="C71" s="50"/>
    </row>
    <row r="72" spans="1:16" x14ac:dyDescent="0.25">
      <c r="A72" s="51"/>
      <c r="B72" s="119" t="s">
        <v>36</v>
      </c>
      <c r="C72" s="120" t="s">
        <v>119</v>
      </c>
      <c r="D72" s="51"/>
    </row>
    <row r="73" spans="1:16" x14ac:dyDescent="0.25">
      <c r="A73" s="51" t="s">
        <v>60</v>
      </c>
      <c r="B73" s="52">
        <f>+Pricing!E6</f>
        <v>18000000</v>
      </c>
      <c r="C73" s="60">
        <f>+B73/'Key Data'!C$45</f>
        <v>144000</v>
      </c>
      <c r="D73" s="54"/>
      <c r="E73" s="121"/>
      <c r="G73" s="121"/>
      <c r="H73" s="121"/>
    </row>
    <row r="74" spans="1:16" ht="6" customHeight="1" x14ac:dyDescent="0.25">
      <c r="A74" s="104"/>
      <c r="B74" s="71"/>
      <c r="C74" s="60"/>
      <c r="D74" s="71"/>
      <c r="E74" s="71"/>
      <c r="F74" s="103"/>
      <c r="G74" s="71"/>
      <c r="H74" s="75"/>
    </row>
    <row r="75" spans="1:16" x14ac:dyDescent="0.25">
      <c r="A75" s="101" t="s">
        <v>171</v>
      </c>
      <c r="B75" s="60">
        <f>+(Pricing!O7+Pricing!O21+Pricing!O26)/3</f>
        <v>10237317.461416565</v>
      </c>
      <c r="C75" s="60">
        <f>+B75/'Key Data'!C$45</f>
        <v>81898.539691332524</v>
      </c>
      <c r="D75" s="101"/>
      <c r="E75" s="103"/>
      <c r="F75" s="103"/>
      <c r="G75" s="103"/>
    </row>
    <row r="76" spans="1:16" ht="6" customHeight="1" x14ac:dyDescent="0.25">
      <c r="A76" s="104"/>
      <c r="B76" s="112"/>
      <c r="C76" s="60"/>
      <c r="D76" s="101"/>
      <c r="E76" s="103"/>
      <c r="F76" s="103"/>
      <c r="G76" s="103"/>
    </row>
    <row r="77" spans="1:16" x14ac:dyDescent="0.25">
      <c r="A77" s="57" t="s">
        <v>172</v>
      </c>
      <c r="B77" s="122">
        <f>+Pricing!E17</f>
        <v>19282800</v>
      </c>
      <c r="C77" s="60">
        <f>+B77/'Key Data'!C$45</f>
        <v>154262.39999999999</v>
      </c>
      <c r="D77" s="101"/>
      <c r="E77" s="123"/>
      <c r="F77" s="103"/>
      <c r="G77" s="103"/>
    </row>
    <row r="78" spans="1:16" ht="6" customHeight="1" x14ac:dyDescent="0.25">
      <c r="A78" s="51"/>
      <c r="B78" s="56"/>
      <c r="C78" s="56"/>
      <c r="D78" s="51"/>
    </row>
    <row r="79" spans="1:16" x14ac:dyDescent="0.25">
      <c r="A79" s="104" t="s">
        <v>173</v>
      </c>
      <c r="B79" s="60">
        <f>+Pricing!L63</f>
        <v>22170929.726967048</v>
      </c>
      <c r="C79" s="60">
        <f>+B79/'Key Data'!C$45</f>
        <v>177367.4378157364</v>
      </c>
      <c r="D79" s="60"/>
      <c r="E79" s="123"/>
      <c r="F79" s="123"/>
      <c r="G79" s="123"/>
      <c r="H79" s="123"/>
      <c r="I79" s="123"/>
      <c r="J79" s="103"/>
      <c r="K79" s="103"/>
      <c r="L79" s="103"/>
    </row>
    <row r="80" spans="1:16" ht="6" customHeight="1" x14ac:dyDescent="0.25">
      <c r="A80" s="103"/>
      <c r="B80" s="123"/>
      <c r="C80" s="123"/>
      <c r="D80" s="123"/>
      <c r="E80" s="123"/>
      <c r="F80" s="123"/>
      <c r="G80" s="123"/>
      <c r="H80" s="123"/>
      <c r="I80" s="123"/>
      <c r="J80" s="103"/>
      <c r="K80" s="103"/>
      <c r="L80" s="103"/>
      <c r="M80" s="103"/>
    </row>
    <row r="81" spans="1:13" ht="15.75" x14ac:dyDescent="0.25">
      <c r="A81" s="1054" t="s">
        <v>323</v>
      </c>
      <c r="B81" s="1055"/>
      <c r="C81" s="1055"/>
      <c r="D81" s="1055"/>
      <c r="E81" s="1055"/>
      <c r="F81" s="1055"/>
      <c r="G81" s="1055"/>
      <c r="H81" s="1055"/>
      <c r="I81" s="1055"/>
      <c r="J81" s="1055"/>
      <c r="M81" s="103"/>
    </row>
    <row r="82" spans="1:13" ht="15.75" thickBot="1" x14ac:dyDescent="0.3">
      <c r="A82" s="101"/>
      <c r="B82" s="1053" t="s">
        <v>325</v>
      </c>
      <c r="C82" s="1053"/>
      <c r="D82" s="101"/>
      <c r="E82" s="101"/>
      <c r="F82" s="101"/>
      <c r="G82" s="101"/>
      <c r="H82" s="101"/>
      <c r="I82" s="101"/>
      <c r="J82" s="101"/>
      <c r="K82" s="103"/>
      <c r="L82" s="103"/>
    </row>
    <row r="83" spans="1:13" ht="31.5" customHeight="1" thickBot="1" x14ac:dyDescent="0.3">
      <c r="A83" s="101"/>
      <c r="B83" s="223" t="s">
        <v>317</v>
      </c>
      <c r="C83" s="223" t="s">
        <v>324</v>
      </c>
      <c r="D83" s="101"/>
      <c r="E83" s="101"/>
      <c r="F83" s="101"/>
      <c r="G83" s="324" t="s">
        <v>454</v>
      </c>
      <c r="H83" s="325"/>
      <c r="I83" s="325"/>
      <c r="J83" s="327"/>
      <c r="K83" s="103"/>
      <c r="L83" s="103"/>
      <c r="M83" s="103"/>
    </row>
    <row r="84" spans="1:13" x14ac:dyDescent="0.25">
      <c r="A84" s="111" t="s">
        <v>319</v>
      </c>
      <c r="B84" s="219"/>
      <c r="C84" s="94">
        <f>+B79</f>
        <v>22170929.726967048</v>
      </c>
      <c r="D84" s="101"/>
      <c r="E84" s="101"/>
      <c r="F84" s="101"/>
      <c r="G84" s="328"/>
      <c r="H84" s="326"/>
      <c r="I84" s="326"/>
      <c r="J84" s="329"/>
      <c r="K84" s="103"/>
      <c r="L84" s="103"/>
      <c r="M84" s="103"/>
    </row>
    <row r="85" spans="1:13" x14ac:dyDescent="0.25">
      <c r="A85" s="111" t="s">
        <v>321</v>
      </c>
      <c r="B85" s="219">
        <f>ProForma!W71/'Board Summary'!B101</f>
        <v>17486746.589024331</v>
      </c>
      <c r="C85" s="94"/>
      <c r="D85" s="101"/>
      <c r="E85" s="101"/>
      <c r="F85" s="101"/>
      <c r="G85" s="328"/>
      <c r="H85" s="326"/>
      <c r="I85" s="326"/>
      <c r="J85" s="330"/>
      <c r="K85" s="103"/>
      <c r="L85" s="103"/>
      <c r="M85" s="103"/>
    </row>
    <row r="86" spans="1:13" x14ac:dyDescent="0.25">
      <c r="A86" s="111" t="s">
        <v>214</v>
      </c>
      <c r="B86" s="94">
        <f>-B84*0.02</f>
        <v>0</v>
      </c>
      <c r="C86" s="94">
        <f>-C84*0.02</f>
        <v>-443418.59453934099</v>
      </c>
      <c r="D86" s="101"/>
      <c r="E86" s="101"/>
      <c r="F86" s="101"/>
      <c r="G86" s="328"/>
      <c r="H86" s="326"/>
      <c r="I86" s="326"/>
      <c r="J86" s="330"/>
      <c r="K86" s="103"/>
      <c r="L86" s="103"/>
      <c r="M86" s="103"/>
    </row>
    <row r="87" spans="1:13" x14ac:dyDescent="0.25">
      <c r="A87" s="101" t="s">
        <v>215</v>
      </c>
      <c r="B87" s="209"/>
      <c r="C87" s="94">
        <f>-C84*0.03</f>
        <v>-665127.89180901146</v>
      </c>
      <c r="D87" s="101"/>
      <c r="E87" s="101"/>
      <c r="F87" s="101"/>
      <c r="G87" s="328"/>
      <c r="H87" s="326"/>
      <c r="I87" s="326"/>
      <c r="J87" s="330"/>
      <c r="K87" s="103"/>
      <c r="L87" s="103"/>
      <c r="M87" s="103"/>
    </row>
    <row r="88" spans="1:13" x14ac:dyDescent="0.25">
      <c r="A88" s="101" t="s">
        <v>216</v>
      </c>
      <c r="B88" s="209"/>
      <c r="C88" s="94">
        <f>-C84*0.015</f>
        <v>-332563.94590450573</v>
      </c>
      <c r="D88" s="101"/>
      <c r="E88" s="101"/>
      <c r="F88" s="101"/>
      <c r="G88" s="328"/>
      <c r="H88" s="326"/>
      <c r="I88" s="326"/>
      <c r="J88" s="330"/>
      <c r="K88" s="103"/>
      <c r="L88" s="103"/>
      <c r="M88" s="103"/>
    </row>
    <row r="89" spans="1:13" x14ac:dyDescent="0.25">
      <c r="A89" s="124" t="s">
        <v>217</v>
      </c>
      <c r="B89" s="94">
        <f>-B85*0.0125</f>
        <v>-218584.33236280415</v>
      </c>
      <c r="C89" s="94">
        <f>-C84*0.005</f>
        <v>-110854.64863483525</v>
      </c>
      <c r="D89" s="101"/>
      <c r="E89" s="101"/>
      <c r="F89" s="101"/>
      <c r="G89" s="328"/>
      <c r="H89" s="326"/>
      <c r="I89" s="326"/>
      <c r="J89" s="330"/>
      <c r="K89" s="103"/>
      <c r="L89" s="103"/>
      <c r="M89" s="103"/>
    </row>
    <row r="90" spans="1:13" x14ac:dyDescent="0.25">
      <c r="A90" s="124" t="s">
        <v>223</v>
      </c>
      <c r="B90" s="209">
        <f>C90</f>
        <v>-12282475</v>
      </c>
      <c r="C90" s="94">
        <f>-Pricing!E35</f>
        <v>-12282475</v>
      </c>
      <c r="D90" s="101"/>
      <c r="E90" s="101"/>
      <c r="F90" s="101"/>
      <c r="G90" s="328"/>
      <c r="H90" s="326"/>
      <c r="I90" s="326"/>
      <c r="J90" s="329"/>
      <c r="K90" s="103"/>
      <c r="L90" s="103"/>
      <c r="M90" s="103"/>
    </row>
    <row r="91" spans="1:13" x14ac:dyDescent="0.25">
      <c r="A91" s="124" t="s">
        <v>225</v>
      </c>
      <c r="B91" s="209">
        <f>C91</f>
        <v>0</v>
      </c>
      <c r="C91" s="94">
        <f>-Pricing!E41</f>
        <v>0</v>
      </c>
      <c r="D91" s="101"/>
      <c r="E91" s="101"/>
      <c r="F91" s="101"/>
      <c r="G91" s="328"/>
      <c r="H91" s="326"/>
      <c r="I91" s="326"/>
      <c r="J91" s="330"/>
      <c r="K91" s="103"/>
      <c r="L91" s="103"/>
      <c r="M91" s="103"/>
    </row>
    <row r="92" spans="1:13" x14ac:dyDescent="0.25">
      <c r="A92" s="124" t="s">
        <v>224</v>
      </c>
      <c r="B92" s="209">
        <f>Pricing!H67</f>
        <v>496279.46893573977</v>
      </c>
      <c r="C92" s="89">
        <f>Pricing!L67</f>
        <v>939564.98486578627</v>
      </c>
      <c r="D92" s="101"/>
      <c r="E92" s="101"/>
      <c r="F92" s="101"/>
      <c r="G92" s="328"/>
      <c r="H92" s="326"/>
      <c r="I92" s="326"/>
      <c r="J92" s="330"/>
      <c r="K92" s="103"/>
      <c r="L92" s="103"/>
      <c r="M92" s="103"/>
    </row>
    <row r="93" spans="1:13" x14ac:dyDescent="0.25">
      <c r="A93" s="124"/>
      <c r="B93" s="75"/>
      <c r="C93" s="101"/>
      <c r="D93" s="101"/>
      <c r="E93" s="101"/>
      <c r="F93" s="101"/>
      <c r="G93" s="328"/>
      <c r="H93" s="326"/>
      <c r="I93" s="326"/>
      <c r="J93" s="330"/>
      <c r="K93" s="103"/>
      <c r="L93" s="103"/>
      <c r="M93" s="103"/>
    </row>
    <row r="94" spans="1:13" ht="15.75" thickBot="1" x14ac:dyDescent="0.3">
      <c r="A94" s="220" t="s">
        <v>218</v>
      </c>
      <c r="B94" s="221">
        <f>SUM(B84:B93)</f>
        <v>5481966.725597267</v>
      </c>
      <c r="C94" s="222">
        <f>SUM(C84:C93)</f>
        <v>9276054.6309451405</v>
      </c>
      <c r="D94" s="101"/>
      <c r="E94" s="101"/>
      <c r="F94" s="107"/>
      <c r="G94" s="331"/>
      <c r="H94" s="271"/>
      <c r="I94" s="271"/>
      <c r="J94" s="332"/>
      <c r="K94" s="103"/>
      <c r="L94" s="103"/>
      <c r="M94" s="103"/>
    </row>
    <row r="95" spans="1:13" ht="15.75" thickTop="1" x14ac:dyDescent="0.25">
      <c r="A95" s="104"/>
      <c r="B95" s="71"/>
      <c r="C95" s="101"/>
      <c r="D95" s="101"/>
      <c r="E95" s="101"/>
      <c r="F95" s="101"/>
      <c r="G95" s="334"/>
      <c r="H95" s="333"/>
      <c r="I95" s="333"/>
      <c r="J95" s="335"/>
      <c r="K95" s="103"/>
      <c r="L95" s="103"/>
      <c r="M95" s="103"/>
    </row>
    <row r="96" spans="1:13" x14ac:dyDescent="0.25">
      <c r="A96" s="124" t="s">
        <v>107</v>
      </c>
      <c r="B96" s="6">
        <f>C96</f>
        <v>7000325</v>
      </c>
      <c r="C96" s="171">
        <f>+Pricing!E43</f>
        <v>7000325</v>
      </c>
      <c r="D96" s="103"/>
      <c r="E96" s="103"/>
      <c r="F96" s="103"/>
      <c r="G96" s="331"/>
      <c r="H96" s="271"/>
      <c r="I96" s="271"/>
      <c r="J96" s="336"/>
      <c r="K96" s="103"/>
      <c r="L96" s="103"/>
      <c r="M96" s="103"/>
    </row>
    <row r="97" spans="1:13" ht="15.75" thickBot="1" x14ac:dyDescent="0.3">
      <c r="A97" s="104"/>
      <c r="C97" s="125"/>
      <c r="D97" s="125"/>
      <c r="E97" s="125"/>
      <c r="F97" s="125"/>
      <c r="G97" s="337"/>
      <c r="H97" s="338"/>
      <c r="I97" s="338"/>
      <c r="J97" s="339"/>
      <c r="K97" s="103"/>
      <c r="L97" s="103"/>
      <c r="M97" s="103"/>
    </row>
    <row r="98" spans="1:13" x14ac:dyDescent="0.25">
      <c r="A98" s="103" t="s">
        <v>322</v>
      </c>
      <c r="B98" s="123">
        <f>+B94-B96</f>
        <v>-1518358.274402733</v>
      </c>
      <c r="C98" s="123">
        <f>+C94-C96</f>
        <v>2275729.6309451405</v>
      </c>
      <c r="D98" s="123"/>
      <c r="E98" s="123"/>
      <c r="F98" s="103"/>
      <c r="G98" s="123"/>
      <c r="H98" s="103"/>
      <c r="I98" s="123"/>
      <c r="J98" s="103"/>
      <c r="K98" s="103"/>
      <c r="L98" s="103"/>
      <c r="M98" s="103"/>
    </row>
    <row r="99" spans="1:13" x14ac:dyDescent="0.25">
      <c r="A99" s="111" t="s">
        <v>318</v>
      </c>
      <c r="B99" s="181">
        <f>+B98/B96</f>
        <v>-0.21689825463856791</v>
      </c>
      <c r="C99" s="181">
        <f>+C98/C96</f>
        <v>0.32508913956782587</v>
      </c>
      <c r="D99" s="123"/>
      <c r="E99" s="123"/>
      <c r="F99" s="103"/>
      <c r="G99" s="123"/>
      <c r="H99" s="103"/>
      <c r="I99" s="123"/>
      <c r="J99" s="103"/>
      <c r="K99" s="103"/>
      <c r="L99" s="103"/>
      <c r="M99" s="103"/>
    </row>
    <row r="100" spans="1:13" x14ac:dyDescent="0.25">
      <c r="A100" s="111"/>
      <c r="B100" s="123"/>
      <c r="C100" s="123"/>
      <c r="D100" s="123"/>
      <c r="E100" s="123"/>
      <c r="F100" s="103"/>
      <c r="G100" s="123"/>
      <c r="H100" s="103"/>
      <c r="I100" s="123"/>
      <c r="J100" s="103"/>
      <c r="K100" s="103"/>
      <c r="L100" s="103"/>
      <c r="M100" s="103"/>
    </row>
    <row r="101" spans="1:13" x14ac:dyDescent="0.25">
      <c r="A101" s="172" t="s">
        <v>320</v>
      </c>
      <c r="B101" s="428">
        <v>0.105</v>
      </c>
      <c r="C101" s="103"/>
      <c r="D101" s="123"/>
      <c r="E101" s="123"/>
      <c r="F101" s="103"/>
      <c r="G101" s="123"/>
      <c r="H101" s="103"/>
      <c r="I101" s="123"/>
      <c r="J101" s="103"/>
      <c r="K101" s="103"/>
      <c r="L101" s="103"/>
      <c r="M101" s="103"/>
    </row>
    <row r="102" spans="1:13" x14ac:dyDescent="0.25">
      <c r="A102" s="111"/>
      <c r="B102" s="185"/>
      <c r="C102" s="103"/>
      <c r="D102" s="123"/>
      <c r="E102" s="123"/>
      <c r="F102" s="103"/>
      <c r="G102" s="123"/>
      <c r="H102" s="104"/>
      <c r="I102" s="123"/>
      <c r="J102" s="103"/>
      <c r="K102" s="103"/>
      <c r="L102" s="103"/>
      <c r="M102" s="103"/>
    </row>
    <row r="103" spans="1:13" x14ac:dyDescent="0.25">
      <c r="A103" s="172"/>
      <c r="B103" s="183"/>
      <c r="C103" s="103"/>
      <c r="D103" s="103"/>
      <c r="E103" s="103"/>
      <c r="F103" s="103"/>
      <c r="G103" s="103"/>
      <c r="H103" s="126"/>
      <c r="I103" s="103"/>
      <c r="J103" s="103"/>
      <c r="K103" s="103"/>
      <c r="L103" s="103"/>
      <c r="M103" s="103"/>
    </row>
    <row r="104" spans="1:13" x14ac:dyDescent="0.25">
      <c r="A104" s="104"/>
      <c r="B104" s="127"/>
      <c r="C104" s="103"/>
      <c r="D104" s="127"/>
      <c r="E104" s="127"/>
      <c r="F104" s="103"/>
      <c r="G104" s="127"/>
      <c r="H104" s="123"/>
      <c r="I104" s="127"/>
      <c r="J104" s="103"/>
      <c r="K104" s="103"/>
      <c r="L104" s="103"/>
      <c r="M104" s="103"/>
    </row>
    <row r="105" spans="1:13" x14ac:dyDescent="0.25">
      <c r="C105" s="103"/>
      <c r="D105" s="103"/>
      <c r="E105" s="103"/>
      <c r="F105" s="103"/>
      <c r="G105" s="103"/>
      <c r="H105" s="123"/>
      <c r="I105" s="103"/>
      <c r="J105" s="103"/>
      <c r="K105" s="103"/>
      <c r="L105" s="103"/>
      <c r="M105" s="103"/>
    </row>
    <row r="106" spans="1:13" x14ac:dyDescent="0.25">
      <c r="A106" s="104"/>
      <c r="B106" s="103"/>
      <c r="C106" s="103"/>
      <c r="D106" s="103"/>
      <c r="E106" s="103"/>
      <c r="F106" s="128"/>
      <c r="G106" s="129"/>
      <c r="H106" s="123"/>
      <c r="I106" s="103"/>
      <c r="J106" s="103"/>
      <c r="K106" s="103"/>
      <c r="L106" s="103"/>
      <c r="M106" s="103"/>
    </row>
    <row r="107" spans="1:13" x14ac:dyDescent="0.25">
      <c r="A107" s="103"/>
      <c r="B107" s="123"/>
      <c r="C107" s="123"/>
      <c r="D107" s="123"/>
      <c r="E107" s="123"/>
      <c r="F107" s="123"/>
      <c r="G107" s="123"/>
      <c r="H107" s="123"/>
      <c r="I107" s="123"/>
      <c r="J107" s="103"/>
      <c r="K107" s="103"/>
      <c r="L107" s="103"/>
      <c r="M107" s="103"/>
    </row>
    <row r="108" spans="1:13" x14ac:dyDescent="0.25">
      <c r="A108" s="104"/>
      <c r="B108" s="127"/>
      <c r="C108" s="103"/>
      <c r="D108" s="127"/>
      <c r="E108" s="127"/>
      <c r="F108" s="103"/>
      <c r="G108" s="127"/>
      <c r="H108" s="123"/>
      <c r="I108" s="127"/>
      <c r="J108" s="103"/>
      <c r="K108" s="103"/>
      <c r="L108" s="103"/>
      <c r="M108" s="103"/>
    </row>
    <row r="109" spans="1:13" x14ac:dyDescent="0.25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1:13" x14ac:dyDescent="0.25">
      <c r="M110" s="103"/>
    </row>
  </sheetData>
  <customSheetViews>
    <customSheetView guid="{BBA80CC4-398C-41FE-99C8-A75F96D5CA58}" scale="90" fitToPage="1">
      <selection activeCell="I20" sqref="I20"/>
      <pageMargins left="0.7" right="0.7" top="0.75" bottom="0.75" header="0.3" footer="0.3"/>
      <pageSetup scale="49" orientation="portrait"/>
    </customSheetView>
    <customSheetView guid="{03C358DA-88A4-4E12-84B7-BB4E50E89831}" scale="90" fitToPage="1">
      <selection activeCell="I20" sqref="I20"/>
      <pageMargins left="0.7" right="0.7" top="0.75" bottom="0.75" header="0.3" footer="0.3"/>
      <pageSetup scale="49" orientation="portrait"/>
    </customSheetView>
  </customSheetViews>
  <mergeCells count="13">
    <mergeCell ref="B3:E3"/>
    <mergeCell ref="A5:J5"/>
    <mergeCell ref="D22:F22"/>
    <mergeCell ref="C27:E27"/>
    <mergeCell ref="C29:E29"/>
    <mergeCell ref="B36:D36"/>
    <mergeCell ref="E36:I36"/>
    <mergeCell ref="D14:F14"/>
    <mergeCell ref="B82:C82"/>
    <mergeCell ref="A52:J52"/>
    <mergeCell ref="A70:J70"/>
    <mergeCell ref="A81:J81"/>
    <mergeCell ref="A34:J34"/>
  </mergeCells>
  <conditionalFormatting sqref="P3:P10">
    <cfRule type="containsText" dxfId="66" priority="1" operator="containsText" text="Incomplete">
      <formula>NOT(ISERROR(SEARCH("Incomplete",P3)))</formula>
    </cfRule>
    <cfRule type="containsText" dxfId="65" priority="2" operator="containsText" text="Complete">
      <formula>NOT(ISERROR(SEARCH("Complete",P3)))</formula>
    </cfRule>
  </conditionalFormatting>
  <pageMargins left="0.46" right="0.43" top="0.48" bottom="0.51" header="0.3" footer="0.3"/>
  <pageSetup scale="49" orientation="portrait"/>
  <ignoredErrors>
    <ignoredError sqref="C73 C75 C77 C79" evalErro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14999847407452621"/>
  </sheetPr>
  <dimension ref="A1"/>
  <sheetViews>
    <sheetView workbookViewId="0"/>
  </sheetViews>
  <sheetFormatPr defaultColWidth="8.7109375" defaultRowHeight="15" x14ac:dyDescent="0.25"/>
  <sheetData/>
  <customSheetViews>
    <customSheetView guid="{BBA80CC4-398C-41FE-99C8-A75F96D5CA58}">
      <pageMargins left="0.7" right="0.7" top="0.75" bottom="0.75" header="0.3" footer="0.3"/>
      <pageSetup scale="40" orientation="portrait" horizontalDpi="1200" verticalDpi="1200"/>
    </customSheetView>
    <customSheetView guid="{03C358DA-88A4-4E12-84B7-BB4E50E89831}">
      <pageMargins left="0.7" right="0.7" top="0.75" bottom="0.75" header="0.3" footer="0.3"/>
      <pageSetup scale="40" orientation="portrait" horizontalDpi="1200" verticalDpi="1200"/>
    </customSheetView>
  </customSheetViews>
  <pageMargins left="0.7" right="0.7" top="0.75" bottom="0.75" header="0.3" footer="0.3"/>
  <pageSetup scale="40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14999847407452621"/>
  </sheetPr>
  <dimension ref="A1:A2"/>
  <sheetViews>
    <sheetView workbookViewId="0"/>
  </sheetViews>
  <sheetFormatPr defaultColWidth="11.28515625" defaultRowHeight="15" x14ac:dyDescent="0.25"/>
  <sheetData>
    <row r="1" spans="1:1" x14ac:dyDescent="0.25">
      <c r="A1" s="445" t="s">
        <v>476</v>
      </c>
    </row>
    <row r="2" spans="1:1" x14ac:dyDescent="0.25">
      <c r="A2" s="444" t="s">
        <v>475</v>
      </c>
    </row>
  </sheetData>
  <customSheetViews>
    <customSheetView guid="{BBA80CC4-398C-41FE-99C8-A75F96D5CA58}">
      <pageMargins left="0.7" right="0.7" top="0.75" bottom="0.75" header="0.3" footer="0.3"/>
      <pageSetup orientation="portrait"/>
    </customSheetView>
    <customSheetView guid="{03C358DA-88A4-4E12-84B7-BB4E50E89831}">
      <pageMargins left="0.7" right="0.7" top="0.75" bottom="0.75" header="0.3" footer="0.3"/>
      <pageSetup orientation="portrait"/>
    </customSheetView>
  </customSheetView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14999847407452621"/>
    <pageSetUpPr fitToPage="1"/>
  </sheetPr>
  <dimension ref="A1:H49"/>
  <sheetViews>
    <sheetView workbookViewId="0">
      <selection activeCell="A2" sqref="A2"/>
    </sheetView>
  </sheetViews>
  <sheetFormatPr defaultColWidth="8.7109375" defaultRowHeight="15" x14ac:dyDescent="0.25"/>
  <cols>
    <col min="1" max="1" width="16.28515625" customWidth="1"/>
    <col min="3" max="3" width="16.140625" bestFit="1" customWidth="1"/>
    <col min="4" max="5" width="10.28515625" bestFit="1" customWidth="1"/>
    <col min="6" max="6" width="15.7109375" customWidth="1"/>
    <col min="7" max="7" width="13.28515625" bestFit="1" customWidth="1"/>
    <col min="8" max="8" width="10.28515625" bestFit="1" customWidth="1"/>
  </cols>
  <sheetData>
    <row r="1" spans="1:8" ht="23.25" x14ac:dyDescent="0.35">
      <c r="A1" s="130" t="str">
        <f>+'Data Entry'!C6</f>
        <v>LF III</v>
      </c>
    </row>
    <row r="2" spans="1:8" x14ac:dyDescent="0.25">
      <c r="A2" s="513" t="s">
        <v>54</v>
      </c>
    </row>
    <row r="3" spans="1:8" ht="18.75" x14ac:dyDescent="0.3">
      <c r="A3" s="48" t="s">
        <v>174</v>
      </c>
    </row>
    <row r="4" spans="1:8" ht="18.75" x14ac:dyDescent="0.3">
      <c r="A4" s="1310" t="str">
        <f>+'Board Summary'!B3</f>
        <v>Hampton Inn &amp; Suites Wichita Airport</v>
      </c>
      <c r="B4" s="1310"/>
    </row>
    <row r="6" spans="1:8" x14ac:dyDescent="0.25">
      <c r="D6" s="131" t="s">
        <v>151</v>
      </c>
      <c r="E6" s="131" t="s">
        <v>152</v>
      </c>
      <c r="F6" s="131" t="s">
        <v>153</v>
      </c>
      <c r="G6" s="131" t="s">
        <v>154</v>
      </c>
      <c r="H6" s="131" t="s">
        <v>175</v>
      </c>
    </row>
    <row r="7" spans="1:8" ht="5.25" customHeight="1" x14ac:dyDescent="0.25"/>
    <row r="8" spans="1:8" ht="5.25" customHeight="1" x14ac:dyDescent="0.25">
      <c r="A8" s="132"/>
      <c r="D8" s="133"/>
      <c r="E8" s="133"/>
      <c r="F8" s="133"/>
      <c r="G8" s="133"/>
      <c r="H8" s="133"/>
    </row>
    <row r="9" spans="1:8" ht="5.25" customHeight="1" x14ac:dyDescent="0.25">
      <c r="A9" s="57"/>
      <c r="D9" s="134"/>
      <c r="E9" s="134"/>
      <c r="F9" s="134"/>
      <c r="G9" s="134"/>
      <c r="H9" s="134"/>
    </row>
    <row r="10" spans="1:8" x14ac:dyDescent="0.25">
      <c r="A10" s="135" t="s">
        <v>176</v>
      </c>
      <c r="B10" s="136"/>
      <c r="C10" s="136"/>
      <c r="D10" s="137">
        <f>+ProForma!S71</f>
        <v>1769772.6920539676</v>
      </c>
      <c r="E10" s="137">
        <f>+ProForma!U71</f>
        <v>1802642.1798338387</v>
      </c>
      <c r="F10" s="137">
        <f>+ProForma!W71</f>
        <v>1836108.3918475548</v>
      </c>
      <c r="G10" s="137">
        <f>+ProForma!Y71</f>
        <v>1870181.4595302851</v>
      </c>
      <c r="H10" s="137">
        <f>+ProForma!AA71</f>
        <v>1884529.0267921994</v>
      </c>
    </row>
    <row r="11" spans="1:8" ht="3.75" customHeight="1" x14ac:dyDescent="0.25">
      <c r="A11" s="57"/>
      <c r="B11" s="57"/>
      <c r="C11" s="57"/>
      <c r="D11" s="138"/>
      <c r="E11" s="138"/>
      <c r="F11" s="138"/>
      <c r="G11" s="138"/>
      <c r="H11" s="138"/>
    </row>
    <row r="12" spans="1:8" ht="3.75" customHeight="1" x14ac:dyDescent="0.25">
      <c r="A12" s="57"/>
    </row>
    <row r="13" spans="1:8" ht="3.75" customHeight="1" x14ac:dyDescent="0.25">
      <c r="A13" s="57"/>
    </row>
    <row r="14" spans="1:8" x14ac:dyDescent="0.25">
      <c r="A14" s="57" t="s">
        <v>177</v>
      </c>
      <c r="C14" s="139">
        <v>0.6</v>
      </c>
      <c r="D14" s="140">
        <v>5.2499999999999998E-2</v>
      </c>
      <c r="E14" s="141">
        <f>+C14*D14</f>
        <v>3.15E-2</v>
      </c>
    </row>
    <row r="15" spans="1:8" x14ac:dyDescent="0.25">
      <c r="A15" s="57" t="s">
        <v>178</v>
      </c>
      <c r="C15" s="139">
        <f>1-C14</f>
        <v>0.4</v>
      </c>
      <c r="D15" s="140">
        <v>0.185</v>
      </c>
      <c r="E15" s="141">
        <f>+C15*D15</f>
        <v>7.3999999999999996E-2</v>
      </c>
    </row>
    <row r="16" spans="1:8" x14ac:dyDescent="0.25">
      <c r="A16" s="57"/>
      <c r="D16" s="134"/>
      <c r="E16" s="141"/>
    </row>
    <row r="17" spans="1:8" x14ac:dyDescent="0.25">
      <c r="A17" s="136" t="s">
        <v>179</v>
      </c>
      <c r="B17" s="43"/>
      <c r="C17" s="43"/>
      <c r="D17" s="43"/>
      <c r="E17" s="142">
        <f>SUM(E14:E16)</f>
        <v>0.1055</v>
      </c>
    </row>
    <row r="18" spans="1:8" ht="7.5" customHeight="1" x14ac:dyDescent="0.25">
      <c r="A18" s="57"/>
      <c r="D18" s="143"/>
    </row>
    <row r="19" spans="1:8" ht="7.5" customHeight="1" x14ac:dyDescent="0.25">
      <c r="A19" s="57"/>
    </row>
    <row r="20" spans="1:8" x14ac:dyDescent="0.25">
      <c r="B20" s="144" t="s">
        <v>180</v>
      </c>
      <c r="C20" s="104" t="s">
        <v>181</v>
      </c>
      <c r="D20" s="89"/>
      <c r="E20" s="104" t="s">
        <v>182</v>
      </c>
      <c r="F20" s="104"/>
      <c r="G20" s="104" t="s">
        <v>183</v>
      </c>
    </row>
    <row r="21" spans="1:8" ht="15.75" thickBot="1" x14ac:dyDescent="0.3">
      <c r="A21" s="145"/>
      <c r="B21" s="145"/>
      <c r="C21" s="145" t="s">
        <v>184</v>
      </c>
      <c r="D21" s="145"/>
      <c r="E21" s="145" t="s">
        <v>185</v>
      </c>
      <c r="F21" s="145"/>
      <c r="G21" s="145" t="s">
        <v>186</v>
      </c>
    </row>
    <row r="22" spans="1:8" x14ac:dyDescent="0.25">
      <c r="A22" s="57"/>
    </row>
    <row r="23" spans="1:8" x14ac:dyDescent="0.25">
      <c r="A23" s="57"/>
      <c r="B23">
        <v>1</v>
      </c>
      <c r="C23" s="28">
        <f>+D10</f>
        <v>1769772.6920539676</v>
      </c>
      <c r="D23" s="146" t="s">
        <v>187</v>
      </c>
      <c r="E23" s="141">
        <f>PV(E$17,B23,,-1)</f>
        <v>0.90456806874717333</v>
      </c>
      <c r="F23" s="146" t="s">
        <v>188</v>
      </c>
      <c r="G23" s="134">
        <f>+C23*E23</f>
        <v>1600879.8661727435</v>
      </c>
    </row>
    <row r="24" spans="1:8" x14ac:dyDescent="0.25">
      <c r="A24" s="57"/>
      <c r="B24">
        <v>2</v>
      </c>
      <c r="C24" s="28">
        <f>+E10</f>
        <v>1802642.1798338387</v>
      </c>
      <c r="D24" s="146" t="s">
        <v>187</v>
      </c>
      <c r="E24" s="141">
        <f>PV(E$17,B24,,-1)</f>
        <v>0.81824339099699084</v>
      </c>
      <c r="F24" s="146" t="s">
        <v>188</v>
      </c>
      <c r="G24" s="134">
        <f>+C24*E24</f>
        <v>1475000.0499814476</v>
      </c>
    </row>
    <row r="25" spans="1:8" x14ac:dyDescent="0.25">
      <c r="A25" s="57"/>
      <c r="B25">
        <v>3</v>
      </c>
      <c r="C25" s="28">
        <f>+F10</f>
        <v>1836108.3918475548</v>
      </c>
      <c r="D25" s="146" t="s">
        <v>187</v>
      </c>
      <c r="E25" s="141">
        <f>PV(E$17,B25,,-1)</f>
        <v>0.74015684395928616</v>
      </c>
      <c r="F25" s="146" t="s">
        <v>188</v>
      </c>
      <c r="G25" s="134">
        <f>+C25*E25</f>
        <v>1359008.1924770465</v>
      </c>
    </row>
    <row r="26" spans="1:8" x14ac:dyDescent="0.25">
      <c r="A26" s="57"/>
      <c r="B26">
        <v>4</v>
      </c>
      <c r="C26" s="28">
        <f>+G10</f>
        <v>1870181.4595302851</v>
      </c>
      <c r="D26" s="146" t="s">
        <v>187</v>
      </c>
      <c r="E26" s="141">
        <f>PV(E$17,B26,,-1)</f>
        <v>0.66952224691025441</v>
      </c>
      <c r="F26" s="146" t="s">
        <v>188</v>
      </c>
      <c r="G26" s="134">
        <f>+C26*E26</f>
        <v>1252128.0929146155</v>
      </c>
    </row>
    <row r="27" spans="1:8" x14ac:dyDescent="0.25">
      <c r="A27" s="57"/>
      <c r="B27">
        <v>5</v>
      </c>
      <c r="C27" s="28">
        <f>+H10</f>
        <v>1884529.0267921994</v>
      </c>
      <c r="D27" s="146" t="s">
        <v>187</v>
      </c>
      <c r="E27" s="141">
        <f>PV(E$17,B27,,-1)</f>
        <v>0.60562844587087694</v>
      </c>
      <c r="F27" s="146" t="s">
        <v>188</v>
      </c>
      <c r="G27" s="134">
        <f>+C27*E27</f>
        <v>1141324.3856947159</v>
      </c>
    </row>
    <row r="28" spans="1:8" x14ac:dyDescent="0.25">
      <c r="A28" s="57"/>
      <c r="G28" s="134"/>
    </row>
    <row r="29" spans="1:8" x14ac:dyDescent="0.25">
      <c r="A29" s="147" t="s">
        <v>189</v>
      </c>
      <c r="B29" s="148"/>
      <c r="C29" s="148"/>
      <c r="D29" s="148"/>
      <c r="E29" s="148"/>
      <c r="F29" s="148"/>
      <c r="G29" s="149">
        <f>SUM(G23:G28)</f>
        <v>6828340.5872405693</v>
      </c>
      <c r="H29" s="148"/>
    </row>
    <row r="30" spans="1:8" ht="6.75" customHeight="1" x14ac:dyDescent="0.25">
      <c r="A30" s="57"/>
      <c r="G30" s="134"/>
    </row>
    <row r="31" spans="1:8" x14ac:dyDescent="0.25">
      <c r="A31" s="57" t="s">
        <v>190</v>
      </c>
      <c r="G31" s="134">
        <f>H10</f>
        <v>1884529.0267921994</v>
      </c>
    </row>
    <row r="32" spans="1:8" ht="6.75" customHeight="1" x14ac:dyDescent="0.25">
      <c r="A32" s="57"/>
    </row>
    <row r="33" spans="1:8" x14ac:dyDescent="0.25">
      <c r="A33" s="57" t="s">
        <v>191</v>
      </c>
      <c r="G33" s="121">
        <v>0.09</v>
      </c>
    </row>
    <row r="34" spans="1:8" ht="6.75" customHeight="1" x14ac:dyDescent="0.25">
      <c r="A34" s="57"/>
    </row>
    <row r="35" spans="1:8" x14ac:dyDescent="0.25">
      <c r="A35" s="57" t="s">
        <v>192</v>
      </c>
      <c r="G35" s="134">
        <f>+G31/G33</f>
        <v>20939211.408802215</v>
      </c>
    </row>
    <row r="36" spans="1:8" ht="6.75" customHeight="1" x14ac:dyDescent="0.25">
      <c r="A36" s="57"/>
      <c r="G36" s="134"/>
    </row>
    <row r="37" spans="1:8" x14ac:dyDescent="0.25">
      <c r="A37" s="57" t="s">
        <v>193</v>
      </c>
      <c r="C37" s="139">
        <v>0.02</v>
      </c>
      <c r="G37" s="134">
        <f>+G35*C37</f>
        <v>418784.2281760443</v>
      </c>
    </row>
    <row r="38" spans="1:8" ht="6.75" customHeight="1" x14ac:dyDescent="0.25">
      <c r="A38" s="57"/>
      <c r="G38" s="134"/>
    </row>
    <row r="39" spans="1:8" x14ac:dyDescent="0.25">
      <c r="A39" s="57" t="s">
        <v>194</v>
      </c>
      <c r="G39" s="134">
        <f>+G35-G37</f>
        <v>20520427.180626169</v>
      </c>
    </row>
    <row r="40" spans="1:8" ht="5.25" customHeight="1" x14ac:dyDescent="0.25">
      <c r="A40" s="57"/>
      <c r="G40" s="6"/>
    </row>
    <row r="41" spans="1:8" x14ac:dyDescent="0.25">
      <c r="A41" s="57" t="s">
        <v>195</v>
      </c>
      <c r="G41" s="121">
        <f>+E27</f>
        <v>0.60562844587087694</v>
      </c>
    </row>
    <row r="42" spans="1:8" ht="5.25" customHeight="1" x14ac:dyDescent="0.25">
      <c r="A42" s="57"/>
      <c r="G42" s="6"/>
    </row>
    <row r="43" spans="1:8" x14ac:dyDescent="0.25">
      <c r="A43" s="147" t="s">
        <v>196</v>
      </c>
      <c r="B43" s="148"/>
      <c r="C43" s="148"/>
      <c r="D43" s="148"/>
      <c r="E43" s="148"/>
      <c r="F43" s="148"/>
      <c r="G43" s="149">
        <f>+G39*G41</f>
        <v>12427754.422009127</v>
      </c>
      <c r="H43" s="148"/>
    </row>
    <row r="44" spans="1:8" ht="5.25" customHeight="1" x14ac:dyDescent="0.25">
      <c r="G44" s="134"/>
    </row>
    <row r="45" spans="1:8" ht="15.75" thickBot="1" x14ac:dyDescent="0.3">
      <c r="A45" s="147" t="s">
        <v>586</v>
      </c>
      <c r="B45" s="148"/>
      <c r="C45" s="148"/>
      <c r="D45" s="148"/>
      <c r="E45" s="148"/>
      <c r="F45" s="148"/>
      <c r="G45" s="150">
        <f>+G43+G29</f>
        <v>19256095.009249695</v>
      </c>
      <c r="H45" s="148"/>
    </row>
    <row r="47" spans="1:8" x14ac:dyDescent="0.25">
      <c r="A47" t="s">
        <v>587</v>
      </c>
      <c r="G47" s="503">
        <f>+'PIP &amp; Source &amp; Use'!F31</f>
        <v>1282800</v>
      </c>
    </row>
    <row r="49" spans="1:7" x14ac:dyDescent="0.25">
      <c r="A49" s="147" t="s">
        <v>197</v>
      </c>
      <c r="G49" s="514">
        <f>+G45-G47</f>
        <v>17973295.009249695</v>
      </c>
    </row>
  </sheetData>
  <customSheetViews>
    <customSheetView guid="{BBA80CC4-398C-41FE-99C8-A75F96D5CA58}" fitToPage="1">
      <selection activeCell="I45" sqref="I45"/>
      <pageMargins left="0.7" right="0.7" top="0.75" bottom="0.75" header="0.3" footer="0.3"/>
      <pageSetup scale="96" orientation="portrait"/>
    </customSheetView>
    <customSheetView guid="{03C358DA-88A4-4E12-84B7-BB4E50E89831}" fitToPage="1">
      <selection activeCell="I45" sqref="I45"/>
      <pageMargins left="0.7" right="0.7" top="0.75" bottom="0.75" header="0.3" footer="0.3"/>
      <pageSetup scale="96" orientation="portrait"/>
    </customSheetView>
  </customSheetViews>
  <mergeCells count="1">
    <mergeCell ref="A4:B4"/>
  </mergeCells>
  <pageMargins left="0.4" right="0.45" top="0.75" bottom="0.75" header="0.3" footer="0.3"/>
  <pageSetup scale="9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14999847407452621"/>
  </sheetPr>
  <dimension ref="A1:R109"/>
  <sheetViews>
    <sheetView workbookViewId="0">
      <selection activeCell="A2" sqref="A2"/>
    </sheetView>
  </sheetViews>
  <sheetFormatPr defaultColWidth="8.7109375" defaultRowHeight="15" outlineLevelRow="1" x14ac:dyDescent="0.25"/>
  <cols>
    <col min="1" max="1" width="4.28515625" style="11" customWidth="1"/>
    <col min="2" max="2" width="34.28515625" customWidth="1"/>
    <col min="3" max="3" width="8.140625" customWidth="1"/>
    <col min="4" max="4" width="10.28515625" bestFit="1" customWidth="1"/>
    <col min="5" max="5" width="11.140625" bestFit="1" customWidth="1"/>
    <col min="6" max="6" width="10.28515625" bestFit="1" customWidth="1"/>
    <col min="7" max="7" width="11.140625" bestFit="1" customWidth="1"/>
    <col min="8" max="8" width="10.28515625" bestFit="1" customWidth="1"/>
    <col min="9" max="9" width="11.140625" bestFit="1" customWidth="1"/>
    <col min="10" max="10" width="10.28515625" bestFit="1" customWidth="1"/>
    <col min="11" max="11" width="11.140625" bestFit="1" customWidth="1"/>
    <col min="12" max="12" width="1.7109375" customWidth="1"/>
    <col min="13" max="13" width="14" customWidth="1"/>
    <col min="14" max="14" width="10" bestFit="1" customWidth="1"/>
    <col min="15" max="15" width="18.28515625" bestFit="1" customWidth="1"/>
    <col min="16" max="16" width="10" bestFit="1" customWidth="1"/>
    <col min="17" max="17" width="18.140625" bestFit="1" customWidth="1"/>
    <col min="18" max="18" width="10" bestFit="1" customWidth="1"/>
  </cols>
  <sheetData>
    <row r="1" spans="1:18" ht="23.25" x14ac:dyDescent="0.35">
      <c r="A1" s="1" t="str">
        <f>+'Data Entry'!C6</f>
        <v>LF III</v>
      </c>
    </row>
    <row r="2" spans="1:18" ht="15.75" x14ac:dyDescent="0.25">
      <c r="A2" s="12" t="s">
        <v>54</v>
      </c>
    </row>
    <row r="3" spans="1:18" x14ac:dyDescent="0.25">
      <c r="A3" s="11" t="s">
        <v>395</v>
      </c>
      <c r="D3" s="1119" t="s">
        <v>396</v>
      </c>
      <c r="E3" s="1119"/>
      <c r="F3" s="1119"/>
      <c r="G3" s="1119"/>
      <c r="H3" s="1119"/>
      <c r="I3" s="1119"/>
      <c r="J3" s="1119"/>
      <c r="K3" s="1119"/>
      <c r="M3" s="1127" t="s">
        <v>400</v>
      </c>
      <c r="N3" s="1127"/>
      <c r="O3" s="1127"/>
      <c r="P3" s="1127"/>
      <c r="Q3" s="1127"/>
      <c r="R3" s="1127"/>
    </row>
    <row r="4" spans="1:18" x14ac:dyDescent="0.25">
      <c r="A4" s="1108" t="str">
        <f>+'Board Summary'!B3</f>
        <v>Hampton Inn &amp; Suites Wichita Airport</v>
      </c>
      <c r="B4" s="1108"/>
      <c r="D4" s="1068" t="s">
        <v>399</v>
      </c>
      <c r="E4" s="1068"/>
      <c r="F4" s="1068" t="s">
        <v>397</v>
      </c>
      <c r="G4" s="1068"/>
      <c r="H4" s="1068" t="s">
        <v>398</v>
      </c>
      <c r="I4" s="1068"/>
      <c r="J4" s="1068" t="s">
        <v>356</v>
      </c>
      <c r="K4" s="1068"/>
      <c r="M4" s="1068" t="s">
        <v>397</v>
      </c>
      <c r="N4" s="1068"/>
      <c r="O4" s="1068" t="s">
        <v>398</v>
      </c>
      <c r="P4" s="1068"/>
      <c r="Q4" s="1068" t="s">
        <v>356</v>
      </c>
      <c r="R4" s="1068"/>
    </row>
    <row r="5" spans="1:18" x14ac:dyDescent="0.25">
      <c r="D5" s="265" t="s">
        <v>36</v>
      </c>
      <c r="E5" s="265" t="s">
        <v>37</v>
      </c>
      <c r="F5" s="265" t="s">
        <v>36</v>
      </c>
      <c r="G5" s="265" t="s">
        <v>37</v>
      </c>
      <c r="H5" s="265" t="s">
        <v>36</v>
      </c>
      <c r="I5" s="265" t="s">
        <v>213</v>
      </c>
      <c r="J5" s="265" t="s">
        <v>36</v>
      </c>
      <c r="K5" s="265" t="s">
        <v>37</v>
      </c>
      <c r="M5" s="262" t="s">
        <v>36</v>
      </c>
      <c r="N5" s="262" t="s">
        <v>37</v>
      </c>
      <c r="O5" s="262" t="s">
        <v>36</v>
      </c>
      <c r="P5" s="262" t="s">
        <v>37</v>
      </c>
      <c r="Q5" s="262" t="s">
        <v>36</v>
      </c>
      <c r="R5" s="262" t="s">
        <v>37</v>
      </c>
    </row>
    <row r="7" spans="1:18" outlineLevel="1" x14ac:dyDescent="0.25">
      <c r="A7" s="11" t="s">
        <v>38</v>
      </c>
    </row>
    <row r="8" spans="1:18" outlineLevel="1" x14ac:dyDescent="0.25">
      <c r="B8" t="s">
        <v>39</v>
      </c>
      <c r="D8" s="1112">
        <f>ProForma!L8</f>
        <v>0.76400000000000001</v>
      </c>
      <c r="E8" s="1113"/>
      <c r="F8" s="1112" t="e">
        <f>'Key Data'!J10:K10</f>
        <v>#VALUE!</v>
      </c>
      <c r="G8" s="1113"/>
      <c r="H8" s="1112" t="e">
        <f>'Key Data'!L10:M10</f>
        <v>#VALUE!</v>
      </c>
      <c r="I8" s="1113"/>
      <c r="J8" s="1112" t="e">
        <f>IF(D8&gt;0,(D8+F8+H8)/3,(F8+H8)/2)</f>
        <v>#VALUE!</v>
      </c>
      <c r="K8" s="1113"/>
      <c r="M8" s="1112">
        <f>$D8</f>
        <v>0.76400000000000001</v>
      </c>
      <c r="N8" s="1113"/>
      <c r="O8" s="1112">
        <f>'Key Data'!Q10</f>
        <v>0.78788665800000002</v>
      </c>
      <c r="P8" s="1113"/>
      <c r="Q8" s="1112">
        <f>'Key Data'!S10</f>
        <v>0.79576552458000005</v>
      </c>
      <c r="R8" s="1113"/>
    </row>
    <row r="9" spans="1:18" outlineLevel="1" x14ac:dyDescent="0.25">
      <c r="B9" t="s">
        <v>40</v>
      </c>
      <c r="D9" s="1114">
        <f>ProForma!L9</f>
        <v>112.02</v>
      </c>
      <c r="E9" s="1113"/>
      <c r="F9" s="1114" t="e">
        <f>'Key Data'!J12:K12</f>
        <v>#VALUE!</v>
      </c>
      <c r="G9" s="1113"/>
      <c r="H9" s="1114" t="e">
        <f>'Key Data'!L12:M12</f>
        <v>#VALUE!</v>
      </c>
      <c r="I9" s="1113"/>
      <c r="J9" s="1125" t="e">
        <f>IF(D9&gt;0,(D9+F9+H9)/3,(F9+H9)/2)</f>
        <v>#VALUE!</v>
      </c>
      <c r="K9" s="1125"/>
      <c r="M9" s="1114">
        <f>$D9</f>
        <v>112.02</v>
      </c>
      <c r="N9" s="1113"/>
      <c r="O9" s="1114">
        <f>'Key Data'!Q12</f>
        <v>114.65413949999999</v>
      </c>
      <c r="P9" s="1113"/>
      <c r="Q9" s="1114">
        <f>'Key Data'!S12</f>
        <v>115.80068089499999</v>
      </c>
      <c r="R9" s="1113"/>
    </row>
    <row r="10" spans="1:18" outlineLevel="1" x14ac:dyDescent="0.25">
      <c r="B10" t="s">
        <v>41</v>
      </c>
      <c r="D10" s="1114">
        <f>ProForma!L10</f>
        <v>85.583280000000002</v>
      </c>
      <c r="E10" s="1113"/>
      <c r="F10" s="1114" t="e">
        <f>F8*F9</f>
        <v>#VALUE!</v>
      </c>
      <c r="G10" s="1113"/>
      <c r="H10" s="1114" t="e">
        <f>H8*H9</f>
        <v>#VALUE!</v>
      </c>
      <c r="I10" s="1113"/>
      <c r="J10" s="1125" t="e">
        <f>IF(D10&gt;0,(D10+F10+H10)/3,(F10+H10)/2)</f>
        <v>#VALUE!</v>
      </c>
      <c r="K10" s="1125"/>
      <c r="M10" s="1114">
        <f>$D10</f>
        <v>85.583280000000002</v>
      </c>
      <c r="N10" s="1113"/>
      <c r="O10" s="1114">
        <f>O8*O9</f>
        <v>90.334466796520786</v>
      </c>
      <c r="P10" s="1113"/>
      <c r="Q10" s="1114">
        <f>Q8*Q9</f>
        <v>92.150189579130853</v>
      </c>
      <c r="R10" s="1113"/>
    </row>
    <row r="11" spans="1:18" outlineLevel="1" x14ac:dyDescent="0.25">
      <c r="B11" t="s">
        <v>53</v>
      </c>
      <c r="D11" s="1114">
        <f>ProForma!L11</f>
        <v>1.3040814600642265</v>
      </c>
      <c r="E11" s="1113"/>
      <c r="F11" s="1114" t="e">
        <f>'Key Data'!J27:K27</f>
        <v>#VALUE!</v>
      </c>
      <c r="G11" s="1113"/>
      <c r="H11" s="1114" t="e">
        <f>'Key Data'!L27:M27</f>
        <v>#VALUE!</v>
      </c>
      <c r="I11" s="1113"/>
      <c r="J11" s="1125" t="e">
        <f>IF(D11&gt;0,(D11+F11+H11)/3,(F11+H11)/2)</f>
        <v>#VALUE!</v>
      </c>
      <c r="K11" s="1125"/>
      <c r="M11" s="1114">
        <f>$D11</f>
        <v>1.3040814600642265</v>
      </c>
      <c r="N11" s="1113"/>
      <c r="O11" s="1114">
        <f>'Key Data'!Q27</f>
        <v>1.3098000000000001</v>
      </c>
      <c r="P11" s="1113"/>
      <c r="Q11" s="1114">
        <f>'Key Data'!S27</f>
        <v>1.3098000000000001</v>
      </c>
      <c r="R11" s="1113"/>
    </row>
    <row r="13" spans="1:18" x14ac:dyDescent="0.25">
      <c r="A13" s="11" t="s">
        <v>3</v>
      </c>
    </row>
    <row r="14" spans="1:18" x14ac:dyDescent="0.25">
      <c r="D14" s="266"/>
      <c r="F14" s="266"/>
      <c r="H14" s="266"/>
    </row>
    <row r="15" spans="1:18" x14ac:dyDescent="0.25">
      <c r="B15" t="s">
        <v>0</v>
      </c>
      <c r="D15" s="266">
        <f>ProForma!P15</f>
        <v>3818619.125</v>
      </c>
      <c r="E15" s="7">
        <f>+D15/D$20</f>
        <v>0.99093988455514737</v>
      </c>
      <c r="F15" s="266">
        <f>D15</f>
        <v>3818619.125</v>
      </c>
      <c r="G15" s="7">
        <f>+F15/F$20</f>
        <v>0.99093988455514737</v>
      </c>
      <c r="H15" s="266">
        <f>F15</f>
        <v>3818619.125</v>
      </c>
      <c r="I15" s="7">
        <f>+H15/H$20</f>
        <v>0.99093988455514737</v>
      </c>
      <c r="J15" s="266">
        <f>IF(D15&gt;0,(D15+F15+H15)/3,(F15+H15)/2)</f>
        <v>3818619.125</v>
      </c>
      <c r="K15" s="7">
        <f>+J15/J$20</f>
        <v>0.99093988455514737</v>
      </c>
      <c r="M15" s="266">
        <f>J15</f>
        <v>3818619.125</v>
      </c>
      <c r="N15" s="7">
        <f>+M15/M$20</f>
        <v>0.99093988455514737</v>
      </c>
      <c r="O15" s="266">
        <f>M15</f>
        <v>3818619.125</v>
      </c>
      <c r="P15" s="7">
        <f>+O15/O$20</f>
        <v>0.99093988455514737</v>
      </c>
      <c r="Q15" s="266">
        <f>O15</f>
        <v>3818619.125</v>
      </c>
      <c r="R15" s="7">
        <f>+Q15/Q$20</f>
        <v>0.99093988455514737</v>
      </c>
    </row>
    <row r="16" spans="1:18" x14ac:dyDescent="0.25">
      <c r="B16" t="s">
        <v>1</v>
      </c>
      <c r="D16" s="266">
        <f>ProForma!P16</f>
        <v>0</v>
      </c>
      <c r="E16" s="7">
        <f>+D16/D$20</f>
        <v>0</v>
      </c>
      <c r="F16" s="266">
        <f>D16</f>
        <v>0</v>
      </c>
      <c r="G16" s="7">
        <f>+F16/F$20</f>
        <v>0</v>
      </c>
      <c r="H16" s="266">
        <f>F16</f>
        <v>0</v>
      </c>
      <c r="I16" s="7">
        <f>+H16/H$20</f>
        <v>0</v>
      </c>
      <c r="J16" s="266">
        <f>IF(D16&gt;0,(D16+F16+H16)/3,(F16+H16)/2)</f>
        <v>0</v>
      </c>
      <c r="K16" s="7">
        <f>+J16/J$20</f>
        <v>0</v>
      </c>
      <c r="M16" s="266">
        <f>J16</f>
        <v>0</v>
      </c>
      <c r="N16" s="7">
        <f>+M16/M$20</f>
        <v>0</v>
      </c>
      <c r="O16" s="266">
        <f t="shared" ref="O16:Q18" si="0">M16</f>
        <v>0</v>
      </c>
      <c r="P16" s="7">
        <f>+O16/O$20</f>
        <v>0</v>
      </c>
      <c r="Q16" s="266">
        <f t="shared" si="0"/>
        <v>0</v>
      </c>
      <c r="R16" s="7">
        <f>+Q16/Q$20</f>
        <v>0</v>
      </c>
    </row>
    <row r="17" spans="1:18" outlineLevel="1" x14ac:dyDescent="0.25">
      <c r="B17" t="s">
        <v>344</v>
      </c>
      <c r="D17" s="266">
        <f>ProForma!P17</f>
        <v>34913.449999999997</v>
      </c>
      <c r="E17" s="7">
        <f>+D17/D$20</f>
        <v>9.0601154448525702E-3</v>
      </c>
      <c r="F17" s="266">
        <f>D17</f>
        <v>34913.449999999997</v>
      </c>
      <c r="G17" s="7">
        <f>+F17/F$20</f>
        <v>9.0601154448525702E-3</v>
      </c>
      <c r="H17" s="266">
        <f>F17</f>
        <v>34913.449999999997</v>
      </c>
      <c r="I17" s="7">
        <f>+H17/H$20</f>
        <v>9.0601154448525702E-3</v>
      </c>
      <c r="J17" s="266">
        <f>IF(D17&gt;0,(D17+F17+H17)/3,(F17+H17)/2)</f>
        <v>34913.449999999997</v>
      </c>
      <c r="K17" s="7">
        <f>+J17/J$20</f>
        <v>9.0601154448525702E-3</v>
      </c>
      <c r="M17" s="266">
        <f>J17</f>
        <v>34913.449999999997</v>
      </c>
      <c r="N17" s="7">
        <f>+M17/M$20</f>
        <v>9.0601154448525702E-3</v>
      </c>
      <c r="O17" s="266">
        <f t="shared" si="0"/>
        <v>34913.449999999997</v>
      </c>
      <c r="P17" s="7">
        <f>+O17/O$20</f>
        <v>9.0601154448525702E-3</v>
      </c>
      <c r="Q17" s="266">
        <f t="shared" si="0"/>
        <v>34913.449999999997</v>
      </c>
      <c r="R17" s="7">
        <f>+Q17/Q$20</f>
        <v>9.0601154448525702E-3</v>
      </c>
    </row>
    <row r="18" spans="1:18" x14ac:dyDescent="0.25">
      <c r="B18" t="s">
        <v>2</v>
      </c>
      <c r="D18" s="266">
        <f>ProForma!H18</f>
        <v>0</v>
      </c>
      <c r="E18" s="7">
        <f>+D18/D$20</f>
        <v>0</v>
      </c>
      <c r="F18" s="266">
        <f>D18</f>
        <v>0</v>
      </c>
      <c r="G18" s="7">
        <f>+F18/F$20</f>
        <v>0</v>
      </c>
      <c r="H18" s="266">
        <f>F18</f>
        <v>0</v>
      </c>
      <c r="I18" s="7">
        <f>+H18/H$20</f>
        <v>0</v>
      </c>
      <c r="J18" s="266">
        <f>IF(D18&gt;0,(D18+F18+H18)/3,(F18+H18)/2)</f>
        <v>0</v>
      </c>
      <c r="K18" s="7">
        <f>+J18/J$20</f>
        <v>0</v>
      </c>
      <c r="M18" s="266">
        <f>J18</f>
        <v>0</v>
      </c>
      <c r="N18" s="7">
        <f>+M18/M$20</f>
        <v>0</v>
      </c>
      <c r="O18" s="266">
        <f t="shared" si="0"/>
        <v>0</v>
      </c>
      <c r="P18" s="7">
        <f>+O18/O$20</f>
        <v>0</v>
      </c>
      <c r="Q18" s="266">
        <f t="shared" si="0"/>
        <v>0</v>
      </c>
      <c r="R18" s="7">
        <f>+Q18/Q$20</f>
        <v>0</v>
      </c>
    </row>
    <row r="19" spans="1:18" x14ac:dyDescent="0.25">
      <c r="D19" s="266"/>
      <c r="E19" s="7"/>
      <c r="F19" s="266"/>
      <c r="G19" s="7"/>
      <c r="H19" s="266"/>
      <c r="I19" s="7"/>
      <c r="J19" s="266"/>
      <c r="K19" s="7"/>
      <c r="M19" s="266"/>
      <c r="N19" s="7"/>
      <c r="O19" s="266"/>
      <c r="P19" s="7"/>
      <c r="Q19" s="266"/>
      <c r="R19" s="7"/>
    </row>
    <row r="20" spans="1:18" x14ac:dyDescent="0.25">
      <c r="A20" s="11" t="s">
        <v>4</v>
      </c>
      <c r="D20" s="166">
        <f>SUM(D15:D18)</f>
        <v>3853532.5750000002</v>
      </c>
      <c r="E20" s="15">
        <f>SUM(E15:E19)</f>
        <v>0.99999999999999989</v>
      </c>
      <c r="F20" s="166">
        <f>SUM(F15:F18)</f>
        <v>3853532.5750000002</v>
      </c>
      <c r="G20" s="15">
        <f>SUM(G15:G19)</f>
        <v>0.99999999999999989</v>
      </c>
      <c r="H20" s="166">
        <f>SUM(H15:H18)</f>
        <v>3853532.5750000002</v>
      </c>
      <c r="I20" s="15">
        <f>SUM(I15:I19)</f>
        <v>0.99999999999999989</v>
      </c>
      <c r="J20" s="166">
        <f>SUM(J15:J18)</f>
        <v>3853532.5750000002</v>
      </c>
      <c r="K20" s="15">
        <f>SUM(K15:K19)</f>
        <v>0.99999999999999989</v>
      </c>
      <c r="M20" s="166">
        <f>SUM(M15:M18)</f>
        <v>3853532.5750000002</v>
      </c>
      <c r="N20" s="15">
        <f>SUM(N15:N19)</f>
        <v>0.99999999999999989</v>
      </c>
      <c r="O20" s="166">
        <f>SUM(O15:O18)</f>
        <v>3853532.5750000002</v>
      </c>
      <c r="P20" s="15">
        <f>SUM(P15:P19)</f>
        <v>0.99999999999999989</v>
      </c>
      <c r="Q20" s="166">
        <f>SUM(Q15:Q18)</f>
        <v>3853532.5750000002</v>
      </c>
      <c r="R20" s="15">
        <f>SUM(R15:R19)</f>
        <v>0.99999999999999989</v>
      </c>
    </row>
    <row r="21" spans="1:18" x14ac:dyDescent="0.25">
      <c r="D21" s="266"/>
      <c r="E21" s="7"/>
      <c r="F21" s="266"/>
      <c r="G21" s="7"/>
      <c r="H21" s="266"/>
      <c r="I21" s="7"/>
      <c r="J21" s="266"/>
      <c r="K21" s="7"/>
      <c r="M21" s="266"/>
      <c r="N21" s="7"/>
      <c r="O21" s="266"/>
      <c r="P21" s="7"/>
      <c r="Q21" s="266"/>
      <c r="R21" s="7"/>
    </row>
    <row r="22" spans="1:18" x14ac:dyDescent="0.25">
      <c r="A22" s="11" t="s">
        <v>8</v>
      </c>
      <c r="D22" s="266"/>
      <c r="E22" s="7"/>
      <c r="F22" s="266"/>
      <c r="G22" s="7"/>
      <c r="H22" s="266"/>
      <c r="I22" s="7"/>
      <c r="J22" s="266"/>
      <c r="K22" s="7"/>
      <c r="M22" s="266"/>
      <c r="N22" s="7"/>
      <c r="O22" s="266"/>
      <c r="P22" s="7"/>
      <c r="Q22" s="266"/>
      <c r="R22" s="7"/>
    </row>
    <row r="23" spans="1:18" x14ac:dyDescent="0.25">
      <c r="B23" t="s">
        <v>5</v>
      </c>
      <c r="D23" s="266">
        <f>ProForma!L23</f>
        <v>730906.05</v>
      </c>
      <c r="E23" s="7">
        <f>+D23/D15</f>
        <v>0.19140585276359554</v>
      </c>
      <c r="F23" s="194">
        <f>F15*G23</f>
        <v>0</v>
      </c>
      <c r="G23" s="267"/>
      <c r="H23" s="194">
        <f>H15*I23</f>
        <v>0</v>
      </c>
      <c r="I23" s="267"/>
      <c r="J23" s="266">
        <f>IF(D23&gt;0,(D23+F23+H23)/3,(F23+H23)/2)</f>
        <v>243635.35</v>
      </c>
      <c r="K23" s="7">
        <f>+J23/J15</f>
        <v>6.3801950921198516E-2</v>
      </c>
      <c r="M23" s="194">
        <f t="shared" ref="M23:N26" si="1">D23-F23</f>
        <v>730906.05</v>
      </c>
      <c r="N23" s="268">
        <f t="shared" si="1"/>
        <v>0.19140585276359554</v>
      </c>
      <c r="O23" s="194">
        <f>E23-H23</f>
        <v>0.19140585276359554</v>
      </c>
      <c r="P23" s="268">
        <f>G23-I23</f>
        <v>0</v>
      </c>
      <c r="Q23" s="194">
        <f t="shared" ref="Q23:R26" si="2">D23-J23</f>
        <v>487270.70000000007</v>
      </c>
      <c r="R23" s="268">
        <f t="shared" si="2"/>
        <v>0.12760390184239701</v>
      </c>
    </row>
    <row r="24" spans="1:18" ht="15" customHeight="1" x14ac:dyDescent="0.25">
      <c r="B24" t="s">
        <v>6</v>
      </c>
      <c r="D24" s="266">
        <f>ProForma!L24</f>
        <v>0</v>
      </c>
      <c r="E24" s="7" t="e">
        <f>+D24/D16</f>
        <v>#DIV/0!</v>
      </c>
      <c r="F24" s="194">
        <f t="shared" ref="F24:H26" si="3">F16*G24</f>
        <v>0</v>
      </c>
      <c r="G24" s="267"/>
      <c r="H24" s="194">
        <f t="shared" si="3"/>
        <v>0</v>
      </c>
      <c r="I24" s="267"/>
      <c r="J24" s="266">
        <f>IF(D24&gt;0,(D24+F24+H24)/3,(F24+H24)/2)</f>
        <v>0</v>
      </c>
      <c r="K24" s="7" t="e">
        <f>+J24/J16</f>
        <v>#DIV/0!</v>
      </c>
      <c r="M24" s="194">
        <f t="shared" si="1"/>
        <v>0</v>
      </c>
      <c r="N24" s="268" t="e">
        <f t="shared" si="1"/>
        <v>#DIV/0!</v>
      </c>
      <c r="O24" s="194" t="e">
        <f>E24-H24</f>
        <v>#DIV/0!</v>
      </c>
      <c r="P24" s="268">
        <f>G24-I24</f>
        <v>0</v>
      </c>
      <c r="Q24" s="194">
        <f t="shared" si="2"/>
        <v>0</v>
      </c>
      <c r="R24" s="268" t="e">
        <f t="shared" si="2"/>
        <v>#DIV/0!</v>
      </c>
    </row>
    <row r="25" spans="1:18" ht="15" customHeight="1" x14ac:dyDescent="0.25">
      <c r="B25" t="s">
        <v>345</v>
      </c>
      <c r="D25" s="266">
        <f>ProForma!L25</f>
        <v>2431.61</v>
      </c>
      <c r="E25" s="7">
        <f>D25/D17</f>
        <v>6.9646798010508854E-2</v>
      </c>
      <c r="F25" s="194">
        <f t="shared" si="3"/>
        <v>0</v>
      </c>
      <c r="G25" s="267"/>
      <c r="H25" s="194">
        <f t="shared" si="3"/>
        <v>0</v>
      </c>
      <c r="I25" s="267"/>
      <c r="J25" s="266">
        <f>IF(D25&gt;0,(D25+F25+H25)/3,(F25+H25)/2)</f>
        <v>810.53666666666675</v>
      </c>
      <c r="K25" s="7">
        <f>J25/J17</f>
        <v>2.3215599336836285E-2</v>
      </c>
      <c r="M25" s="194">
        <f t="shared" si="1"/>
        <v>2431.61</v>
      </c>
      <c r="N25" s="268">
        <f t="shared" si="1"/>
        <v>6.9646798010508854E-2</v>
      </c>
      <c r="O25" s="194">
        <f>E25-H25</f>
        <v>6.9646798010508854E-2</v>
      </c>
      <c r="P25" s="268">
        <f>G25-I25</f>
        <v>0</v>
      </c>
      <c r="Q25" s="194">
        <f t="shared" si="2"/>
        <v>1621.0733333333333</v>
      </c>
      <c r="R25" s="268">
        <f t="shared" si="2"/>
        <v>4.6431198673672569E-2</v>
      </c>
    </row>
    <row r="26" spans="1:18" ht="15" customHeight="1" x14ac:dyDescent="0.25">
      <c r="B26" t="s">
        <v>7</v>
      </c>
      <c r="D26" s="266">
        <f>ProForma!H26</f>
        <v>0</v>
      </c>
      <c r="E26" s="7" t="e">
        <f>+D26/D18</f>
        <v>#DIV/0!</v>
      </c>
      <c r="F26" s="194">
        <f t="shared" si="3"/>
        <v>0</v>
      </c>
      <c r="G26" s="267"/>
      <c r="H26" s="194">
        <f t="shared" si="3"/>
        <v>0</v>
      </c>
      <c r="I26" s="267"/>
      <c r="J26" s="266">
        <f>IF(D26&gt;0,(D26+F26+H26)/3,(F26+H26)/2)</f>
        <v>0</v>
      </c>
      <c r="K26" s="7" t="e">
        <f>+J26/J18</f>
        <v>#DIV/0!</v>
      </c>
      <c r="M26" s="194">
        <f t="shared" si="1"/>
        <v>0</v>
      </c>
      <c r="N26" s="268" t="e">
        <f t="shared" si="1"/>
        <v>#DIV/0!</v>
      </c>
      <c r="O26" s="194" t="e">
        <f>E26-H26</f>
        <v>#DIV/0!</v>
      </c>
      <c r="P26" s="268">
        <f>G26-I26</f>
        <v>0</v>
      </c>
      <c r="Q26" s="194">
        <f t="shared" si="2"/>
        <v>0</v>
      </c>
      <c r="R26" s="268" t="e">
        <f t="shared" si="2"/>
        <v>#DIV/0!</v>
      </c>
    </row>
    <row r="27" spans="1:18" x14ac:dyDescent="0.25">
      <c r="D27" s="266"/>
      <c r="E27" s="7"/>
      <c r="F27" s="266"/>
      <c r="G27" s="7"/>
      <c r="H27" s="266"/>
      <c r="I27" s="7"/>
      <c r="J27" s="266"/>
      <c r="K27" s="7"/>
      <c r="M27" s="194"/>
      <c r="N27" s="268"/>
      <c r="O27" s="194"/>
      <c r="P27" s="7"/>
      <c r="Q27" s="266"/>
      <c r="R27" s="7"/>
    </row>
    <row r="28" spans="1:18" x14ac:dyDescent="0.25">
      <c r="A28" s="11" t="s">
        <v>9</v>
      </c>
      <c r="D28" s="266">
        <f>SUM(D23:D26)</f>
        <v>733337.66</v>
      </c>
      <c r="E28" s="7">
        <f>D28/D20</f>
        <v>0.19030270167107644</v>
      </c>
      <c r="F28" s="266">
        <f>SUM(F23:F26)</f>
        <v>0</v>
      </c>
      <c r="G28" s="7">
        <f>F28/F20</f>
        <v>0</v>
      </c>
      <c r="H28" s="266">
        <f>SUM(H23:H26)</f>
        <v>0</v>
      </c>
      <c r="I28" s="7">
        <f>H28/H20</f>
        <v>0</v>
      </c>
      <c r="J28" s="266">
        <f>SUM(J23:J26)</f>
        <v>244445.88666666666</v>
      </c>
      <c r="K28" s="7">
        <f>J28/J20</f>
        <v>6.3434233890358807E-2</v>
      </c>
      <c r="M28" s="194">
        <f>SUM(M23:M26)</f>
        <v>733337.66</v>
      </c>
      <c r="N28" s="268">
        <f>M28/M20</f>
        <v>0.19030270167107644</v>
      </c>
      <c r="O28" s="194" t="e">
        <f>SUM(O23:O26)</f>
        <v>#DIV/0!</v>
      </c>
      <c r="P28" s="7" t="e">
        <f>O28/O20</f>
        <v>#DIV/0!</v>
      </c>
      <c r="Q28" s="266">
        <f>SUM(Q23:Q26)</f>
        <v>488891.77333333337</v>
      </c>
      <c r="R28" s="7">
        <f>Q28/Q20</f>
        <v>0.12686846778071764</v>
      </c>
    </row>
    <row r="29" spans="1:18" x14ac:dyDescent="0.25">
      <c r="D29" s="266"/>
      <c r="E29" s="7"/>
      <c r="F29" s="266"/>
      <c r="G29" s="7"/>
      <c r="H29" s="266"/>
      <c r="I29" s="7"/>
      <c r="J29" s="266"/>
      <c r="K29" s="7"/>
      <c r="M29" s="194"/>
      <c r="N29" s="268"/>
      <c r="O29" s="194"/>
      <c r="P29" s="7"/>
      <c r="Q29" s="266"/>
      <c r="R29" s="7"/>
    </row>
    <row r="30" spans="1:18" x14ac:dyDescent="0.25">
      <c r="A30" s="11" t="s">
        <v>10</v>
      </c>
      <c r="D30" s="266">
        <f t="shared" ref="D30:K30" si="4">+D20-D28</f>
        <v>3120194.915</v>
      </c>
      <c r="E30" s="7">
        <f t="shared" si="4"/>
        <v>0.80969729832892345</v>
      </c>
      <c r="F30" s="266">
        <f t="shared" si="4"/>
        <v>3853532.5750000002</v>
      </c>
      <c r="G30" s="7">
        <f t="shared" si="4"/>
        <v>0.99999999999999989</v>
      </c>
      <c r="H30" s="266">
        <f t="shared" si="4"/>
        <v>3853532.5750000002</v>
      </c>
      <c r="I30" s="7">
        <f t="shared" si="4"/>
        <v>0.99999999999999989</v>
      </c>
      <c r="J30" s="266">
        <f t="shared" si="4"/>
        <v>3609086.6883333335</v>
      </c>
      <c r="K30" s="7">
        <f t="shared" si="4"/>
        <v>0.93656576610964104</v>
      </c>
      <c r="M30" s="194">
        <f t="shared" ref="M30:R30" si="5">+M20-M28</f>
        <v>3120194.915</v>
      </c>
      <c r="N30" s="268">
        <f t="shared" si="5"/>
        <v>0.80969729832892345</v>
      </c>
      <c r="O30" s="194" t="e">
        <f t="shared" si="5"/>
        <v>#DIV/0!</v>
      </c>
      <c r="P30" s="7" t="e">
        <f t="shared" si="5"/>
        <v>#DIV/0!</v>
      </c>
      <c r="Q30" s="266">
        <f t="shared" si="5"/>
        <v>3364640.8016666668</v>
      </c>
      <c r="R30" s="7">
        <f t="shared" si="5"/>
        <v>0.8731315322192823</v>
      </c>
    </row>
    <row r="31" spans="1:18" x14ac:dyDescent="0.25">
      <c r="D31" s="266"/>
      <c r="E31" s="7"/>
      <c r="F31" s="266"/>
      <c r="G31" s="7"/>
      <c r="H31" s="266"/>
      <c r="I31" s="7"/>
      <c r="J31" s="266"/>
      <c r="K31" s="7"/>
      <c r="M31" s="194"/>
      <c r="N31" s="268"/>
      <c r="O31" s="194"/>
      <c r="P31" s="7"/>
      <c r="Q31" s="266"/>
      <c r="R31" s="7"/>
    </row>
    <row r="32" spans="1:18" x14ac:dyDescent="0.25">
      <c r="A32" s="11" t="s">
        <v>18</v>
      </c>
      <c r="D32" s="266"/>
      <c r="E32" s="7"/>
      <c r="F32" s="266"/>
      <c r="G32" s="7"/>
      <c r="H32" s="266"/>
      <c r="I32" s="7"/>
      <c r="J32" s="266"/>
      <c r="K32" s="7"/>
      <c r="M32" s="194"/>
      <c r="N32" s="268"/>
      <c r="O32" s="194"/>
      <c r="P32" s="7"/>
      <c r="Q32" s="266"/>
      <c r="R32" s="7"/>
    </row>
    <row r="33" spans="1:18" x14ac:dyDescent="0.25">
      <c r="D33" s="266"/>
      <c r="E33" s="7"/>
      <c r="F33" s="266"/>
      <c r="G33" s="7"/>
      <c r="H33" s="266"/>
      <c r="I33" s="7"/>
      <c r="J33" s="266"/>
      <c r="K33" s="7"/>
      <c r="M33" s="194"/>
      <c r="N33" s="268"/>
      <c r="O33" s="194"/>
      <c r="P33" s="7"/>
      <c r="Q33" s="266"/>
      <c r="R33" s="7"/>
    </row>
    <row r="34" spans="1:18" x14ac:dyDescent="0.25">
      <c r="B34" t="s">
        <v>11</v>
      </c>
      <c r="D34" s="266" t="e">
        <f>ProForma!#REF!</f>
        <v>#REF!</v>
      </c>
      <c r="E34" s="7" t="e">
        <f t="shared" ref="E34:E40" si="6">+D34/D$20</f>
        <v>#REF!</v>
      </c>
      <c r="F34" s="194">
        <f>G34*F$20</f>
        <v>0</v>
      </c>
      <c r="G34" s="267"/>
      <c r="H34" s="194">
        <f>I34*H$20</f>
        <v>0</v>
      </c>
      <c r="I34" s="267"/>
      <c r="J34" s="266" t="e">
        <f t="shared" ref="J34:J40" si="7">IF(D34&gt;0,(D34+F34+H34)/3,(F34+H34)/2)</f>
        <v>#REF!</v>
      </c>
      <c r="K34" s="7" t="e">
        <f t="shared" ref="K34:K40" si="8">+J34/J$20</f>
        <v>#REF!</v>
      </c>
      <c r="M34" s="194" t="e">
        <f>$D34-F34</f>
        <v>#REF!</v>
      </c>
      <c r="N34" s="268" t="e">
        <f>$E34-G34</f>
        <v>#REF!</v>
      </c>
      <c r="O34" s="194" t="e">
        <f>$D34-H34</f>
        <v>#REF!</v>
      </c>
      <c r="P34" s="268" t="e">
        <f>$E34-I34</f>
        <v>#REF!</v>
      </c>
      <c r="Q34" s="194" t="e">
        <f>$D34-J34</f>
        <v>#REF!</v>
      </c>
      <c r="R34" s="268" t="e">
        <f>$E34-K34</f>
        <v>#REF!</v>
      </c>
    </row>
    <row r="35" spans="1:18" x14ac:dyDescent="0.25">
      <c r="B35" t="s">
        <v>346</v>
      </c>
      <c r="D35" s="266">
        <f>ProForma!L33</f>
        <v>233437.44</v>
      </c>
      <c r="E35" s="7">
        <f t="shared" si="6"/>
        <v>6.0577518278796434E-2</v>
      </c>
      <c r="F35" s="194">
        <f t="shared" ref="F35:H39" si="9">G35*F$20</f>
        <v>0</v>
      </c>
      <c r="G35" s="267"/>
      <c r="H35" s="194">
        <f t="shared" si="9"/>
        <v>0</v>
      </c>
      <c r="I35" s="267"/>
      <c r="J35" s="266">
        <f t="shared" si="7"/>
        <v>77812.479999999996</v>
      </c>
      <c r="K35" s="7">
        <f t="shared" si="8"/>
        <v>2.0192506092932144E-2</v>
      </c>
      <c r="M35" s="194">
        <f t="shared" ref="M35:M40" si="10">$D35-F35</f>
        <v>233437.44</v>
      </c>
      <c r="N35" s="268">
        <f t="shared" ref="N35:N40" si="11">$E35-G35</f>
        <v>6.0577518278796434E-2</v>
      </c>
      <c r="O35" s="194">
        <f t="shared" ref="O35:O40" si="12">$D35-H35</f>
        <v>233437.44</v>
      </c>
      <c r="P35" s="268">
        <f t="shared" ref="P35:P40" si="13">$E35-I35</f>
        <v>6.0577518278796434E-2</v>
      </c>
      <c r="Q35" s="194">
        <f t="shared" ref="Q35:Q40" si="14">$D35-J35</f>
        <v>155624.96000000002</v>
      </c>
      <c r="R35" s="268">
        <f t="shared" ref="R35:R40" si="15">$E35-K35</f>
        <v>4.0385012185864294E-2</v>
      </c>
    </row>
    <row r="36" spans="1:18" x14ac:dyDescent="0.25">
      <c r="B36" t="s">
        <v>13</v>
      </c>
      <c r="D36" s="266">
        <f>ProForma!L34</f>
        <v>0</v>
      </c>
      <c r="E36" s="7">
        <f t="shared" si="6"/>
        <v>0</v>
      </c>
      <c r="F36" s="194">
        <f t="shared" si="9"/>
        <v>0</v>
      </c>
      <c r="G36" s="267"/>
      <c r="H36" s="194">
        <f t="shared" si="9"/>
        <v>0</v>
      </c>
      <c r="I36" s="267"/>
      <c r="J36" s="266">
        <f t="shared" si="7"/>
        <v>0</v>
      </c>
      <c r="K36" s="7">
        <f>+J36/J$20</f>
        <v>0</v>
      </c>
      <c r="M36" s="194">
        <f t="shared" si="10"/>
        <v>0</v>
      </c>
      <c r="N36" s="268">
        <f t="shared" si="11"/>
        <v>0</v>
      </c>
      <c r="O36" s="194">
        <f t="shared" si="12"/>
        <v>0</v>
      </c>
      <c r="P36" s="268">
        <f t="shared" si="13"/>
        <v>0</v>
      </c>
      <c r="Q36" s="194">
        <f t="shared" si="14"/>
        <v>0</v>
      </c>
      <c r="R36" s="268">
        <f t="shared" si="15"/>
        <v>0</v>
      </c>
    </row>
    <row r="37" spans="1:18" x14ac:dyDescent="0.25">
      <c r="B37" t="s">
        <v>12</v>
      </c>
      <c r="D37" s="266">
        <f>ProForma!L35</f>
        <v>45542.8</v>
      </c>
      <c r="E37" s="7">
        <f t="shared" si="6"/>
        <v>1.1818454655206853E-2</v>
      </c>
      <c r="F37" s="194">
        <f t="shared" si="9"/>
        <v>0</v>
      </c>
      <c r="G37" s="267"/>
      <c r="H37" s="194">
        <f t="shared" si="9"/>
        <v>0</v>
      </c>
      <c r="I37" s="267"/>
      <c r="J37" s="266">
        <f t="shared" si="7"/>
        <v>15180.933333333334</v>
      </c>
      <c r="K37" s="7">
        <f t="shared" si="8"/>
        <v>3.9394848850689513E-3</v>
      </c>
      <c r="M37" s="194">
        <f t="shared" si="10"/>
        <v>45542.8</v>
      </c>
      <c r="N37" s="268">
        <f t="shared" si="11"/>
        <v>1.1818454655206853E-2</v>
      </c>
      <c r="O37" s="194">
        <f t="shared" si="12"/>
        <v>45542.8</v>
      </c>
      <c r="P37" s="268">
        <f t="shared" si="13"/>
        <v>1.1818454655206853E-2</v>
      </c>
      <c r="Q37" s="194">
        <f t="shared" si="14"/>
        <v>30361.866666666669</v>
      </c>
      <c r="R37" s="268">
        <f t="shared" si="15"/>
        <v>7.8789697701379009E-3</v>
      </c>
    </row>
    <row r="38" spans="1:18" x14ac:dyDescent="0.25">
      <c r="B38" t="s">
        <v>14</v>
      </c>
      <c r="D38" s="266">
        <f>ProForma!L36</f>
        <v>572738.68000000005</v>
      </c>
      <c r="E38" s="7">
        <f t="shared" si="6"/>
        <v>0.14862692058597687</v>
      </c>
      <c r="F38" s="194">
        <f t="shared" si="9"/>
        <v>0</v>
      </c>
      <c r="G38" s="267"/>
      <c r="H38" s="194">
        <f t="shared" si="9"/>
        <v>0</v>
      </c>
      <c r="I38" s="267"/>
      <c r="J38" s="266">
        <f t="shared" si="7"/>
        <v>190912.89333333334</v>
      </c>
      <c r="K38" s="7">
        <f t="shared" si="8"/>
        <v>4.9542306861992291E-2</v>
      </c>
      <c r="M38" s="194">
        <f t="shared" si="10"/>
        <v>572738.68000000005</v>
      </c>
      <c r="N38" s="268">
        <f t="shared" si="11"/>
        <v>0.14862692058597687</v>
      </c>
      <c r="O38" s="194">
        <f t="shared" si="12"/>
        <v>572738.68000000005</v>
      </c>
      <c r="P38" s="268">
        <f t="shared" si="13"/>
        <v>0.14862692058597687</v>
      </c>
      <c r="Q38" s="194">
        <f t="shared" si="14"/>
        <v>381825.78666666674</v>
      </c>
      <c r="R38" s="268">
        <f t="shared" si="15"/>
        <v>9.9084613723984583E-2</v>
      </c>
    </row>
    <row r="39" spans="1:18" x14ac:dyDescent="0.25">
      <c r="B39" t="s">
        <v>15</v>
      </c>
      <c r="D39" s="266">
        <f>ProForma!L37</f>
        <v>53493.23</v>
      </c>
      <c r="E39" s="7">
        <f t="shared" si="6"/>
        <v>1.3881608357754703E-2</v>
      </c>
      <c r="F39" s="194">
        <f t="shared" si="9"/>
        <v>0</v>
      </c>
      <c r="G39" s="267"/>
      <c r="H39" s="194">
        <f t="shared" si="9"/>
        <v>0</v>
      </c>
      <c r="I39" s="267"/>
      <c r="J39" s="266">
        <f t="shared" si="7"/>
        <v>17831.076666666668</v>
      </c>
      <c r="K39" s="7">
        <f t="shared" si="8"/>
        <v>4.6272027859182345E-3</v>
      </c>
      <c r="M39" s="194">
        <f t="shared" si="10"/>
        <v>53493.23</v>
      </c>
      <c r="N39" s="268">
        <f t="shared" si="11"/>
        <v>1.3881608357754703E-2</v>
      </c>
      <c r="O39" s="194">
        <f t="shared" si="12"/>
        <v>53493.23</v>
      </c>
      <c r="P39" s="268">
        <f t="shared" si="13"/>
        <v>1.3881608357754703E-2</v>
      </c>
      <c r="Q39" s="194">
        <f t="shared" si="14"/>
        <v>35662.153333333335</v>
      </c>
      <c r="R39" s="268">
        <f t="shared" si="15"/>
        <v>9.2544055718364673E-3</v>
      </c>
    </row>
    <row r="40" spans="1:18" x14ac:dyDescent="0.25">
      <c r="B40" t="s">
        <v>16</v>
      </c>
      <c r="D40" s="266">
        <f>ProForma!L38</f>
        <v>125018.93</v>
      </c>
      <c r="E40" s="7">
        <f t="shared" si="6"/>
        <v>3.2442681505034376E-2</v>
      </c>
      <c r="F40" s="194">
        <f>+F20*0.03</f>
        <v>115605.97725</v>
      </c>
      <c r="G40" s="267"/>
      <c r="H40" s="194">
        <f>+H20*0.03</f>
        <v>115605.97725</v>
      </c>
      <c r="I40" s="267"/>
      <c r="J40" s="266">
        <f t="shared" si="7"/>
        <v>118743.62816666666</v>
      </c>
      <c r="K40" s="7">
        <f t="shared" si="8"/>
        <v>3.0814227168344789E-2</v>
      </c>
      <c r="M40" s="194">
        <f t="shared" si="10"/>
        <v>9412.9527499999967</v>
      </c>
      <c r="N40" s="268">
        <f t="shared" si="11"/>
        <v>3.2442681505034376E-2</v>
      </c>
      <c r="O40" s="194">
        <f t="shared" si="12"/>
        <v>9412.9527499999967</v>
      </c>
      <c r="P40" s="268">
        <f t="shared" si="13"/>
        <v>3.2442681505034376E-2</v>
      </c>
      <c r="Q40" s="194">
        <f t="shared" si="14"/>
        <v>6275.3018333333312</v>
      </c>
      <c r="R40" s="268">
        <f t="shared" si="15"/>
        <v>1.6284543366895873E-3</v>
      </c>
    </row>
    <row r="41" spans="1:18" x14ac:dyDescent="0.25">
      <c r="D41" s="266"/>
      <c r="E41" s="7"/>
      <c r="F41" s="266"/>
      <c r="G41" s="7"/>
      <c r="H41" s="266"/>
      <c r="I41" s="7"/>
      <c r="J41" s="266"/>
      <c r="K41" s="7"/>
      <c r="M41" s="266"/>
      <c r="N41" s="7"/>
      <c r="O41" s="266"/>
      <c r="P41" s="7"/>
      <c r="Q41" s="266"/>
      <c r="R41" s="7"/>
    </row>
    <row r="42" spans="1:18" x14ac:dyDescent="0.25">
      <c r="A42" s="11" t="s">
        <v>17</v>
      </c>
      <c r="D42" s="266" t="e">
        <f>SUM(D34:D40)</f>
        <v>#REF!</v>
      </c>
      <c r="E42" s="7" t="e">
        <f>+D42/D$20</f>
        <v>#REF!</v>
      </c>
      <c r="F42" s="266">
        <f>SUM(F34:F40)</f>
        <v>115605.97725</v>
      </c>
      <c r="G42" s="7">
        <f>+F42/F$20</f>
        <v>0.03</v>
      </c>
      <c r="H42" s="266">
        <f>SUM(H34:H40)</f>
        <v>115605.97725</v>
      </c>
      <c r="I42" s="7">
        <f>+H42/H$20</f>
        <v>0.03</v>
      </c>
      <c r="J42" s="266" t="e">
        <f>SUM(J34:J40)</f>
        <v>#REF!</v>
      </c>
      <c r="K42" s="7" t="e">
        <f>+J42/J$20</f>
        <v>#REF!</v>
      </c>
      <c r="M42" s="266" t="e">
        <f>SUM(M34:M40)</f>
        <v>#REF!</v>
      </c>
      <c r="N42" s="7" t="e">
        <f>+M42/M$20</f>
        <v>#REF!</v>
      </c>
      <c r="O42" s="266" t="e">
        <f>SUM(O34:O40)</f>
        <v>#REF!</v>
      </c>
      <c r="P42" s="7" t="e">
        <f>+O42/O$20</f>
        <v>#REF!</v>
      </c>
      <c r="Q42" s="266" t="e">
        <f>SUM(Q34:Q40)</f>
        <v>#REF!</v>
      </c>
      <c r="R42" s="7" t="e">
        <f>+Q42/Q$20</f>
        <v>#REF!</v>
      </c>
    </row>
    <row r="43" spans="1:18" x14ac:dyDescent="0.25">
      <c r="D43" s="266"/>
      <c r="E43" s="7"/>
      <c r="F43" s="266"/>
      <c r="G43" s="7"/>
      <c r="H43" s="266"/>
      <c r="I43" s="7"/>
      <c r="J43" s="266"/>
      <c r="K43" s="7"/>
      <c r="M43" s="266"/>
      <c r="N43" s="7"/>
      <c r="O43" s="266"/>
      <c r="P43" s="7"/>
      <c r="Q43" s="266"/>
      <c r="R43" s="7"/>
    </row>
    <row r="44" spans="1:18" x14ac:dyDescent="0.25">
      <c r="A44" s="11" t="s">
        <v>21</v>
      </c>
      <c r="D44" s="266" t="e">
        <f>+D30-D42</f>
        <v>#REF!</v>
      </c>
      <c r="E44" s="7" t="e">
        <f>+D44/D$20</f>
        <v>#REF!</v>
      </c>
      <c r="F44" s="266">
        <f>+F30-F42</f>
        <v>3737926.5977500002</v>
      </c>
      <c r="G44" s="7">
        <f>+F44/F$20</f>
        <v>0.97</v>
      </c>
      <c r="H44" s="266">
        <f>+H30-H42</f>
        <v>3737926.5977500002</v>
      </c>
      <c r="I44" s="7">
        <f>+H44/H$20</f>
        <v>0.97</v>
      </c>
      <c r="J44" s="266" t="e">
        <f>+J30-J42</f>
        <v>#REF!</v>
      </c>
      <c r="K44" s="7" t="e">
        <f>+J44/J$20</f>
        <v>#REF!</v>
      </c>
      <c r="M44" s="266" t="e">
        <f>+M30-M42</f>
        <v>#REF!</v>
      </c>
      <c r="N44" s="7" t="e">
        <f>+M44/M$20</f>
        <v>#REF!</v>
      </c>
      <c r="O44" s="266" t="e">
        <f>+O30-O42</f>
        <v>#DIV/0!</v>
      </c>
      <c r="P44" s="7" t="e">
        <f>+O44/O$20</f>
        <v>#DIV/0!</v>
      </c>
      <c r="Q44" s="266" t="e">
        <f>+Q30-Q42</f>
        <v>#REF!</v>
      </c>
      <c r="R44" s="7" t="e">
        <f>+Q44/Q$20</f>
        <v>#REF!</v>
      </c>
    </row>
    <row r="45" spans="1:18" x14ac:dyDescent="0.25">
      <c r="D45" s="266"/>
      <c r="E45" s="7"/>
      <c r="F45" s="266"/>
      <c r="G45" s="7"/>
      <c r="H45" s="266"/>
      <c r="I45" s="7"/>
      <c r="J45" s="266"/>
      <c r="K45" s="7"/>
      <c r="M45" s="266"/>
      <c r="N45" s="7"/>
      <c r="O45" s="266"/>
      <c r="P45" s="7"/>
      <c r="Q45" s="266"/>
      <c r="R45" s="7"/>
    </row>
    <row r="46" spans="1:18" ht="15" hidden="1" customHeight="1" x14ac:dyDescent="0.25">
      <c r="B46" t="s">
        <v>111</v>
      </c>
      <c r="D46" s="266" t="e">
        <f>D28+D42</f>
        <v>#REF!</v>
      </c>
      <c r="E46" s="7" t="e">
        <f>D46/D20</f>
        <v>#REF!</v>
      </c>
      <c r="F46" s="266">
        <f>F28+F42</f>
        <v>115605.97725</v>
      </c>
      <c r="G46" s="7">
        <f>F46/F20</f>
        <v>0.03</v>
      </c>
      <c r="H46" s="266">
        <f>H28+H42</f>
        <v>115605.97725</v>
      </c>
      <c r="I46" s="7">
        <f>H46/H20</f>
        <v>0.03</v>
      </c>
      <c r="J46" s="266" t="e">
        <f>J28+J42</f>
        <v>#REF!</v>
      </c>
      <c r="K46" s="7" t="e">
        <f>J46/J20</f>
        <v>#REF!</v>
      </c>
      <c r="M46" s="266" t="e">
        <f>M28+M42</f>
        <v>#REF!</v>
      </c>
      <c r="N46" s="7" t="e">
        <f>M46/M20</f>
        <v>#REF!</v>
      </c>
      <c r="O46" s="266" t="e">
        <f>O28+O42</f>
        <v>#DIV/0!</v>
      </c>
      <c r="P46" s="7" t="e">
        <f>O46/O20</f>
        <v>#DIV/0!</v>
      </c>
      <c r="Q46" s="266" t="e">
        <f>Q28+Q42</f>
        <v>#REF!</v>
      </c>
      <c r="R46" s="7" t="e">
        <f>Q46/Q20</f>
        <v>#REF!</v>
      </c>
    </row>
    <row r="47" spans="1:18" x14ac:dyDescent="0.25">
      <c r="D47" s="266"/>
      <c r="E47" s="7"/>
      <c r="F47" s="266"/>
      <c r="G47" s="7"/>
      <c r="H47" s="266"/>
      <c r="I47" s="7"/>
      <c r="J47" s="266"/>
      <c r="K47" s="7"/>
      <c r="M47" s="266"/>
      <c r="N47" s="7"/>
      <c r="O47" s="266"/>
      <c r="P47" s="7"/>
      <c r="Q47" s="266"/>
      <c r="R47" s="7"/>
    </row>
    <row r="48" spans="1:18" ht="15" hidden="1" customHeight="1" outlineLevel="1" x14ac:dyDescent="0.25">
      <c r="A48" s="11" t="s">
        <v>71</v>
      </c>
      <c r="D48" s="266"/>
      <c r="E48" s="7"/>
      <c r="F48" s="266"/>
      <c r="G48" s="7"/>
      <c r="H48" s="266"/>
      <c r="I48" s="7"/>
      <c r="J48" s="266"/>
      <c r="K48" s="7"/>
      <c r="M48" s="266"/>
      <c r="N48" s="7"/>
      <c r="O48" s="266"/>
      <c r="P48" s="7"/>
      <c r="Q48" s="266"/>
      <c r="R48" s="7"/>
    </row>
    <row r="49" spans="1:18" ht="15" hidden="1" customHeight="1" outlineLevel="1" x14ac:dyDescent="0.25">
      <c r="D49" s="266"/>
      <c r="E49" s="7"/>
      <c r="F49" s="266"/>
      <c r="G49" s="7"/>
      <c r="H49" s="266"/>
      <c r="I49" s="7"/>
      <c r="J49" s="266"/>
      <c r="K49" s="7"/>
      <c r="M49" s="266"/>
      <c r="N49" s="7"/>
      <c r="O49" s="266"/>
      <c r="P49" s="7"/>
      <c r="Q49" s="266"/>
      <c r="R49" s="7"/>
    </row>
    <row r="50" spans="1:18" ht="15" hidden="1" customHeight="1" outlineLevel="1" x14ac:dyDescent="0.25">
      <c r="B50" t="s">
        <v>16</v>
      </c>
      <c r="D50" s="266"/>
      <c r="E50" s="9"/>
      <c r="F50" s="266"/>
      <c r="G50" s="9"/>
      <c r="H50" s="266"/>
      <c r="I50" s="9"/>
      <c r="J50" s="266"/>
      <c r="K50" s="9"/>
      <c r="M50" s="266"/>
      <c r="N50" s="9"/>
      <c r="O50" s="266"/>
      <c r="P50" s="9"/>
      <c r="Q50" s="266"/>
      <c r="R50" s="9"/>
    </row>
    <row r="51" spans="1:18" ht="15" hidden="1" customHeight="1" outlineLevel="1" x14ac:dyDescent="0.25">
      <c r="B51" t="s">
        <v>19</v>
      </c>
      <c r="D51" s="266"/>
      <c r="E51" s="9"/>
      <c r="F51" s="266"/>
      <c r="G51" s="9"/>
      <c r="H51" s="266"/>
      <c r="I51" s="9"/>
      <c r="J51" s="266"/>
      <c r="K51" s="9"/>
      <c r="M51" s="266"/>
      <c r="N51" s="9"/>
      <c r="O51" s="266"/>
      <c r="P51" s="9"/>
      <c r="Q51" s="266"/>
      <c r="R51" s="9"/>
    </row>
    <row r="52" spans="1:18" ht="15" hidden="1" customHeight="1" outlineLevel="1" x14ac:dyDescent="0.25">
      <c r="B52" t="s">
        <v>20</v>
      </c>
      <c r="D52" s="266"/>
      <c r="E52" s="9"/>
      <c r="F52" s="266"/>
      <c r="G52" s="9"/>
      <c r="H52" s="266"/>
      <c r="I52" s="9"/>
      <c r="J52" s="266"/>
      <c r="K52" s="9"/>
      <c r="M52" s="266"/>
      <c r="N52" s="9"/>
      <c r="O52" s="266"/>
      <c r="P52" s="9"/>
      <c r="Q52" s="266"/>
      <c r="R52" s="9"/>
    </row>
    <row r="53" spans="1:18" ht="15" hidden="1" customHeight="1" outlineLevel="1" x14ac:dyDescent="0.25">
      <c r="B53" t="s">
        <v>20</v>
      </c>
      <c r="D53" s="266"/>
      <c r="E53" s="9"/>
      <c r="F53" s="266"/>
      <c r="G53" s="9"/>
      <c r="H53" s="266"/>
      <c r="I53" s="9"/>
      <c r="J53" s="266"/>
      <c r="K53" s="9"/>
      <c r="M53" s="266"/>
      <c r="N53" s="9"/>
      <c r="O53" s="266"/>
      <c r="P53" s="9"/>
      <c r="Q53" s="266"/>
      <c r="R53" s="9"/>
    </row>
    <row r="54" spans="1:18" ht="15" hidden="1" customHeight="1" outlineLevel="1" x14ac:dyDescent="0.25">
      <c r="B54" t="s">
        <v>20</v>
      </c>
      <c r="D54" s="266"/>
      <c r="E54" s="9"/>
      <c r="F54" s="266"/>
      <c r="G54" s="9"/>
      <c r="H54" s="266"/>
      <c r="I54" s="9"/>
      <c r="J54" s="266"/>
      <c r="K54" s="9"/>
      <c r="M54" s="266"/>
      <c r="N54" s="9"/>
      <c r="O54" s="266"/>
      <c r="P54" s="9"/>
      <c r="Q54" s="266"/>
      <c r="R54" s="9"/>
    </row>
    <row r="55" spans="1:18" ht="15" hidden="1" customHeight="1" outlineLevel="1" x14ac:dyDescent="0.25">
      <c r="D55" s="266"/>
      <c r="E55" s="7"/>
      <c r="F55" s="266"/>
      <c r="G55" s="7"/>
      <c r="H55" s="266"/>
      <c r="I55" s="7"/>
      <c r="J55" s="266"/>
      <c r="K55" s="7"/>
      <c r="M55" s="266"/>
      <c r="N55" s="7"/>
      <c r="O55" s="266"/>
      <c r="P55" s="7"/>
      <c r="Q55" s="266"/>
      <c r="R55" s="7"/>
    </row>
    <row r="56" spans="1:18" ht="15" hidden="1" customHeight="1" outlineLevel="1" x14ac:dyDescent="0.25">
      <c r="A56" s="11" t="s">
        <v>72</v>
      </c>
      <c r="D56" s="266">
        <f>SUM(D50:D54)</f>
        <v>0</v>
      </c>
      <c r="E56" s="7">
        <f>+D56/D$20</f>
        <v>0</v>
      </c>
      <c r="F56" s="266">
        <f>SUM(F50:F54)</f>
        <v>0</v>
      </c>
      <c r="G56" s="7">
        <f>+F56/F$20</f>
        <v>0</v>
      </c>
      <c r="H56" s="266">
        <f>SUM(H50:H54)</f>
        <v>0</v>
      </c>
      <c r="I56" s="7">
        <f>+H56/H$20</f>
        <v>0</v>
      </c>
      <c r="J56" s="266">
        <f>SUM(J50:J54)</f>
        <v>0</v>
      </c>
      <c r="K56" s="7">
        <f>+J56/J$20</f>
        <v>0</v>
      </c>
      <c r="M56" s="266">
        <f>SUM(M50:M54)</f>
        <v>0</v>
      </c>
      <c r="N56" s="7">
        <f>+M56/M$20</f>
        <v>0</v>
      </c>
      <c r="O56" s="266">
        <f>SUM(O50:O54)</f>
        <v>0</v>
      </c>
      <c r="P56" s="7">
        <f>+O56/O$20</f>
        <v>0</v>
      </c>
      <c r="Q56" s="266">
        <f>SUM(Q50:Q54)</f>
        <v>0</v>
      </c>
      <c r="R56" s="7">
        <f>+Q56/Q$20</f>
        <v>0</v>
      </c>
    </row>
    <row r="57" spans="1:18" ht="15" hidden="1" customHeight="1" outlineLevel="1" x14ac:dyDescent="0.25">
      <c r="D57" s="266"/>
      <c r="E57" s="7"/>
      <c r="F57" s="266"/>
      <c r="G57" s="7"/>
      <c r="H57" s="266"/>
      <c r="I57" s="7"/>
      <c r="J57" s="266"/>
      <c r="K57" s="7"/>
      <c r="M57" s="266"/>
      <c r="N57" s="7"/>
      <c r="O57" s="266"/>
      <c r="P57" s="7"/>
      <c r="Q57" s="266"/>
      <c r="R57" s="7"/>
    </row>
    <row r="58" spans="1:18" ht="15" hidden="1" customHeight="1" outlineLevel="1" x14ac:dyDescent="0.25">
      <c r="A58" s="11" t="s">
        <v>22</v>
      </c>
      <c r="D58" s="166" t="e">
        <f>+D44-D56</f>
        <v>#REF!</v>
      </c>
      <c r="E58" s="15" t="e">
        <f>+D58/D$20</f>
        <v>#REF!</v>
      </c>
      <c r="F58" s="166">
        <f>+F44-F56</f>
        <v>3737926.5977500002</v>
      </c>
      <c r="G58" s="15">
        <f>+F58/F$20</f>
        <v>0.97</v>
      </c>
      <c r="H58" s="166">
        <f>+H44-H56</f>
        <v>3737926.5977500002</v>
      </c>
      <c r="I58" s="15">
        <f>+H58/H$20</f>
        <v>0.97</v>
      </c>
      <c r="J58" s="166" t="e">
        <f>+J44-J56</f>
        <v>#REF!</v>
      </c>
      <c r="K58" s="15" t="e">
        <f>+J58/J$20</f>
        <v>#REF!</v>
      </c>
      <c r="M58" s="166" t="e">
        <f>+M44-M56</f>
        <v>#REF!</v>
      </c>
      <c r="N58" s="15" t="e">
        <f>+M58/M$20</f>
        <v>#REF!</v>
      </c>
      <c r="O58" s="166" t="e">
        <f>+O44-O56</f>
        <v>#DIV/0!</v>
      </c>
      <c r="P58" s="15" t="e">
        <f>+O58/O$20</f>
        <v>#DIV/0!</v>
      </c>
      <c r="Q58" s="166" t="e">
        <f>+Q44-Q56</f>
        <v>#REF!</v>
      </c>
      <c r="R58" s="15" t="e">
        <f>+Q58/Q$20</f>
        <v>#REF!</v>
      </c>
    </row>
    <row r="59" spans="1:18" ht="15" hidden="1" customHeight="1" outlineLevel="1" x14ac:dyDescent="0.25">
      <c r="D59" s="266"/>
      <c r="E59" s="7"/>
      <c r="F59" s="266"/>
      <c r="G59" s="7"/>
      <c r="H59" s="266"/>
      <c r="I59" s="7"/>
      <c r="J59" s="266"/>
      <c r="K59" s="7"/>
      <c r="M59" s="266"/>
      <c r="N59" s="7"/>
      <c r="O59" s="266"/>
      <c r="P59" s="7"/>
      <c r="Q59" s="266"/>
      <c r="R59" s="7"/>
    </row>
    <row r="60" spans="1:18" collapsed="1" x14ac:dyDescent="0.25">
      <c r="A60" s="11" t="s">
        <v>23</v>
      </c>
      <c r="D60" s="266"/>
      <c r="E60" s="7"/>
      <c r="F60" s="266"/>
      <c r="G60" s="7"/>
      <c r="H60" s="266"/>
      <c r="I60" s="7"/>
      <c r="J60" s="266"/>
      <c r="K60" s="7"/>
      <c r="M60" s="266"/>
      <c r="N60" s="7"/>
      <c r="O60" s="266"/>
      <c r="P60" s="7"/>
      <c r="Q60" s="266"/>
      <c r="R60" s="7"/>
    </row>
    <row r="61" spans="1:18" x14ac:dyDescent="0.25">
      <c r="D61" s="266"/>
      <c r="E61" s="7"/>
      <c r="F61" s="266"/>
      <c r="G61" s="7"/>
      <c r="H61" s="266"/>
      <c r="I61" s="7"/>
      <c r="J61" s="266"/>
      <c r="K61" s="7"/>
      <c r="M61" s="266"/>
      <c r="N61" s="7"/>
      <c r="O61" s="266"/>
      <c r="P61" s="7"/>
      <c r="Q61" s="266"/>
      <c r="R61" s="7"/>
    </row>
    <row r="62" spans="1:18" x14ac:dyDescent="0.25">
      <c r="B62" t="s">
        <v>24</v>
      </c>
      <c r="D62" s="266">
        <f>ProForma!L63</f>
        <v>0</v>
      </c>
      <c r="E62" s="7">
        <f>+D62/D$20</f>
        <v>0</v>
      </c>
      <c r="F62" s="237">
        <f>D62</f>
        <v>0</v>
      </c>
      <c r="G62" s="7">
        <f>+F62/F$20</f>
        <v>0</v>
      </c>
      <c r="H62" s="237">
        <f>D62</f>
        <v>0</v>
      </c>
      <c r="I62" s="7">
        <f t="shared" ref="I62:I69" si="16">+H62/H$20</f>
        <v>0</v>
      </c>
      <c r="J62" s="266">
        <f>IF(D62&gt;0,(D62+F62+H62)/3,(F62+H62)/2)</f>
        <v>0</v>
      </c>
      <c r="K62" s="7">
        <f>+J62/J$20</f>
        <v>0</v>
      </c>
      <c r="M62" s="11"/>
      <c r="N62" s="7">
        <f>+M62/M$20</f>
        <v>0</v>
      </c>
      <c r="O62" s="11">
        <f>+M62*1.035</f>
        <v>0</v>
      </c>
      <c r="P62" s="7">
        <f>+O62/O$20</f>
        <v>0</v>
      </c>
      <c r="Q62" s="11">
        <f>+O62*1.035</f>
        <v>0</v>
      </c>
      <c r="R62" s="7">
        <f>+Q62/Q$20</f>
        <v>0</v>
      </c>
    </row>
    <row r="63" spans="1:18" x14ac:dyDescent="0.25">
      <c r="B63" t="s">
        <v>25</v>
      </c>
      <c r="D63" s="266">
        <f>ProForma!L64</f>
        <v>42186.98</v>
      </c>
      <c r="E63" s="7">
        <f>+D63/D$20</f>
        <v>1.0947612140011559E-2</v>
      </c>
      <c r="F63" s="237">
        <f>D63</f>
        <v>42186.98</v>
      </c>
      <c r="G63" s="7">
        <f>+F63/F$20</f>
        <v>1.0947612140011559E-2</v>
      </c>
      <c r="H63" s="237">
        <f>D63</f>
        <v>42186.98</v>
      </c>
      <c r="I63" s="7">
        <f t="shared" si="16"/>
        <v>1.0947612140011559E-2</v>
      </c>
      <c r="J63" s="266">
        <f>IF(D63&gt;0,(D63+F63+H63)/3,(F63+H63)/2)</f>
        <v>42186.98</v>
      </c>
      <c r="K63" s="7">
        <f>+J63/J$20</f>
        <v>1.0947612140011559E-2</v>
      </c>
      <c r="M63" s="11"/>
      <c r="N63" s="7">
        <f>+M63/M$20</f>
        <v>0</v>
      </c>
      <c r="O63" s="11">
        <f>+M63*1.035</f>
        <v>0</v>
      </c>
      <c r="P63" s="7">
        <f>+O63/O$20</f>
        <v>0</v>
      </c>
      <c r="Q63" s="11">
        <f>+O63*1.035</f>
        <v>0</v>
      </c>
      <c r="R63" s="7">
        <f>+Q63/Q$20</f>
        <v>0</v>
      </c>
    </row>
    <row r="64" spans="1:18" x14ac:dyDescent="0.25">
      <c r="B64" t="s">
        <v>26</v>
      </c>
      <c r="D64" s="266">
        <f>ProForma!L65</f>
        <v>0</v>
      </c>
      <c r="E64" s="7">
        <f>+D64/D$20</f>
        <v>0</v>
      </c>
      <c r="F64" s="237">
        <f>D64</f>
        <v>0</v>
      </c>
      <c r="G64" s="7">
        <f>+F64/F$20</f>
        <v>0</v>
      </c>
      <c r="H64" s="237">
        <f>D64</f>
        <v>0</v>
      </c>
      <c r="I64" s="7">
        <f t="shared" si="16"/>
        <v>0</v>
      </c>
      <c r="J64" s="266">
        <f>IF(D64&gt;0,(D64+F64+H64)/3,(F64+H64)/2)</f>
        <v>0</v>
      </c>
      <c r="K64" s="7">
        <f>+J64/J$20</f>
        <v>0</v>
      </c>
      <c r="M64" s="11"/>
      <c r="N64" s="7">
        <f>+M64/M$20</f>
        <v>0</v>
      </c>
      <c r="O64" s="11">
        <f>+M64*1.035</f>
        <v>0</v>
      </c>
      <c r="P64" s="7">
        <f>+O64/O$20</f>
        <v>0</v>
      </c>
      <c r="Q64" s="11">
        <f>+O64*1.035</f>
        <v>0</v>
      </c>
      <c r="R64" s="7">
        <f>+Q64/Q$20</f>
        <v>0</v>
      </c>
    </row>
    <row r="65" spans="1:18" x14ac:dyDescent="0.25">
      <c r="B65" t="s">
        <v>101</v>
      </c>
      <c r="D65" s="266">
        <f>ProForma!L66</f>
        <v>67773.929999999993</v>
      </c>
      <c r="E65" s="7">
        <f>+D65/D$20</f>
        <v>1.7587480754590479E-2</v>
      </c>
      <c r="F65" s="11">
        <f>F20*0.04</f>
        <v>154141.30300000001</v>
      </c>
      <c r="G65" s="7">
        <f>+F65/F$20</f>
        <v>0.04</v>
      </c>
      <c r="H65" s="237">
        <f>D65</f>
        <v>67773.929999999993</v>
      </c>
      <c r="I65" s="7">
        <f t="shared" si="16"/>
        <v>1.7587480754590479E-2</v>
      </c>
      <c r="J65" s="266">
        <f>IF(D65&gt;0,(D65+F65+H65)/3,(F65+H65)/2)</f>
        <v>96563.054333333333</v>
      </c>
      <c r="K65" s="7">
        <f>+J65/J$20</f>
        <v>2.5058320503060321E-2</v>
      </c>
      <c r="M65" s="11">
        <f>M20*0.04</f>
        <v>154141.30300000001</v>
      </c>
      <c r="N65" s="7">
        <f>+M65/M$20</f>
        <v>0.04</v>
      </c>
      <c r="O65" s="11">
        <f>O20*0.04</f>
        <v>154141.30300000001</v>
      </c>
      <c r="P65" s="7">
        <f>+O65/O$20</f>
        <v>0.04</v>
      </c>
      <c r="Q65" s="11">
        <f>Q20*0.04</f>
        <v>154141.30300000001</v>
      </c>
      <c r="R65" s="7">
        <f>+Q65/Q$20</f>
        <v>0.04</v>
      </c>
    </row>
    <row r="66" spans="1:18" x14ac:dyDescent="0.25">
      <c r="D66" s="266"/>
      <c r="E66" s="7"/>
      <c r="F66" s="266"/>
      <c r="G66" s="7"/>
      <c r="H66" s="266"/>
      <c r="I66" s="7"/>
      <c r="J66" s="266"/>
      <c r="K66" s="7"/>
      <c r="M66" s="266"/>
      <c r="N66" s="7"/>
      <c r="O66" s="266"/>
      <c r="P66" s="7"/>
      <c r="Q66" s="266"/>
      <c r="R66" s="7"/>
    </row>
    <row r="67" spans="1:18" x14ac:dyDescent="0.25">
      <c r="A67" s="11" t="s">
        <v>27</v>
      </c>
      <c r="D67" s="266">
        <f>SUM(D62:D65)</f>
        <v>109960.91</v>
      </c>
      <c r="E67" s="7">
        <f>+D67/D$20</f>
        <v>2.853509289460204E-2</v>
      </c>
      <c r="F67" s="266">
        <f>SUM(F62:F65)</f>
        <v>196328.28300000002</v>
      </c>
      <c r="G67" s="7">
        <f>+F67/F$20</f>
        <v>5.0947612140011561E-2</v>
      </c>
      <c r="H67" s="266">
        <f>SUM(H62:H65)</f>
        <v>109960.91</v>
      </c>
      <c r="I67" s="7">
        <f t="shared" si="16"/>
        <v>2.853509289460204E-2</v>
      </c>
      <c r="J67" s="266">
        <f>SUM(J62:J65)</f>
        <v>138750.03433333334</v>
      </c>
      <c r="K67" s="7">
        <f>+J67/J$20</f>
        <v>3.6005932643071878E-2</v>
      </c>
      <c r="M67" s="266">
        <f>SUM(M62:M65)</f>
        <v>154141.30300000001</v>
      </c>
      <c r="N67" s="7">
        <f>+M67/M$20</f>
        <v>0.04</v>
      </c>
      <c r="O67" s="266">
        <f>SUM(O62:O65)</f>
        <v>154141.30300000001</v>
      </c>
      <c r="P67" s="7">
        <f>+O67/O$20</f>
        <v>0.04</v>
      </c>
      <c r="Q67" s="266">
        <f>SUM(Q62:Q65)</f>
        <v>154141.30300000001</v>
      </c>
      <c r="R67" s="7">
        <f>+Q67/Q$20</f>
        <v>0.04</v>
      </c>
    </row>
    <row r="68" spans="1:18" x14ac:dyDescent="0.25">
      <c r="D68" s="266"/>
      <c r="E68" s="7"/>
      <c r="F68" s="266"/>
      <c r="G68" s="7"/>
      <c r="H68" s="266"/>
      <c r="I68" s="7"/>
      <c r="J68" s="266"/>
      <c r="K68" s="7"/>
      <c r="M68" s="266"/>
      <c r="N68" s="7"/>
      <c r="O68" s="266"/>
      <c r="P68" s="7"/>
      <c r="Q68" s="266"/>
      <c r="R68" s="7"/>
    </row>
    <row r="69" spans="1:18" ht="15.75" thickBot="1" x14ac:dyDescent="0.3">
      <c r="A69" s="11" t="s">
        <v>28</v>
      </c>
      <c r="D69" s="236" t="e">
        <f>+D58-D67</f>
        <v>#REF!</v>
      </c>
      <c r="E69" s="16" t="e">
        <f>+D69/D$20</f>
        <v>#REF!</v>
      </c>
      <c r="F69" s="236">
        <f>+F58-F67</f>
        <v>3541598.3147500004</v>
      </c>
      <c r="G69" s="16">
        <f>+F69/F$20</f>
        <v>0.91905238785998844</v>
      </c>
      <c r="H69" s="236">
        <f>+H58-H67</f>
        <v>3627965.68775</v>
      </c>
      <c r="I69" s="16">
        <f t="shared" si="16"/>
        <v>0.94146490710539787</v>
      </c>
      <c r="J69" s="236" t="e">
        <f>+J58-J67</f>
        <v>#REF!</v>
      </c>
      <c r="K69" s="16" t="e">
        <f>+J69/J$20</f>
        <v>#REF!</v>
      </c>
      <c r="M69" s="236" t="e">
        <f>+M58-M67</f>
        <v>#REF!</v>
      </c>
      <c r="N69" s="16" t="e">
        <f>+M69/M$20</f>
        <v>#REF!</v>
      </c>
      <c r="O69" s="236" t="e">
        <f>+O58-O67</f>
        <v>#DIV/0!</v>
      </c>
      <c r="P69" s="16" t="e">
        <f>+O69/O$20</f>
        <v>#DIV/0!</v>
      </c>
      <c r="Q69" s="236" t="e">
        <f>+Q58-Q67</f>
        <v>#REF!</v>
      </c>
      <c r="R69" s="16" t="e">
        <f>+Q69/Q$20</f>
        <v>#REF!</v>
      </c>
    </row>
    <row r="70" spans="1:18" s="18" customFormat="1" ht="12" thickTop="1" x14ac:dyDescent="0.2">
      <c r="A70" s="17"/>
      <c r="E70" s="18">
        <v>1</v>
      </c>
      <c r="G70" s="18">
        <v>1</v>
      </c>
      <c r="I70" s="18">
        <v>1</v>
      </c>
      <c r="K70" s="18">
        <v>1</v>
      </c>
      <c r="N70" s="18">
        <v>1</v>
      </c>
      <c r="P70" s="18">
        <v>2</v>
      </c>
      <c r="R70" s="18">
        <v>3</v>
      </c>
    </row>
    <row r="71" spans="1:18" x14ac:dyDescent="0.25">
      <c r="A71" s="11" t="s">
        <v>239</v>
      </c>
      <c r="D71" s="1115">
        <f>IPMT(Pricing!$E37,E70,Pricing!$E38,-Pricing!$E35)</f>
        <v>604911.89375000005</v>
      </c>
      <c r="E71" s="1115"/>
      <c r="F71" s="1115">
        <f>IPMT(Pricing!$E37,G70,Pricing!$E38,-Pricing!$E35)</f>
        <v>604911.89375000005</v>
      </c>
      <c r="G71" s="1115"/>
      <c r="H71" s="1115">
        <f>IPMT(Pricing!$E37,I70,Pricing!$E38,-Pricing!$E35)</f>
        <v>604911.89375000005</v>
      </c>
      <c r="I71" s="1115"/>
      <c r="J71" s="1115">
        <f>IPMT(Pricing!$E37,K70,Pricing!$E38,-Pricing!$E35)</f>
        <v>604911.89375000005</v>
      </c>
      <c r="K71" s="1115"/>
      <c r="L71" s="266"/>
      <c r="M71" s="1115">
        <f>IPMT(Pricing!$E37,N70,Pricing!$E38,-Pricing!$E35)</f>
        <v>604911.89375000005</v>
      </c>
      <c r="N71" s="1115"/>
      <c r="O71" s="1115">
        <f>IPMT(Pricing!$E37,P70,Pricing!$E38,-Pricing!$E35)</f>
        <v>595689.19764226431</v>
      </c>
      <c r="P71" s="1115"/>
      <c r="Q71" s="1115">
        <f>IPMT(Pricing!$E37,R70,Pricing!$E38,-Pricing!$E35)</f>
        <v>586012.28375122254</v>
      </c>
      <c r="R71" s="1115"/>
    </row>
    <row r="72" spans="1:18" x14ac:dyDescent="0.25">
      <c r="A72" s="11" t="s">
        <v>240</v>
      </c>
      <c r="D72" s="1115">
        <f>IPMT(Pricing!$G37,E70,Pricing!$G38,-Pricing!$G35)</f>
        <v>0</v>
      </c>
      <c r="E72" s="1115"/>
      <c r="F72" s="1115">
        <f>IPMT(Pricing!$G37,G70,Pricing!$G38,-Pricing!$G35)</f>
        <v>0</v>
      </c>
      <c r="G72" s="1115"/>
      <c r="H72" s="1115">
        <f>IPMT(Pricing!$G37,I70,Pricing!$G38,-Pricing!$G35)</f>
        <v>0</v>
      </c>
      <c r="I72" s="1115"/>
      <c r="J72" s="1115">
        <f>IPMT(Pricing!$G37,K70,Pricing!$G38,-Pricing!$G35)</f>
        <v>0</v>
      </c>
      <c r="K72" s="1115"/>
      <c r="L72" s="266"/>
      <c r="M72" s="1115">
        <f>IPMT(Pricing!$G37,N70,Pricing!$G38,-Pricing!$G35)</f>
        <v>0</v>
      </c>
      <c r="N72" s="1115"/>
      <c r="O72" s="1115">
        <f>IPMT(Pricing!$G37,P70,Pricing!$G38,-Pricing!$G35)</f>
        <v>0</v>
      </c>
      <c r="P72" s="1115"/>
      <c r="Q72" s="1115">
        <f>IPMT(Pricing!$G37,R70,Pricing!$G38,-Pricing!$G35)</f>
        <v>0</v>
      </c>
      <c r="R72" s="1115"/>
    </row>
    <row r="73" spans="1:18" x14ac:dyDescent="0.25">
      <c r="A73" s="11" t="s">
        <v>259</v>
      </c>
      <c r="D73" s="1115" t="e">
        <f>IF(D92="NO",Pricing!$E42*Pricing!$I37,0)</f>
        <v>#REF!</v>
      </c>
      <c r="E73" s="1115"/>
      <c r="F73" s="1115" t="e">
        <f>IF(F92="NO",Pricing!$E42*Pricing!$I37,0)</f>
        <v>#REF!</v>
      </c>
      <c r="G73" s="1115"/>
      <c r="H73" s="1115" t="e">
        <f>IF(H92="NO",Pricing!$E42*Pricing!$I37,0)</f>
        <v>#REF!</v>
      </c>
      <c r="I73" s="1115"/>
      <c r="J73" s="1115" t="e">
        <f>IF(J92="NO",Pricing!$E42*Pricing!$I37,0)</f>
        <v>#REF!</v>
      </c>
      <c r="K73" s="1115"/>
      <c r="L73" s="266"/>
      <c r="M73" s="1115" t="e">
        <f>IF(M92="NO",Pricing!$E42*Pricing!$I37,0)</f>
        <v>#REF!</v>
      </c>
      <c r="N73" s="1115"/>
      <c r="O73" s="1115" t="e">
        <f>IF(O92="NO",Pricing!$E42*Pricing!$I37,0)</f>
        <v>#DIV/0!</v>
      </c>
      <c r="P73" s="1115"/>
      <c r="Q73" s="1115" t="e">
        <f>IF(Q92="NO",Pricing!$E42*Pricing!$I37,0)</f>
        <v>#REF!</v>
      </c>
      <c r="R73" s="1115"/>
    </row>
    <row r="74" spans="1:18" x14ac:dyDescent="0.25">
      <c r="A74" s="11" t="s">
        <v>269</v>
      </c>
      <c r="D74" s="1115">
        <f>Pricing!$E35*Pricing!$E44</f>
        <v>0</v>
      </c>
      <c r="E74" s="1115"/>
      <c r="F74" s="1115">
        <f>Pricing!$E35*Pricing!$E44</f>
        <v>0</v>
      </c>
      <c r="G74" s="1115"/>
      <c r="H74" s="1115">
        <f>Pricing!$E35*Pricing!$E44</f>
        <v>0</v>
      </c>
      <c r="I74" s="1115"/>
      <c r="J74" s="1115">
        <f>Pricing!$E35*Pricing!$E44</f>
        <v>0</v>
      </c>
      <c r="K74" s="1115"/>
      <c r="L74" s="266"/>
      <c r="M74" s="1115">
        <f>Pricing!$E35*Pricing!$E44</f>
        <v>0</v>
      </c>
      <c r="N74" s="1115"/>
      <c r="O74" s="1115">
        <f>Pricing!$E35*Pricing!$E44</f>
        <v>0</v>
      </c>
      <c r="P74" s="1115"/>
      <c r="Q74" s="1115">
        <f>Pricing!$E35*Pricing!$E44</f>
        <v>0</v>
      </c>
      <c r="R74" s="1115"/>
    </row>
    <row r="75" spans="1:18" x14ac:dyDescent="0.25"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</row>
    <row r="76" spans="1:18" x14ac:dyDescent="0.25">
      <c r="A76" s="11" t="s">
        <v>79</v>
      </c>
      <c r="D76" s="1116" t="e">
        <f>+D69-D71-D72-D73-D74</f>
        <v>#REF!</v>
      </c>
      <c r="E76" s="1116"/>
      <c r="F76" s="1116" t="e">
        <f>+F69-F71-F72-F73-F74</f>
        <v>#REF!</v>
      </c>
      <c r="G76" s="1116"/>
      <c r="H76" s="1116" t="e">
        <f>+H69-H71-H72-H73-H74</f>
        <v>#REF!</v>
      </c>
      <c r="I76" s="1116"/>
      <c r="J76" s="1116" t="e">
        <f>+J69-J71-J72-J73-J74</f>
        <v>#REF!</v>
      </c>
      <c r="K76" s="1116"/>
      <c r="L76" s="264"/>
      <c r="M76" s="1116" t="e">
        <f>+M69-M71-M72-M73-M74</f>
        <v>#REF!</v>
      </c>
      <c r="N76" s="1116"/>
      <c r="O76" s="1116" t="e">
        <f>+O69-O71-O72-O73-O74</f>
        <v>#DIV/0!</v>
      </c>
      <c r="P76" s="1116"/>
      <c r="Q76" s="1116" t="e">
        <f>+Q69-Q71-Q72-Q73-Q74</f>
        <v>#REF!</v>
      </c>
      <c r="R76" s="1116"/>
    </row>
    <row r="77" spans="1:18" x14ac:dyDescent="0.25">
      <c r="D77" s="266"/>
      <c r="E77" s="266"/>
      <c r="F77" s="266"/>
      <c r="G77" s="266"/>
      <c r="H77" s="266"/>
      <c r="I77" s="266"/>
      <c r="J77" s="266"/>
      <c r="K77" s="266"/>
      <c r="L77" s="266"/>
      <c r="M77" s="1124" t="s">
        <v>343</v>
      </c>
      <c r="N77" s="1124"/>
      <c r="O77" s="266"/>
      <c r="P77" s="266"/>
      <c r="Q77" s="266"/>
      <c r="R77" s="266"/>
    </row>
    <row r="78" spans="1:18" x14ac:dyDescent="0.25">
      <c r="A78" s="11" t="s">
        <v>242</v>
      </c>
      <c r="D78" s="1115">
        <f>PPMT(Pricing!$E37,E70,Pricing!$E38,-Pricing!$E35)</f>
        <v>187262.8651316906</v>
      </c>
      <c r="E78" s="1115"/>
      <c r="F78" s="1115">
        <f>PPMT(Pricing!$E37,G70,Pricing!$E38,-Pricing!$E35)</f>
        <v>187262.8651316906</v>
      </c>
      <c r="G78" s="1115"/>
      <c r="H78" s="1115">
        <f>PPMT(Pricing!$E37,I70,Pricing!$E38,-Pricing!$E35)</f>
        <v>187262.8651316906</v>
      </c>
      <c r="I78" s="1115"/>
      <c r="J78" s="1115">
        <f>PPMT(Pricing!$E37,K70,Pricing!$E38,-Pricing!$E35)</f>
        <v>187262.8651316906</v>
      </c>
      <c r="K78" s="1115"/>
      <c r="L78" s="266"/>
      <c r="M78" s="1311"/>
      <c r="N78" s="1311"/>
      <c r="O78" s="1115">
        <f>PPMT(Pricing!$E37,P70,Pricing!$E38,-Pricing!$E35)</f>
        <v>196485.56123942634</v>
      </c>
      <c r="P78" s="1115"/>
      <c r="Q78" s="1115">
        <f>PPMT(Pricing!$E37,R70,Pricing!$E38,-Pricing!$E35)</f>
        <v>206162.47513046814</v>
      </c>
      <c r="R78" s="1115"/>
    </row>
    <row r="79" spans="1:18" x14ac:dyDescent="0.25">
      <c r="A79" s="11" t="s">
        <v>243</v>
      </c>
      <c r="D79" s="1117">
        <f>PPMT(Pricing!$G37,ProForma!I72,Pricing!$G38,-Pricing!$G35)</f>
        <v>0</v>
      </c>
      <c r="E79" s="1117"/>
      <c r="F79" s="1117">
        <f>PPMT(Pricing!$G37,ProForma!K72,Pricing!$G38,-Pricing!$G35)</f>
        <v>0</v>
      </c>
      <c r="G79" s="1117"/>
      <c r="H79" s="1117">
        <f>PPMT(Pricing!$G37,ProForma!M72,Pricing!$G38,-Pricing!$G35)</f>
        <v>0</v>
      </c>
      <c r="I79" s="1117"/>
      <c r="J79" s="1117">
        <f>PPMT(Pricing!$G37,ProForma!Q72,Pricing!$G38,-Pricing!$G35)</f>
        <v>0</v>
      </c>
      <c r="K79" s="1117"/>
      <c r="L79" s="266"/>
      <c r="M79" s="1122">
        <f>PPMT(Pricing!$G37,ProForma!T72,Pricing!$G38,-Pricing!$G35)</f>
        <v>0</v>
      </c>
      <c r="N79" s="1122"/>
      <c r="O79" s="1117">
        <f>PPMT(Pricing!$G37,ProForma!V72,Pricing!$G38,-Pricing!$G35)</f>
        <v>0</v>
      </c>
      <c r="P79" s="1117"/>
      <c r="Q79" s="1117">
        <f>PPMT(Pricing!$G37,ProForma!X72,Pricing!$G38,-Pricing!$G35)</f>
        <v>0</v>
      </c>
      <c r="R79" s="1117"/>
    </row>
    <row r="80" spans="1:18" x14ac:dyDescent="0.25">
      <c r="D80" s="261"/>
      <c r="E80" s="261"/>
      <c r="F80" s="261"/>
      <c r="G80" s="261"/>
      <c r="H80" s="261"/>
      <c r="I80" s="261"/>
      <c r="J80" s="261"/>
      <c r="K80" s="261"/>
      <c r="L80" s="266"/>
      <c r="M80" s="261"/>
      <c r="N80" s="261"/>
      <c r="O80" s="261"/>
      <c r="P80" s="261"/>
      <c r="Q80" s="261"/>
      <c r="R80" s="261"/>
    </row>
    <row r="81" spans="1:18" ht="15.75" thickBot="1" x14ac:dyDescent="0.3">
      <c r="A81" s="11" t="s">
        <v>80</v>
      </c>
      <c r="D81" s="1118" t="e">
        <f>+D76-D78-D79</f>
        <v>#REF!</v>
      </c>
      <c r="E81" s="1118"/>
      <c r="F81" s="1118" t="e">
        <f>+F76-F78-F79</f>
        <v>#REF!</v>
      </c>
      <c r="G81" s="1118"/>
      <c r="H81" s="1118" t="e">
        <f>+H76-H78-H79</f>
        <v>#REF!</v>
      </c>
      <c r="I81" s="1118"/>
      <c r="J81" s="1118" t="e">
        <f>+J76-J78-J79</f>
        <v>#REF!</v>
      </c>
      <c r="K81" s="1118"/>
      <c r="L81" s="266"/>
      <c r="M81" s="1118" t="e">
        <f>+M76-M78-M79</f>
        <v>#REF!</v>
      </c>
      <c r="N81" s="1118"/>
      <c r="O81" s="1118" t="e">
        <f>+O76-O78-O79</f>
        <v>#DIV/0!</v>
      </c>
      <c r="P81" s="1118"/>
      <c r="Q81" s="1118" t="e">
        <f>+Q76-Q78-Q79</f>
        <v>#REF!</v>
      </c>
      <c r="R81" s="1118"/>
    </row>
    <row r="82" spans="1:18" ht="15.75" thickTop="1" x14ac:dyDescent="0.25"/>
    <row r="83" spans="1:18" x14ac:dyDescent="0.25">
      <c r="A83" s="11" t="s">
        <v>244</v>
      </c>
      <c r="D83" s="191" t="e">
        <f>D81/Pricing!$E43</f>
        <v>#REF!</v>
      </c>
      <c r="E83" s="191"/>
      <c r="F83" s="191" t="e">
        <f>F81/Pricing!$E43</f>
        <v>#REF!</v>
      </c>
      <c r="G83" s="191"/>
      <c r="H83" s="191" t="e">
        <f>H81/Pricing!$E43</f>
        <v>#REF!</v>
      </c>
      <c r="I83" s="191"/>
      <c r="J83" s="191" t="e">
        <f>J81/Pricing!$E43</f>
        <v>#REF!</v>
      </c>
      <c r="K83" s="191"/>
      <c r="L83" s="191"/>
      <c r="M83" s="191" t="e">
        <f>M81/Pricing!D51</f>
        <v>#REF!</v>
      </c>
      <c r="N83" s="191"/>
      <c r="O83" s="191" t="e">
        <f>O81/Pricing!F51</f>
        <v>#DIV/0!</v>
      </c>
      <c r="P83" s="191"/>
      <c r="Q83" s="191" t="e">
        <f>Q81/Pricing!H51</f>
        <v>#REF!</v>
      </c>
      <c r="R83" s="191"/>
    </row>
    <row r="85" spans="1:18" s="11" customFormat="1" x14ac:dyDescent="0.25">
      <c r="A85" s="11" t="s">
        <v>261</v>
      </c>
      <c r="D85" s="14" t="e">
        <f>+D69/(D71+D78+D72+D79+D74+D94)</f>
        <v>#REF!</v>
      </c>
      <c r="E85" s="14"/>
      <c r="F85" s="14">
        <f>+F69/(F71+F78+F72+F79+F74+F94)</f>
        <v>4.4707285545801252</v>
      </c>
      <c r="G85" s="14"/>
      <c r="H85" s="14">
        <f>+H69/(H71+H78+H72+H79+H74+H94)</f>
        <v>4.5797542108910188</v>
      </c>
      <c r="I85" s="14"/>
      <c r="J85" s="14" t="e">
        <f>+J69/(J71+J78+J72+J79+J74+J94)</f>
        <v>#REF!</v>
      </c>
      <c r="K85" s="14"/>
      <c r="L85" s="14"/>
      <c r="M85" s="14" t="e">
        <f>+M69/(M71+M78+M72+M79+M74+M94)</f>
        <v>#REF!</v>
      </c>
      <c r="N85" s="14"/>
      <c r="O85" s="14" t="e">
        <f>+O69/(O71+O78+O72+O79+O74+O94)</f>
        <v>#DIV/0!</v>
      </c>
      <c r="P85" s="14"/>
      <c r="Q85" s="14" t="e">
        <f>+Q69/(Q71+Q78+Q72+Q79+Q74+Q94)</f>
        <v>#REF!</v>
      </c>
      <c r="R85" s="14"/>
    </row>
    <row r="86" spans="1:18" s="11" customFormat="1" hidden="1" outlineLevel="1" x14ac:dyDescent="0.25"/>
    <row r="87" spans="1:18" s="11" customFormat="1" hidden="1" outlineLevel="1" x14ac:dyDescent="0.25">
      <c r="A87" s="11" t="s">
        <v>199</v>
      </c>
      <c r="D87" s="161" t="e">
        <f>+(D69+D65)/(D71+D78)</f>
        <v>#REF!</v>
      </c>
      <c r="F87" s="161">
        <f>+(F69+F65)/(F71+F78)</f>
        <v>4.665308476840714</v>
      </c>
      <c r="H87" s="161">
        <f>+(H69+H65)/(H71+H78)</f>
        <v>4.665308476840714</v>
      </c>
      <c r="J87" s="161" t="e">
        <f>+(J69+J65)/(J71+J78)</f>
        <v>#REF!</v>
      </c>
      <c r="M87" s="161" t="e">
        <f>+(M69+M65)/(M71+M78)</f>
        <v>#REF!</v>
      </c>
      <c r="O87" s="161" t="e">
        <f>+(O69+O65)/(O71+O78)</f>
        <v>#DIV/0!</v>
      </c>
      <c r="Q87" s="161" t="e">
        <f>+(Q69+Q65)/(Q71+Q78)</f>
        <v>#REF!</v>
      </c>
    </row>
    <row r="88" spans="1:18" s="11" customFormat="1" hidden="1" outlineLevel="1" x14ac:dyDescent="0.25"/>
    <row r="89" spans="1:18" s="11" customFormat="1" hidden="1" outlineLevel="1" x14ac:dyDescent="0.25">
      <c r="A89" s="11" t="s">
        <v>200</v>
      </c>
      <c r="D89" s="161" t="e">
        <f>+(D69+D65+D40)/(D71+D78)</f>
        <v>#REF!</v>
      </c>
      <c r="F89" s="161">
        <f>+(F69+F65+F40)/(F71+F78)</f>
        <v>4.8112434185361552</v>
      </c>
      <c r="H89" s="161">
        <f>+(H69+H65+H40)/(H71+H78)</f>
        <v>4.8112434185361552</v>
      </c>
      <c r="J89" s="161" t="e">
        <f>+(J69+J65+J40)/(J71+J78)</f>
        <v>#REF!</v>
      </c>
      <c r="M89" s="161" t="e">
        <f>+(M69+M65+M40)/(M71+M78)</f>
        <v>#REF!</v>
      </c>
      <c r="O89" s="161" t="e">
        <f>+(O69+O65+O40)/(O71+O78)</f>
        <v>#DIV/0!</v>
      </c>
      <c r="Q89" s="161" t="e">
        <f>+(Q69+Q65+Q40)/(Q71+Q78)</f>
        <v>#REF!</v>
      </c>
    </row>
    <row r="90" spans="1:18" hidden="1" outlineLevel="1" x14ac:dyDescent="0.25"/>
    <row r="91" spans="1:18" hidden="1" outlineLevel="1" x14ac:dyDescent="0.25"/>
    <row r="92" spans="1:18" hidden="1" outlineLevel="1" x14ac:dyDescent="0.25">
      <c r="A92" s="11" t="s">
        <v>260</v>
      </c>
      <c r="B92" s="11"/>
      <c r="C92" s="11"/>
      <c r="D92" s="11" t="e">
        <f>IF(D85&lt;Pricing!#REF!,"NO","YES")</f>
        <v>#REF!</v>
      </c>
      <c r="E92" s="11"/>
      <c r="F92" s="11" t="e">
        <f>IF(F85&lt;Pricing!#REF!,"NO","YES")</f>
        <v>#REF!</v>
      </c>
      <c r="G92" s="11"/>
      <c r="H92" s="11" t="e">
        <f>IF(H85&lt;Pricing!#REF!,"NO","YES")</f>
        <v>#REF!</v>
      </c>
      <c r="I92" s="11"/>
      <c r="J92" s="11" t="e">
        <f>IF(J85&lt;Pricing!#REF!,"NO","YES")</f>
        <v>#REF!</v>
      </c>
      <c r="K92" s="11"/>
      <c r="L92" s="11"/>
      <c r="M92" s="11" t="e">
        <f>IF(M85&lt;Pricing!#REF!,"NO","YES")</f>
        <v>#REF!</v>
      </c>
      <c r="N92" s="11"/>
      <c r="O92" s="11" t="e">
        <f>IF(O85&lt;Pricing!#REF!,"NO","YES")</f>
        <v>#DIV/0!</v>
      </c>
      <c r="P92" s="11"/>
      <c r="Q92" s="11" t="e">
        <f>IF(Q85&lt;Pricing!#REF!,"NO","YES")</f>
        <v>#REF!</v>
      </c>
      <c r="R92" s="11"/>
    </row>
    <row r="93" spans="1:18" collapsed="1" x14ac:dyDescent="0.25"/>
    <row r="94" spans="1:18" x14ac:dyDescent="0.25">
      <c r="D94" s="1120"/>
      <c r="E94" s="1120"/>
      <c r="F94" s="1120"/>
      <c r="G94" s="1120"/>
      <c r="H94" s="1120"/>
      <c r="I94" s="1120"/>
      <c r="J94" s="1120"/>
      <c r="K94" s="1120"/>
      <c r="M94" s="1120"/>
      <c r="N94" s="1120"/>
      <c r="O94" s="1120"/>
      <c r="P94" s="1120"/>
      <c r="Q94" s="1120"/>
      <c r="R94" s="1120"/>
    </row>
    <row r="95" spans="1:18" x14ac:dyDescent="0.25">
      <c r="F95" s="263"/>
      <c r="G95" s="263"/>
      <c r="H95" s="263"/>
      <c r="I95" s="263"/>
      <c r="J95" s="263"/>
      <c r="K95" s="263"/>
      <c r="M95" s="263"/>
      <c r="N95" s="263"/>
      <c r="O95" s="263"/>
      <c r="P95" s="263"/>
      <c r="Q95" s="263"/>
      <c r="R95" s="263"/>
    </row>
    <row r="96" spans="1:18" x14ac:dyDescent="0.25">
      <c r="F96" s="263"/>
      <c r="G96" s="263"/>
      <c r="H96" s="263"/>
      <c r="I96" s="263"/>
      <c r="J96" s="263"/>
      <c r="K96" s="263"/>
      <c r="M96" s="263"/>
      <c r="N96" s="263"/>
      <c r="O96" s="263"/>
      <c r="P96" s="263"/>
      <c r="Q96" s="263"/>
      <c r="R96" s="263"/>
    </row>
    <row r="98" spans="1:8" x14ac:dyDescent="0.25">
      <c r="A98" s="11" t="s">
        <v>245</v>
      </c>
      <c r="H98" s="6"/>
    </row>
    <row r="100" spans="1:8" x14ac:dyDescent="0.25">
      <c r="A100" s="11">
        <v>1</v>
      </c>
    </row>
    <row r="101" spans="1:8" x14ac:dyDescent="0.25">
      <c r="A101" s="11">
        <v>2</v>
      </c>
    </row>
    <row r="102" spans="1:8" x14ac:dyDescent="0.25">
      <c r="A102" s="11">
        <v>3</v>
      </c>
    </row>
    <row r="103" spans="1:8" x14ac:dyDescent="0.25">
      <c r="A103" s="11">
        <v>4</v>
      </c>
    </row>
    <row r="104" spans="1:8" x14ac:dyDescent="0.25">
      <c r="A104" s="11">
        <v>5</v>
      </c>
    </row>
    <row r="105" spans="1:8" x14ac:dyDescent="0.25">
      <c r="A105" s="11">
        <v>6</v>
      </c>
    </row>
    <row r="106" spans="1:8" x14ac:dyDescent="0.25">
      <c r="A106" s="11">
        <v>7</v>
      </c>
    </row>
    <row r="107" spans="1:8" x14ac:dyDescent="0.25">
      <c r="A107" s="11">
        <v>8</v>
      </c>
    </row>
    <row r="108" spans="1:8" x14ac:dyDescent="0.25">
      <c r="A108" s="11">
        <v>9</v>
      </c>
    </row>
    <row r="109" spans="1:8" x14ac:dyDescent="0.25">
      <c r="A109" s="11">
        <v>10</v>
      </c>
    </row>
  </sheetData>
  <customSheetViews>
    <customSheetView guid="{BBA80CC4-398C-41FE-99C8-A75F96D5CA58}" scale="60" hiddenRows="1">
      <pageMargins left="0.7" right="0.7" top="0.75" bottom="0.75" header="0.3" footer="0.3"/>
      <pageSetup orientation="portrait" horizontalDpi="300" verticalDpi="300"/>
    </customSheetView>
    <customSheetView guid="{03C358DA-88A4-4E12-84B7-BB4E50E89831}" scale="60" hiddenRows="1">
      <pageMargins left="0.7" right="0.7" top="0.75" bottom="0.75" header="0.3" footer="0.3"/>
      <pageSetup orientation="portrait" horizontalDpi="300" verticalDpi="300"/>
    </customSheetView>
  </customSheetViews>
  <mergeCells count="102">
    <mergeCell ref="Q81:R81"/>
    <mergeCell ref="D81:E81"/>
    <mergeCell ref="F81:G81"/>
    <mergeCell ref="H81:I81"/>
    <mergeCell ref="J81:K81"/>
    <mergeCell ref="M81:N81"/>
    <mergeCell ref="O81:P81"/>
    <mergeCell ref="Q94:R94"/>
    <mergeCell ref="D94:E94"/>
    <mergeCell ref="F94:G94"/>
    <mergeCell ref="H94:I94"/>
    <mergeCell ref="J94:K94"/>
    <mergeCell ref="M94:N94"/>
    <mergeCell ref="O94:P94"/>
    <mergeCell ref="Q78:R78"/>
    <mergeCell ref="M77:N77"/>
    <mergeCell ref="D78:E78"/>
    <mergeCell ref="F78:G78"/>
    <mergeCell ref="H78:I78"/>
    <mergeCell ref="J78:K78"/>
    <mergeCell ref="M78:N78"/>
    <mergeCell ref="O78:P78"/>
    <mergeCell ref="Q79:R79"/>
    <mergeCell ref="D79:E79"/>
    <mergeCell ref="F79:G79"/>
    <mergeCell ref="H79:I79"/>
    <mergeCell ref="J79:K79"/>
    <mergeCell ref="M79:N79"/>
    <mergeCell ref="O79:P79"/>
    <mergeCell ref="Q76:R76"/>
    <mergeCell ref="D74:E74"/>
    <mergeCell ref="F74:G74"/>
    <mergeCell ref="H74:I74"/>
    <mergeCell ref="J74:K74"/>
    <mergeCell ref="M74:N74"/>
    <mergeCell ref="O74:P74"/>
    <mergeCell ref="Q74:R74"/>
    <mergeCell ref="D76:E76"/>
    <mergeCell ref="F76:G76"/>
    <mergeCell ref="H76:I76"/>
    <mergeCell ref="J76:K76"/>
    <mergeCell ref="M76:N76"/>
    <mergeCell ref="O76:P76"/>
    <mergeCell ref="Q73:R73"/>
    <mergeCell ref="D72:E72"/>
    <mergeCell ref="F72:G72"/>
    <mergeCell ref="H72:I72"/>
    <mergeCell ref="J72:K72"/>
    <mergeCell ref="M72:N72"/>
    <mergeCell ref="O72:P72"/>
    <mergeCell ref="Q72:R72"/>
    <mergeCell ref="D73:E73"/>
    <mergeCell ref="F73:G73"/>
    <mergeCell ref="H73:I73"/>
    <mergeCell ref="J73:K73"/>
    <mergeCell ref="M73:N73"/>
    <mergeCell ref="O73:P73"/>
    <mergeCell ref="Q71:R71"/>
    <mergeCell ref="D11:E11"/>
    <mergeCell ref="F11:G11"/>
    <mergeCell ref="H11:I11"/>
    <mergeCell ref="J11:K11"/>
    <mergeCell ref="M11:N11"/>
    <mergeCell ref="O11:P11"/>
    <mergeCell ref="Q11:R11"/>
    <mergeCell ref="D71:E71"/>
    <mergeCell ref="F71:G71"/>
    <mergeCell ref="H71:I71"/>
    <mergeCell ref="J71:K71"/>
    <mergeCell ref="M71:N71"/>
    <mergeCell ref="O71:P71"/>
    <mergeCell ref="O9:P9"/>
    <mergeCell ref="Q9:R9"/>
    <mergeCell ref="D3:K3"/>
    <mergeCell ref="M3:R3"/>
    <mergeCell ref="D10:E10"/>
    <mergeCell ref="F10:G10"/>
    <mergeCell ref="H10:I10"/>
    <mergeCell ref="J10:K10"/>
    <mergeCell ref="M10:N10"/>
    <mergeCell ref="O10:P10"/>
    <mergeCell ref="Q10:R10"/>
    <mergeCell ref="D9:E9"/>
    <mergeCell ref="O4:P4"/>
    <mergeCell ref="Q4:R4"/>
    <mergeCell ref="O8:P8"/>
    <mergeCell ref="Q8:R8"/>
    <mergeCell ref="A4:B4"/>
    <mergeCell ref="D4:E4"/>
    <mergeCell ref="F4:G4"/>
    <mergeCell ref="H4:I4"/>
    <mergeCell ref="J4:K4"/>
    <mergeCell ref="M4:N4"/>
    <mergeCell ref="F9:G9"/>
    <mergeCell ref="H9:I9"/>
    <mergeCell ref="J9:K9"/>
    <mergeCell ref="M9:N9"/>
    <mergeCell ref="D8:E8"/>
    <mergeCell ref="F8:G8"/>
    <mergeCell ref="H8:I8"/>
    <mergeCell ref="J8:K8"/>
    <mergeCell ref="M8:N8"/>
  </mergeCells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14999847407452621"/>
    <pageSetUpPr fitToPage="1"/>
  </sheetPr>
  <dimension ref="A1:I39"/>
  <sheetViews>
    <sheetView workbookViewId="0"/>
  </sheetViews>
  <sheetFormatPr defaultColWidth="8.7109375" defaultRowHeight="15" x14ac:dyDescent="0.25"/>
  <cols>
    <col min="1" max="1" width="3.28515625" customWidth="1"/>
    <col min="3" max="4" width="10.28515625" bestFit="1" customWidth="1"/>
    <col min="5" max="5" width="11.28515625" bestFit="1" customWidth="1"/>
    <col min="6" max="7" width="10.28515625" bestFit="1" customWidth="1"/>
    <col min="8" max="8" width="11.28515625" bestFit="1" customWidth="1"/>
    <col min="9" max="9" width="17.28515625" customWidth="1"/>
  </cols>
  <sheetData>
    <row r="1" spans="1:9" ht="21" x14ac:dyDescent="0.35">
      <c r="A1" s="210" t="s">
        <v>299</v>
      </c>
    </row>
    <row r="6" spans="1:9" x14ac:dyDescent="0.25">
      <c r="A6" s="11" t="s">
        <v>302</v>
      </c>
      <c r="D6" s="201" t="s">
        <v>271</v>
      </c>
      <c r="E6" s="201" t="s">
        <v>272</v>
      </c>
      <c r="F6" s="201" t="s">
        <v>273</v>
      </c>
      <c r="G6" s="201" t="s">
        <v>274</v>
      </c>
      <c r="H6" s="201" t="s">
        <v>275</v>
      </c>
      <c r="I6" s="201" t="s">
        <v>112</v>
      </c>
    </row>
    <row r="7" spans="1:9" x14ac:dyDescent="0.25">
      <c r="B7" t="s">
        <v>276</v>
      </c>
      <c r="D7" s="213"/>
      <c r="E7" s="213"/>
      <c r="F7" s="213"/>
      <c r="G7" s="213"/>
      <c r="H7" s="213"/>
      <c r="I7" s="205">
        <f t="shared" ref="I7:I19" si="0">SUM(D7:H7)</f>
        <v>0</v>
      </c>
    </row>
    <row r="8" spans="1:9" x14ac:dyDescent="0.25">
      <c r="B8" t="s">
        <v>277</v>
      </c>
      <c r="D8" s="213"/>
      <c r="E8" s="213"/>
      <c r="F8" s="213"/>
      <c r="G8" s="213"/>
      <c r="H8" s="213"/>
      <c r="I8" s="205">
        <f t="shared" si="0"/>
        <v>0</v>
      </c>
    </row>
    <row r="9" spans="1:9" x14ac:dyDescent="0.25">
      <c r="B9" t="s">
        <v>278</v>
      </c>
      <c r="D9" s="213"/>
      <c r="E9" s="213"/>
      <c r="F9" s="213"/>
      <c r="G9" s="213"/>
      <c r="H9" s="213"/>
      <c r="I9" s="205">
        <f t="shared" si="0"/>
        <v>0</v>
      </c>
    </row>
    <row r="10" spans="1:9" x14ac:dyDescent="0.25">
      <c r="B10" t="s">
        <v>279</v>
      </c>
      <c r="D10" s="213"/>
      <c r="E10" s="214"/>
      <c r="F10" s="213"/>
      <c r="G10" s="213"/>
      <c r="H10" s="213"/>
      <c r="I10" s="205">
        <f t="shared" si="0"/>
        <v>0</v>
      </c>
    </row>
    <row r="11" spans="1:9" x14ac:dyDescent="0.25">
      <c r="B11" t="s">
        <v>280</v>
      </c>
      <c r="D11" s="213"/>
      <c r="E11" s="213"/>
      <c r="F11" s="213"/>
      <c r="G11" s="214"/>
      <c r="H11" s="213"/>
      <c r="I11" s="205">
        <f t="shared" si="0"/>
        <v>0</v>
      </c>
    </row>
    <row r="12" spans="1:9" x14ac:dyDescent="0.25">
      <c r="B12" t="s">
        <v>275</v>
      </c>
      <c r="D12" s="213"/>
      <c r="E12" s="213"/>
      <c r="F12" s="213"/>
      <c r="G12" s="213"/>
      <c r="H12" s="213"/>
      <c r="I12" s="205">
        <f t="shared" si="0"/>
        <v>0</v>
      </c>
    </row>
    <row r="13" spans="1:9" ht="14.25" customHeight="1" x14ac:dyDescent="0.25">
      <c r="B13" t="s">
        <v>281</v>
      </c>
      <c r="D13" s="213"/>
      <c r="E13" s="213"/>
      <c r="F13" s="213"/>
      <c r="G13" s="213"/>
      <c r="H13" s="213"/>
      <c r="I13" s="205">
        <f t="shared" si="0"/>
        <v>0</v>
      </c>
    </row>
    <row r="14" spans="1:9" x14ac:dyDescent="0.25">
      <c r="B14" t="s">
        <v>282</v>
      </c>
      <c r="D14" s="213"/>
      <c r="E14" s="213"/>
      <c r="F14" s="213"/>
      <c r="G14" s="213"/>
      <c r="H14" s="213"/>
      <c r="I14" s="205">
        <f t="shared" si="0"/>
        <v>0</v>
      </c>
    </row>
    <row r="15" spans="1:9" x14ac:dyDescent="0.25">
      <c r="B15" t="s">
        <v>283</v>
      </c>
      <c r="D15" s="213"/>
      <c r="E15" s="213"/>
      <c r="F15" s="213"/>
      <c r="G15" s="213"/>
      <c r="H15" s="213"/>
      <c r="I15" s="205">
        <f t="shared" si="0"/>
        <v>0</v>
      </c>
    </row>
    <row r="16" spans="1:9" x14ac:dyDescent="0.25">
      <c r="B16" t="s">
        <v>284</v>
      </c>
      <c r="D16" s="213"/>
      <c r="E16" s="213"/>
      <c r="F16" s="213"/>
      <c r="G16" s="213"/>
      <c r="H16" s="213"/>
      <c r="I16" s="205">
        <f t="shared" si="0"/>
        <v>0</v>
      </c>
    </row>
    <row r="17" spans="1:9" x14ac:dyDescent="0.25">
      <c r="B17" t="s">
        <v>285</v>
      </c>
      <c r="D17" s="213"/>
      <c r="E17" s="213"/>
      <c r="F17" s="213"/>
      <c r="G17" s="213"/>
      <c r="H17" s="213"/>
      <c r="I17" s="205">
        <f t="shared" si="0"/>
        <v>0</v>
      </c>
    </row>
    <row r="18" spans="1:9" x14ac:dyDescent="0.25">
      <c r="B18" t="s">
        <v>286</v>
      </c>
      <c r="D18" s="213"/>
      <c r="E18" s="213"/>
      <c r="F18" s="213"/>
      <c r="G18" s="213"/>
      <c r="H18" s="213"/>
      <c r="I18" s="205">
        <f t="shared" si="0"/>
        <v>0</v>
      </c>
    </row>
    <row r="19" spans="1:9" x14ac:dyDescent="0.25">
      <c r="B19" t="s">
        <v>287</v>
      </c>
      <c r="D19" s="213"/>
      <c r="E19" s="213"/>
      <c r="F19" s="213"/>
      <c r="G19" s="213"/>
      <c r="H19" s="213"/>
      <c r="I19" s="205">
        <f t="shared" si="0"/>
        <v>0</v>
      </c>
    </row>
    <row r="20" spans="1:9" x14ac:dyDescent="0.25">
      <c r="D20" s="205"/>
      <c r="E20" s="205"/>
      <c r="F20" s="205"/>
      <c r="G20" s="205"/>
      <c r="H20" s="205"/>
    </row>
    <row r="21" spans="1:9" x14ac:dyDescent="0.25">
      <c r="A21" s="211" t="s">
        <v>112</v>
      </c>
      <c r="B21" s="211"/>
      <c r="C21" s="211"/>
      <c r="D21" s="212">
        <f>SUM(D7:D20)</f>
        <v>0</v>
      </c>
      <c r="E21" s="212">
        <f>SUM(E7:E20)</f>
        <v>0</v>
      </c>
      <c r="F21" s="212">
        <f>SUM(F7:F20)</f>
        <v>0</v>
      </c>
      <c r="G21" s="212">
        <f>SUM(G7:G20)</f>
        <v>0</v>
      </c>
      <c r="H21" s="212">
        <f>SUM(H7:H20)</f>
        <v>0</v>
      </c>
      <c r="I21" s="212">
        <f>SUM(D21:H21)</f>
        <v>0</v>
      </c>
    </row>
    <row r="22" spans="1:9" x14ac:dyDescent="0.25">
      <c r="D22" s="205"/>
      <c r="E22" s="205"/>
      <c r="F22" s="205"/>
      <c r="G22" s="205"/>
      <c r="H22" s="205"/>
      <c r="I22" s="205"/>
    </row>
    <row r="23" spans="1:9" x14ac:dyDescent="0.25">
      <c r="A23" t="s">
        <v>288</v>
      </c>
      <c r="C23" s="11" t="s">
        <v>300</v>
      </c>
      <c r="D23" s="15" t="e">
        <f t="shared" ref="D23:I23" si="1">D21/$I21</f>
        <v>#DIV/0!</v>
      </c>
      <c r="E23" s="15" t="e">
        <f t="shared" si="1"/>
        <v>#DIV/0!</v>
      </c>
      <c r="F23" s="15" t="e">
        <f t="shared" si="1"/>
        <v>#DIV/0!</v>
      </c>
      <c r="G23" s="15" t="e">
        <f t="shared" si="1"/>
        <v>#DIV/0!</v>
      </c>
      <c r="H23" s="15" t="e">
        <f t="shared" si="1"/>
        <v>#DIV/0!</v>
      </c>
      <c r="I23" s="15" t="e">
        <f t="shared" si="1"/>
        <v>#DIV/0!</v>
      </c>
    </row>
    <row r="25" spans="1:9" x14ac:dyDescent="0.25">
      <c r="B25" t="s">
        <v>289</v>
      </c>
      <c r="C25" s="205"/>
      <c r="D25" s="205" t="e">
        <f>$C25*D$23</f>
        <v>#DIV/0!</v>
      </c>
      <c r="E25" s="205" t="e">
        <f t="shared" ref="E25:H29" si="2">$C25*E$23</f>
        <v>#DIV/0!</v>
      </c>
      <c r="F25" s="205" t="e">
        <f t="shared" si="2"/>
        <v>#DIV/0!</v>
      </c>
      <c r="G25" s="205" t="e">
        <f t="shared" si="2"/>
        <v>#DIV/0!</v>
      </c>
      <c r="H25" s="205" t="e">
        <f t="shared" si="2"/>
        <v>#DIV/0!</v>
      </c>
      <c r="I25" s="205" t="e">
        <f t="shared" ref="I25:I30" si="3">SUM(D25:H25)</f>
        <v>#DIV/0!</v>
      </c>
    </row>
    <row r="26" spans="1:9" x14ac:dyDescent="0.25">
      <c r="B26" t="s">
        <v>290</v>
      </c>
      <c r="C26" s="213"/>
      <c r="D26" s="205" t="e">
        <f>$C26*D$23</f>
        <v>#DIV/0!</v>
      </c>
      <c r="E26" s="205" t="e">
        <f t="shared" si="2"/>
        <v>#DIV/0!</v>
      </c>
      <c r="F26" s="205" t="e">
        <f t="shared" si="2"/>
        <v>#DIV/0!</v>
      </c>
      <c r="G26" s="205" t="e">
        <f t="shared" si="2"/>
        <v>#DIV/0!</v>
      </c>
      <c r="H26" s="205" t="e">
        <f t="shared" si="2"/>
        <v>#DIV/0!</v>
      </c>
      <c r="I26" s="205" t="e">
        <f t="shared" si="3"/>
        <v>#DIV/0!</v>
      </c>
    </row>
    <row r="27" spans="1:9" x14ac:dyDescent="0.25">
      <c r="B27" t="s">
        <v>291</v>
      </c>
      <c r="C27" s="213"/>
      <c r="D27" s="205" t="e">
        <f>$C27*D$23</f>
        <v>#DIV/0!</v>
      </c>
      <c r="E27" s="205" t="e">
        <f t="shared" si="2"/>
        <v>#DIV/0!</v>
      </c>
      <c r="F27" s="205" t="e">
        <f t="shared" si="2"/>
        <v>#DIV/0!</v>
      </c>
      <c r="G27" s="205" t="e">
        <f t="shared" si="2"/>
        <v>#DIV/0!</v>
      </c>
      <c r="H27" s="205" t="e">
        <f t="shared" si="2"/>
        <v>#DIV/0!</v>
      </c>
      <c r="I27" s="205" t="e">
        <f t="shared" si="3"/>
        <v>#DIV/0!</v>
      </c>
    </row>
    <row r="28" spans="1:9" x14ac:dyDescent="0.25">
      <c r="B28" t="s">
        <v>292</v>
      </c>
      <c r="C28" s="213"/>
      <c r="D28" s="205" t="e">
        <f>$C28*D$23</f>
        <v>#DIV/0!</v>
      </c>
      <c r="E28" s="205" t="e">
        <f t="shared" si="2"/>
        <v>#DIV/0!</v>
      </c>
      <c r="F28" s="205" t="e">
        <f t="shared" si="2"/>
        <v>#DIV/0!</v>
      </c>
      <c r="G28" s="205" t="e">
        <f t="shared" si="2"/>
        <v>#DIV/0!</v>
      </c>
      <c r="H28" s="205" t="e">
        <f t="shared" si="2"/>
        <v>#DIV/0!</v>
      </c>
      <c r="I28" s="205" t="e">
        <f t="shared" si="3"/>
        <v>#DIV/0!</v>
      </c>
    </row>
    <row r="29" spans="1:9" x14ac:dyDescent="0.25">
      <c r="B29" t="s">
        <v>293</v>
      </c>
      <c r="C29" s="213"/>
      <c r="D29" s="205" t="e">
        <f>$C29*D$23</f>
        <v>#DIV/0!</v>
      </c>
      <c r="E29" s="205" t="e">
        <f t="shared" si="2"/>
        <v>#DIV/0!</v>
      </c>
      <c r="F29" s="205" t="e">
        <f t="shared" si="2"/>
        <v>#DIV/0!</v>
      </c>
      <c r="G29" s="205" t="e">
        <f t="shared" si="2"/>
        <v>#DIV/0!</v>
      </c>
      <c r="H29" s="205" t="e">
        <f t="shared" si="2"/>
        <v>#DIV/0!</v>
      </c>
      <c r="I29" s="205" t="e">
        <f t="shared" si="3"/>
        <v>#DIV/0!</v>
      </c>
    </row>
    <row r="30" spans="1:9" x14ac:dyDescent="0.25">
      <c r="B30" t="s">
        <v>294</v>
      </c>
      <c r="C30" s="213"/>
      <c r="D30" s="205">
        <f>C30</f>
        <v>0</v>
      </c>
      <c r="E30" s="205"/>
      <c r="F30" s="205"/>
      <c r="G30" s="205"/>
      <c r="H30" s="205"/>
      <c r="I30" s="205">
        <f t="shared" si="3"/>
        <v>0</v>
      </c>
    </row>
    <row r="31" spans="1:9" x14ac:dyDescent="0.25">
      <c r="C31" s="205"/>
      <c r="D31" s="205"/>
      <c r="E31" s="205"/>
      <c r="F31" s="205"/>
      <c r="G31" s="205"/>
      <c r="H31" s="205"/>
    </row>
    <row r="32" spans="1:9" x14ac:dyDescent="0.25">
      <c r="A32" s="211" t="s">
        <v>301</v>
      </c>
      <c r="B32" s="211"/>
      <c r="C32" s="212"/>
      <c r="D32" s="212" t="e">
        <f t="shared" ref="D32:I32" si="4">SUM(D25:D31)</f>
        <v>#DIV/0!</v>
      </c>
      <c r="E32" s="212" t="e">
        <f t="shared" si="4"/>
        <v>#DIV/0!</v>
      </c>
      <c r="F32" s="212" t="e">
        <f t="shared" si="4"/>
        <v>#DIV/0!</v>
      </c>
      <c r="G32" s="212" t="e">
        <f t="shared" si="4"/>
        <v>#DIV/0!</v>
      </c>
      <c r="H32" s="212" t="e">
        <f t="shared" si="4"/>
        <v>#DIV/0!</v>
      </c>
      <c r="I32" s="212" t="e">
        <f t="shared" si="4"/>
        <v>#DIV/0!</v>
      </c>
    </row>
    <row r="33" spans="1:9" x14ac:dyDescent="0.25">
      <c r="C33" s="205"/>
      <c r="D33" s="205"/>
      <c r="E33" s="205"/>
      <c r="F33" s="205"/>
      <c r="G33" s="205"/>
      <c r="H33" s="205"/>
      <c r="I33" s="205"/>
    </row>
    <row r="34" spans="1:9" x14ac:dyDescent="0.25">
      <c r="A34" s="211" t="s">
        <v>295</v>
      </c>
      <c r="B34" s="211"/>
      <c r="C34" s="212"/>
      <c r="D34" s="212" t="e">
        <f t="shared" ref="D34:I34" si="5">D21+D32</f>
        <v>#DIV/0!</v>
      </c>
      <c r="E34" s="212" t="e">
        <f t="shared" si="5"/>
        <v>#DIV/0!</v>
      </c>
      <c r="F34" s="212" t="e">
        <f t="shared" si="5"/>
        <v>#DIV/0!</v>
      </c>
      <c r="G34" s="212" t="e">
        <f t="shared" si="5"/>
        <v>#DIV/0!</v>
      </c>
      <c r="H34" s="212" t="e">
        <f t="shared" si="5"/>
        <v>#DIV/0!</v>
      </c>
      <c r="I34" s="212" t="e">
        <f t="shared" si="5"/>
        <v>#DIV/0!</v>
      </c>
    </row>
    <row r="37" spans="1:9" x14ac:dyDescent="0.25">
      <c r="A37" t="s">
        <v>296</v>
      </c>
    </row>
    <row r="38" spans="1:9" x14ac:dyDescent="0.25">
      <c r="B38" t="s">
        <v>297</v>
      </c>
    </row>
    <row r="39" spans="1:9" x14ac:dyDescent="0.25">
      <c r="B39" t="s">
        <v>298</v>
      </c>
    </row>
  </sheetData>
  <customSheetViews>
    <customSheetView guid="{BBA80CC4-398C-41FE-99C8-A75F96D5CA58}" fitToPage="1">
      <pageMargins left="0.7" right="0.7" top="0.75" bottom="0.75" header="0.3" footer="0.3"/>
      <pageSetup scale="94" orientation="portrait"/>
    </customSheetView>
    <customSheetView guid="{03C358DA-88A4-4E12-84B7-BB4E50E89831}" fitToPage="1">
      <pageMargins left="0.7" right="0.7" top="0.75" bottom="0.75" header="0.3" footer="0.3"/>
      <pageSetup scale="94" orientation="portrait"/>
    </customSheetView>
  </customSheetViews>
  <pageMargins left="0.7" right="0.7" top="0.75" bottom="0.75" header="0.3" footer="0.3"/>
  <pageSetup scale="9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14999847407452621"/>
  </sheetPr>
  <dimension ref="A1:A3"/>
  <sheetViews>
    <sheetView workbookViewId="0">
      <selection activeCell="A2" sqref="A2"/>
    </sheetView>
  </sheetViews>
  <sheetFormatPr defaultColWidth="8.7109375" defaultRowHeight="15" x14ac:dyDescent="0.25"/>
  <sheetData>
    <row r="1" spans="1:1" ht="23.25" x14ac:dyDescent="0.35">
      <c r="A1" s="130" t="str">
        <f>+'Data Entry'!C6</f>
        <v>LF III</v>
      </c>
    </row>
    <row r="2" spans="1:1" ht="15.75" x14ac:dyDescent="0.25">
      <c r="A2" s="47" t="s">
        <v>54</v>
      </c>
    </row>
    <row r="3" spans="1:1" x14ac:dyDescent="0.25">
      <c r="A3" s="77" t="s">
        <v>222</v>
      </c>
    </row>
  </sheetData>
  <customSheetViews>
    <customSheetView guid="{BBA80CC4-398C-41FE-99C8-A75F96D5CA58}">
      <pageMargins left="0.7" right="0.7" top="0.75" bottom="0.75" header="0.3" footer="0.3"/>
      <pageSetup orientation="portrait" verticalDpi="0"/>
    </customSheetView>
    <customSheetView guid="{03C358DA-88A4-4E12-84B7-BB4E50E89831}">
      <pageMargins left="0.7" right="0.7" top="0.75" bottom="0.75" header="0.3" footer="0.3"/>
      <pageSetup orientation="portrait" verticalDpi="0"/>
    </customSheetView>
  </customSheetView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14999847407452621"/>
  </sheetPr>
  <dimension ref="A1:A2"/>
  <sheetViews>
    <sheetView workbookViewId="0"/>
  </sheetViews>
  <sheetFormatPr defaultColWidth="8.7109375" defaultRowHeight="15" x14ac:dyDescent="0.25"/>
  <sheetData>
    <row r="1" spans="1:1" x14ac:dyDescent="0.25">
      <c r="A1" t="s">
        <v>220</v>
      </c>
    </row>
    <row r="2" spans="1:1" x14ac:dyDescent="0.25">
      <c r="A2" t="s">
        <v>221</v>
      </c>
    </row>
  </sheetData>
  <customSheetViews>
    <customSheetView guid="{BBA80CC4-398C-41FE-99C8-A75F96D5CA58}">
      <pageMargins left="0.7" right="0.7" top="0.75" bottom="0.75" header="0.3" footer="0.3"/>
      <pageSetup orientation="portrait" verticalDpi="0"/>
    </customSheetView>
    <customSheetView guid="{03C358DA-88A4-4E12-84B7-BB4E50E89831}">
      <pageMargins left="0.7" right="0.7" top="0.75" bottom="0.75" header="0.3" footer="0.3"/>
      <pageSetup orientation="portrait" verticalDpi="0"/>
    </customSheetView>
  </customSheetView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25"/>
  <sheetViews>
    <sheetView workbookViewId="0">
      <selection activeCell="P8" sqref="P8"/>
    </sheetView>
  </sheetViews>
  <sheetFormatPr defaultColWidth="8.7109375" defaultRowHeight="15" x14ac:dyDescent="0.25"/>
  <cols>
    <col min="1" max="16384" width="8.7109375" style="427"/>
  </cols>
  <sheetData>
    <row r="1" spans="1:13" ht="14.65" customHeight="1" x14ac:dyDescent="0.25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3" x14ac:dyDescent="0.25">
      <c r="A2" s="165"/>
      <c r="B2" s="1312" t="s">
        <v>94</v>
      </c>
      <c r="C2" s="1313"/>
      <c r="D2" s="1313"/>
      <c r="E2" s="1313"/>
      <c r="F2" s="1313"/>
      <c r="G2" s="1313"/>
      <c r="H2" s="1313"/>
      <c r="I2" s="1313"/>
      <c r="J2" s="1313"/>
      <c r="K2" s="1313"/>
      <c r="L2" s="1313"/>
      <c r="M2" s="1314"/>
    </row>
    <row r="3" spans="1:13" x14ac:dyDescent="0.25">
      <c r="A3" s="165"/>
      <c r="B3" s="796" t="s">
        <v>773</v>
      </c>
      <c r="C3" s="796" t="s">
        <v>774</v>
      </c>
      <c r="D3" s="796" t="s">
        <v>775</v>
      </c>
      <c r="E3" s="796" t="s">
        <v>776</v>
      </c>
      <c r="F3" s="796" t="s">
        <v>777</v>
      </c>
      <c r="G3" s="796" t="s">
        <v>778</v>
      </c>
      <c r="H3" s="796" t="s">
        <v>779</v>
      </c>
      <c r="I3" s="796" t="s">
        <v>780</v>
      </c>
      <c r="J3" s="796" t="s">
        <v>781</v>
      </c>
      <c r="K3" s="796" t="s">
        <v>782</v>
      </c>
      <c r="L3" s="796" t="s">
        <v>783</v>
      </c>
      <c r="M3" s="797" t="s">
        <v>784</v>
      </c>
    </row>
    <row r="4" spans="1:13" x14ac:dyDescent="0.25">
      <c r="A4" s="165">
        <v>2015</v>
      </c>
      <c r="B4" s="798">
        <v>58.661590863554395</v>
      </c>
      <c r="C4" s="798">
        <v>65.633096716947648</v>
      </c>
      <c r="D4" s="798">
        <v>76.25165297535564</v>
      </c>
      <c r="E4" s="798">
        <v>79.891304347826079</v>
      </c>
      <c r="F4" s="798">
        <v>76.60308555399719</v>
      </c>
      <c r="G4" s="798">
        <v>96.427122153209098</v>
      </c>
      <c r="H4" s="798">
        <v>96.947305149268672</v>
      </c>
      <c r="I4" s="798">
        <v>92.852133840913638</v>
      </c>
      <c r="J4" s="798">
        <v>97.632091097308489</v>
      </c>
      <c r="K4" s="798">
        <v>86.622320176317359</v>
      </c>
      <c r="L4" s="798">
        <v>68.238509316770191</v>
      </c>
      <c r="M4" s="799">
        <v>51.556000801442593</v>
      </c>
    </row>
    <row r="5" spans="1:13" x14ac:dyDescent="0.25">
      <c r="A5" s="165">
        <v>2016</v>
      </c>
      <c r="B5" s="800">
        <v>65.69765578040473</v>
      </c>
      <c r="C5" s="800">
        <v>71.722424502034698</v>
      </c>
      <c r="D5" s="800">
        <v>75.214185533961128</v>
      </c>
      <c r="E5" s="800">
        <v>88.332505175983442</v>
      </c>
      <c r="F5" s="800">
        <v>91.144860749348823</v>
      </c>
      <c r="G5" s="800">
        <v>103.62546583850931</v>
      </c>
      <c r="H5" s="800">
        <v>89.228811861350422</v>
      </c>
      <c r="I5" s="800">
        <v>94.101182127830086</v>
      </c>
      <c r="J5" s="800">
        <v>87.495859213250512</v>
      </c>
      <c r="K5" s="800">
        <v>87.663193748747744</v>
      </c>
      <c r="L5" s="800">
        <v>59.864389233954448</v>
      </c>
      <c r="M5" s="801">
        <v>40.31636946503707</v>
      </c>
    </row>
    <row r="6" spans="1:13" x14ac:dyDescent="0.25">
      <c r="A6" s="165">
        <v>2017</v>
      </c>
      <c r="B6" s="802">
        <v>59.571027850130235</v>
      </c>
      <c r="C6" s="802">
        <v>71.948757763975152</v>
      </c>
      <c r="D6" s="802">
        <v>72.383690643157678</v>
      </c>
      <c r="E6" s="802">
        <v>80.897722567287786</v>
      </c>
      <c r="F6" s="802">
        <v>93.084952915247442</v>
      </c>
      <c r="G6" s="802">
        <v>113.48757763975154</v>
      </c>
      <c r="H6" s="802">
        <v>96.128631536766179</v>
      </c>
      <c r="I6" s="802">
        <v>102.84952915247445</v>
      </c>
      <c r="J6" s="802">
        <v>97.992753623188392</v>
      </c>
      <c r="K6" s="802">
        <v>94.445401723101583</v>
      </c>
      <c r="L6" s="802">
        <v>71.903519668737061</v>
      </c>
      <c r="M6" s="803">
        <v>37.750951713083552</v>
      </c>
    </row>
    <row r="7" spans="1:13" x14ac:dyDescent="0.25">
      <c r="A7" s="165">
        <v>2018</v>
      </c>
      <c r="B7" s="802">
        <v>55.361450611099976</v>
      </c>
      <c r="C7" s="802">
        <v>67.619565217391298</v>
      </c>
      <c r="D7" s="802">
        <v>73.863153676617912</v>
      </c>
      <c r="E7" s="802">
        <v>84.920082815734986</v>
      </c>
      <c r="F7" s="802">
        <v>93.973953115608083</v>
      </c>
      <c r="G7" s="802">
        <v>113.59648033126294</v>
      </c>
      <c r="H7" s="803">
        <v>103.53596473652574</v>
      </c>
      <c r="I7" s="804"/>
      <c r="J7" s="165"/>
      <c r="K7" s="165"/>
      <c r="L7" s="165"/>
      <c r="M7" s="165"/>
    </row>
    <row r="8" spans="1:13" x14ac:dyDescent="0.25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x14ac:dyDescent="0.25">
      <c r="A9" s="165"/>
      <c r="B9" s="1312" t="s">
        <v>95</v>
      </c>
      <c r="C9" s="1313"/>
      <c r="D9" s="1313"/>
      <c r="E9" s="1313"/>
      <c r="F9" s="1313"/>
      <c r="G9" s="1313"/>
      <c r="H9" s="1313"/>
      <c r="I9" s="1313"/>
      <c r="J9" s="1313"/>
      <c r="K9" s="1313"/>
      <c r="L9" s="1313"/>
      <c r="M9" s="1314"/>
    </row>
    <row r="10" spans="1:13" x14ac:dyDescent="0.25">
      <c r="A10" s="165"/>
      <c r="B10" s="796" t="s">
        <v>773</v>
      </c>
      <c r="C10" s="796" t="s">
        <v>774</v>
      </c>
      <c r="D10" s="796" t="s">
        <v>775</v>
      </c>
      <c r="E10" s="796" t="s">
        <v>776</v>
      </c>
      <c r="F10" s="796" t="s">
        <v>777</v>
      </c>
      <c r="G10" s="796" t="s">
        <v>778</v>
      </c>
      <c r="H10" s="796" t="s">
        <v>779</v>
      </c>
      <c r="I10" s="796" t="s">
        <v>780</v>
      </c>
      <c r="J10" s="796" t="s">
        <v>781</v>
      </c>
      <c r="K10" s="796" t="s">
        <v>782</v>
      </c>
      <c r="L10" s="796" t="s">
        <v>783</v>
      </c>
      <c r="M10" s="797" t="s">
        <v>784</v>
      </c>
    </row>
    <row r="11" spans="1:13" x14ac:dyDescent="0.25">
      <c r="A11" s="165">
        <v>2015</v>
      </c>
      <c r="B11" s="805">
        <v>55.837248607754539</v>
      </c>
      <c r="C11" s="805">
        <v>61.885732899022805</v>
      </c>
      <c r="D11" s="805">
        <v>67.018029841336556</v>
      </c>
      <c r="E11" s="805">
        <v>75.258312160694885</v>
      </c>
      <c r="F11" s="805">
        <v>76.90274035935694</v>
      </c>
      <c r="G11" s="805">
        <v>93.28424484256243</v>
      </c>
      <c r="H11" s="805">
        <v>92.645705579489331</v>
      </c>
      <c r="I11" s="805">
        <v>87.245042030051479</v>
      </c>
      <c r="J11" s="805">
        <v>91.245376764386535</v>
      </c>
      <c r="K11" s="805">
        <v>85.262080487548602</v>
      </c>
      <c r="L11" s="805">
        <v>71.253932681867539</v>
      </c>
      <c r="M11" s="806">
        <v>50.935078806346539</v>
      </c>
    </row>
    <row r="12" spans="1:13" x14ac:dyDescent="0.25">
      <c r="A12" s="165">
        <v>2016</v>
      </c>
      <c r="B12" s="807">
        <v>54.49531312388357</v>
      </c>
      <c r="C12" s="807">
        <v>62.889563068628526</v>
      </c>
      <c r="D12" s="807">
        <v>62.805369864453077</v>
      </c>
      <c r="E12" s="807">
        <v>80.342519001085776</v>
      </c>
      <c r="F12" s="807">
        <v>86.654236629189867</v>
      </c>
      <c r="G12" s="807">
        <v>97.665822475570025</v>
      </c>
      <c r="H12" s="807">
        <v>97.196234107386786</v>
      </c>
      <c r="I12" s="807">
        <v>93.191241988021432</v>
      </c>
      <c r="J12" s="807">
        <v>88.214755700325725</v>
      </c>
      <c r="K12" s="807">
        <v>86.509845539560786</v>
      </c>
      <c r="L12" s="807">
        <v>74.075576547231279</v>
      </c>
      <c r="M12" s="808">
        <v>52.539932226541978</v>
      </c>
    </row>
    <row r="13" spans="1:13" ht="14.65" customHeight="1" x14ac:dyDescent="0.25">
      <c r="A13" s="165">
        <v>2017</v>
      </c>
      <c r="B13" s="809">
        <v>69.991256173163805</v>
      </c>
      <c r="C13" s="809">
        <v>65.003135760818992</v>
      </c>
      <c r="D13" s="809">
        <v>70.151207838604606</v>
      </c>
      <c r="E13" s="809">
        <v>79.387079261672099</v>
      </c>
      <c r="F13" s="809">
        <v>89.018313544184082</v>
      </c>
      <c r="G13" s="809">
        <v>102.54278013029314</v>
      </c>
      <c r="H13" s="809">
        <v>101.90262950509613</v>
      </c>
      <c r="I13" s="809">
        <v>97.029212461910262</v>
      </c>
      <c r="J13" s="809">
        <v>95.384804560260591</v>
      </c>
      <c r="K13" s="809">
        <v>87.61065671955447</v>
      </c>
      <c r="L13" s="809">
        <v>75.200528773072747</v>
      </c>
      <c r="M13" s="810">
        <v>55.573255752863297</v>
      </c>
    </row>
    <row r="14" spans="1:13" x14ac:dyDescent="0.25">
      <c r="A14" s="165">
        <v>2018</v>
      </c>
      <c r="B14" s="809">
        <v>66.268670274246091</v>
      </c>
      <c r="C14" s="809">
        <v>70.82696195905072</v>
      </c>
      <c r="D14" s="809">
        <v>83.865054113691286</v>
      </c>
      <c r="E14" s="809">
        <v>82.773946796959834</v>
      </c>
      <c r="F14" s="809">
        <v>86.03943627193442</v>
      </c>
      <c r="G14" s="809">
        <v>102.92741422366991</v>
      </c>
      <c r="H14" s="810">
        <v>100.12865766523063</v>
      </c>
      <c r="I14" s="810"/>
      <c r="J14" s="165"/>
      <c r="K14" s="165"/>
      <c r="L14" s="165"/>
      <c r="M14" s="165"/>
    </row>
    <row r="15" spans="1:13" x14ac:dyDescent="0.25">
      <c r="A15" s="165"/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</row>
    <row r="16" spans="1:13" x14ac:dyDescent="0.25">
      <c r="A16" s="165"/>
      <c r="B16" s="1312" t="s">
        <v>514</v>
      </c>
      <c r="C16" s="1313"/>
      <c r="D16" s="1313"/>
      <c r="E16" s="1313"/>
      <c r="F16" s="1313"/>
      <c r="G16" s="1313"/>
      <c r="H16" s="1313"/>
      <c r="I16" s="1313"/>
      <c r="J16" s="1313"/>
      <c r="K16" s="1313"/>
      <c r="L16" s="1313"/>
      <c r="M16" s="1314"/>
    </row>
    <row r="17" spans="1:13" x14ac:dyDescent="0.25">
      <c r="A17" s="165"/>
      <c r="B17" s="796" t="s">
        <v>773</v>
      </c>
      <c r="C17" s="796" t="s">
        <v>774</v>
      </c>
      <c r="D17" s="796" t="s">
        <v>775</v>
      </c>
      <c r="E17" s="796" t="s">
        <v>776</v>
      </c>
      <c r="F17" s="796" t="s">
        <v>777</v>
      </c>
      <c r="G17" s="796" t="s">
        <v>778</v>
      </c>
      <c r="H17" s="796" t="s">
        <v>779</v>
      </c>
      <c r="I17" s="796" t="s">
        <v>780</v>
      </c>
      <c r="J17" s="796" t="s">
        <v>781</v>
      </c>
      <c r="K17" s="796" t="s">
        <v>782</v>
      </c>
      <c r="L17" s="796" t="s">
        <v>783</v>
      </c>
      <c r="M17" s="797" t="s">
        <v>784</v>
      </c>
    </row>
    <row r="18" spans="1:13" x14ac:dyDescent="0.25">
      <c r="A18" s="165">
        <v>2015</v>
      </c>
      <c r="B18" s="811">
        <v>105.05816874259025</v>
      </c>
      <c r="C18" s="811">
        <v>106.05529520679558</v>
      </c>
      <c r="D18" s="811">
        <v>113.77781942542842</v>
      </c>
      <c r="E18" s="811">
        <v>106.15612023989938</v>
      </c>
      <c r="F18" s="811">
        <v>99.610345738058882</v>
      </c>
      <c r="G18" s="811">
        <v>103.36914054023912</v>
      </c>
      <c r="H18" s="811">
        <v>104.64306417968677</v>
      </c>
      <c r="I18" s="811">
        <v>106.4268314627332</v>
      </c>
      <c r="J18" s="811">
        <v>106.99949362849769</v>
      </c>
      <c r="K18" s="811">
        <v>101.59536300426943</v>
      </c>
      <c r="L18" s="811">
        <v>95.768060440171737</v>
      </c>
      <c r="M18" s="812">
        <v>101.21904591029845</v>
      </c>
    </row>
    <row r="19" spans="1:13" x14ac:dyDescent="0.25">
      <c r="A19" s="165">
        <v>2016</v>
      </c>
      <c r="B19" s="813">
        <v>120.5565249823503</v>
      </c>
      <c r="C19" s="813">
        <v>114.04503545964735</v>
      </c>
      <c r="D19" s="813">
        <v>119.75757120177593</v>
      </c>
      <c r="E19" s="813">
        <v>109.94490373744651</v>
      </c>
      <c r="F19" s="813">
        <v>105.18223262340328</v>
      </c>
      <c r="G19" s="813">
        <v>106.10207666497666</v>
      </c>
      <c r="H19" s="813">
        <v>91.802745940512892</v>
      </c>
      <c r="I19" s="813">
        <v>100.97642237660659</v>
      </c>
      <c r="J19" s="813">
        <v>99.185060955655331</v>
      </c>
      <c r="K19" s="813">
        <v>101.3331987844777</v>
      </c>
      <c r="L19" s="813">
        <v>80.815286258061548</v>
      </c>
      <c r="M19" s="814">
        <v>76.734719205956949</v>
      </c>
    </row>
    <row r="20" spans="1:13" x14ac:dyDescent="0.25">
      <c r="A20" s="165">
        <v>2017</v>
      </c>
      <c r="B20" s="815">
        <v>85.112099863941395</v>
      </c>
      <c r="C20" s="815">
        <v>110.68505683896971</v>
      </c>
      <c r="D20" s="815">
        <v>103.18238683742881</v>
      </c>
      <c r="E20" s="815">
        <v>101.902883088363</v>
      </c>
      <c r="F20" s="815">
        <v>104.56831769683536</v>
      </c>
      <c r="G20" s="815">
        <v>110.67339650392908</v>
      </c>
      <c r="H20" s="815">
        <v>94.333808659921559</v>
      </c>
      <c r="I20" s="815">
        <v>105.99851997443452</v>
      </c>
      <c r="J20" s="815">
        <v>102.73413472402747</v>
      </c>
      <c r="K20" s="815">
        <v>107.80127128304197</v>
      </c>
      <c r="L20" s="815">
        <v>95.615710210915083</v>
      </c>
      <c r="M20" s="816">
        <v>67.930070321889517</v>
      </c>
    </row>
    <row r="21" spans="1:13" x14ac:dyDescent="0.25">
      <c r="A21" s="165">
        <v>2018</v>
      </c>
      <c r="B21" s="817">
        <v>83.540910632418459</v>
      </c>
      <c r="C21" s="817">
        <v>95.47150314944497</v>
      </c>
      <c r="D21" s="817">
        <v>88.073816272133627</v>
      </c>
      <c r="E21" s="817">
        <v>102.59276753353265</v>
      </c>
      <c r="F21" s="817">
        <v>109.22195354534401</v>
      </c>
      <c r="G21" s="817">
        <v>110.36562143143733</v>
      </c>
      <c r="H21" s="818">
        <v>103.40292894236839</v>
      </c>
      <c r="I21" s="819"/>
      <c r="J21" s="165"/>
      <c r="K21" s="165"/>
      <c r="L21" s="165"/>
      <c r="M21" s="165"/>
    </row>
    <row r="25" spans="1:13" ht="14.65" customHeight="1" x14ac:dyDescent="0.25"/>
  </sheetData>
  <mergeCells count="3">
    <mergeCell ref="B2:M2"/>
    <mergeCell ref="B9:M9"/>
    <mergeCell ref="B16:M1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  <pageSetUpPr fitToPage="1"/>
  </sheetPr>
  <dimension ref="A1:O127"/>
  <sheetViews>
    <sheetView topLeftCell="A4" workbookViewId="0">
      <selection activeCell="F62" sqref="F62"/>
    </sheetView>
  </sheetViews>
  <sheetFormatPr defaultColWidth="8.7109375" defaultRowHeight="15" x14ac:dyDescent="0.25"/>
  <cols>
    <col min="1" max="1" width="2.42578125" style="468" customWidth="1"/>
    <col min="2" max="2" width="41" customWidth="1"/>
    <col min="3" max="3" width="11.7109375" customWidth="1"/>
    <col min="4" max="4" width="17.7109375" customWidth="1"/>
    <col min="5" max="5" width="16" customWidth="1"/>
    <col min="6" max="6" width="12.42578125" customWidth="1"/>
    <col min="7" max="7" width="5.28515625" customWidth="1"/>
    <col min="8" max="8" width="10.28515625" customWidth="1"/>
    <col min="9" max="11" width="12.42578125" customWidth="1"/>
    <col min="12" max="12" width="19.42578125" style="462" customWidth="1"/>
    <col min="15" max="15" width="21.28515625" style="466" customWidth="1"/>
  </cols>
  <sheetData>
    <row r="1" spans="1:15" ht="23.25" x14ac:dyDescent="0.35">
      <c r="A1" s="1" t="str">
        <f>+C6</f>
        <v>LF III</v>
      </c>
    </row>
    <row r="2" spans="1:15" ht="15.75" x14ac:dyDescent="0.25">
      <c r="A2" s="12" t="s">
        <v>854</v>
      </c>
    </row>
    <row r="3" spans="1:15" ht="21" x14ac:dyDescent="0.35">
      <c r="A3" s="521" t="s">
        <v>588</v>
      </c>
      <c r="F3" s="427"/>
      <c r="G3" s="427"/>
      <c r="H3" s="427"/>
    </row>
    <row r="4" spans="1:15" s="427" customFormat="1" ht="7.9" customHeight="1" x14ac:dyDescent="0.35">
      <c r="A4" s="521"/>
      <c r="L4" s="462"/>
      <c r="O4" s="466"/>
    </row>
    <row r="5" spans="1:15" s="427" customFormat="1" ht="16.149999999999999" customHeight="1" x14ac:dyDescent="0.35">
      <c r="A5" s="521"/>
      <c r="B5" s="522" t="s">
        <v>679</v>
      </c>
      <c r="C5" s="868" t="s">
        <v>1037</v>
      </c>
      <c r="D5" s="869"/>
      <c r="L5" s="707"/>
      <c r="O5" s="708"/>
    </row>
    <row r="6" spans="1:15" s="427" customFormat="1" ht="16.149999999999999" customHeight="1" x14ac:dyDescent="0.35">
      <c r="A6" s="521"/>
      <c r="B6" s="522" t="s">
        <v>852</v>
      </c>
      <c r="C6" s="866" t="s">
        <v>1038</v>
      </c>
      <c r="D6" s="867"/>
      <c r="L6" s="833"/>
      <c r="O6" s="840"/>
    </row>
    <row r="7" spans="1:15" s="427" customFormat="1" ht="16.149999999999999" customHeight="1" x14ac:dyDescent="0.35">
      <c r="A7" s="521"/>
      <c r="B7" s="522"/>
      <c r="E7" s="518"/>
      <c r="L7" s="833"/>
      <c r="O7" s="840"/>
    </row>
    <row r="8" spans="1:15" s="427" customFormat="1" ht="16.149999999999999" customHeight="1" x14ac:dyDescent="0.25">
      <c r="A8" s="1072" t="s">
        <v>860</v>
      </c>
      <c r="B8" s="1072"/>
      <c r="C8" s="1072"/>
      <c r="D8" s="1072"/>
      <c r="E8" s="1072"/>
      <c r="F8" s="1072"/>
      <c r="G8" s="1072"/>
      <c r="L8" s="833"/>
      <c r="O8" s="840"/>
    </row>
    <row r="9" spans="1:15" s="427" customFormat="1" ht="16.149999999999999" customHeight="1" x14ac:dyDescent="0.35">
      <c r="A9" s="521"/>
      <c r="B9" s="865" t="s">
        <v>859</v>
      </c>
      <c r="C9" s="870"/>
      <c r="L9" s="833"/>
      <c r="O9" s="840"/>
    </row>
    <row r="10" spans="1:15" s="427" customFormat="1" ht="16.149999999999999" customHeight="1" x14ac:dyDescent="0.35">
      <c r="A10" s="521"/>
      <c r="B10" s="865" t="s">
        <v>865</v>
      </c>
      <c r="C10" s="870"/>
      <c r="L10" s="833"/>
      <c r="O10" s="840"/>
    </row>
    <row r="11" spans="1:15" ht="7.9" customHeight="1" thickBot="1" x14ac:dyDescent="0.3">
      <c r="D11" s="427"/>
      <c r="E11" s="427"/>
      <c r="F11" s="427"/>
      <c r="G11" s="427"/>
      <c r="H11" s="427"/>
      <c r="I11" s="427"/>
      <c r="J11" s="427"/>
      <c r="K11" s="427"/>
      <c r="L11" s="707"/>
      <c r="M11" s="427"/>
      <c r="N11" s="427"/>
      <c r="O11" s="708"/>
    </row>
    <row r="12" spans="1:15" ht="15.75" x14ac:dyDescent="0.25">
      <c r="A12" s="1072" t="s">
        <v>861</v>
      </c>
      <c r="B12" s="1072"/>
      <c r="C12" s="1072"/>
      <c r="D12" s="1072"/>
      <c r="E12" s="1072"/>
      <c r="F12" s="1072"/>
      <c r="G12" s="1072"/>
      <c r="H12" s="518"/>
      <c r="I12" s="518"/>
      <c r="J12" s="427"/>
      <c r="K12" s="427"/>
      <c r="L12" s="1065" t="s">
        <v>742</v>
      </c>
      <c r="M12" s="1066"/>
      <c r="N12" s="1066"/>
      <c r="O12" s="1067"/>
    </row>
    <row r="13" spans="1:15" s="427" customFormat="1" ht="15.75" x14ac:dyDescent="0.25">
      <c r="A13" s="447"/>
      <c r="B13" s="522" t="s">
        <v>692</v>
      </c>
      <c r="C13" s="518"/>
      <c r="D13" s="518"/>
      <c r="E13" s="1069" t="s">
        <v>1068</v>
      </c>
      <c r="F13" s="1070"/>
      <c r="G13" s="1071"/>
      <c r="H13" s="518"/>
      <c r="I13" s="518"/>
      <c r="L13" s="637"/>
      <c r="M13" s="648"/>
      <c r="N13" s="648"/>
      <c r="O13" s="649"/>
    </row>
    <row r="14" spans="1:15" ht="15.75" x14ac:dyDescent="0.25">
      <c r="A14" s="447"/>
      <c r="B14" s="519" t="s">
        <v>12</v>
      </c>
      <c r="C14" s="518"/>
      <c r="D14" s="518"/>
      <c r="E14" s="1069" t="s">
        <v>359</v>
      </c>
      <c r="F14" s="1070"/>
      <c r="G14" s="1071"/>
      <c r="H14" s="518"/>
      <c r="I14" s="518"/>
      <c r="J14" s="427"/>
      <c r="K14" s="427"/>
      <c r="L14" s="637"/>
      <c r="M14" s="648"/>
      <c r="N14" s="648"/>
      <c r="O14" s="649"/>
    </row>
    <row r="15" spans="1:15" s="427" customFormat="1" ht="15.75" x14ac:dyDescent="0.25">
      <c r="A15" s="447"/>
      <c r="B15" s="519" t="s">
        <v>380</v>
      </c>
      <c r="C15" s="518"/>
      <c r="D15" s="518"/>
      <c r="E15" s="1069" t="s">
        <v>383</v>
      </c>
      <c r="F15" s="1070"/>
      <c r="G15" s="1071"/>
      <c r="H15" s="518"/>
      <c r="I15" s="518"/>
      <c r="L15" s="637"/>
      <c r="M15" s="648"/>
      <c r="N15" s="648"/>
      <c r="O15" s="649"/>
    </row>
    <row r="16" spans="1:15" ht="15.75" x14ac:dyDescent="0.25">
      <c r="A16" s="447"/>
      <c r="B16" s="519" t="s">
        <v>517</v>
      </c>
      <c r="C16" s="518"/>
      <c r="D16" s="518"/>
      <c r="E16" s="1069" t="s">
        <v>1082</v>
      </c>
      <c r="F16" s="1071"/>
      <c r="G16" s="773"/>
      <c r="H16" s="518"/>
      <c r="I16" s="518"/>
      <c r="J16" s="427"/>
      <c r="K16" s="427"/>
      <c r="L16" s="637"/>
      <c r="M16" s="648"/>
      <c r="N16" s="648"/>
      <c r="O16" s="649"/>
    </row>
    <row r="17" spans="1:15" s="427" customFormat="1" ht="15.75" x14ac:dyDescent="0.25">
      <c r="A17" s="447"/>
      <c r="B17" s="522" t="s">
        <v>633</v>
      </c>
      <c r="C17" s="518"/>
      <c r="D17" s="518"/>
      <c r="E17" s="774"/>
      <c r="F17" s="527"/>
      <c r="G17" s="527"/>
      <c r="H17" s="518"/>
      <c r="I17" s="518"/>
      <c r="L17" s="637"/>
      <c r="M17" s="648"/>
      <c r="N17" s="648"/>
      <c r="O17" s="649"/>
    </row>
    <row r="18" spans="1:15" ht="15.75" x14ac:dyDescent="0.25">
      <c r="A18" s="447"/>
      <c r="B18" s="519" t="s">
        <v>87</v>
      </c>
      <c r="C18" s="518"/>
      <c r="D18" s="518"/>
      <c r="E18" s="775">
        <v>125</v>
      </c>
      <c r="F18" s="526"/>
      <c r="G18" s="526"/>
      <c r="H18" s="518"/>
      <c r="I18" s="518"/>
      <c r="L18" s="637"/>
      <c r="M18" s="648"/>
      <c r="N18" s="648"/>
      <c r="O18" s="649"/>
    </row>
    <row r="19" spans="1:15" ht="15.75" x14ac:dyDescent="0.25">
      <c r="A19" s="447"/>
      <c r="B19" s="519" t="s">
        <v>590</v>
      </c>
      <c r="C19" s="518"/>
      <c r="D19" s="518"/>
      <c r="E19" s="774"/>
      <c r="F19" s="526"/>
      <c r="G19" s="526"/>
      <c r="H19" s="518"/>
      <c r="I19" s="518"/>
      <c r="L19" s="637"/>
      <c r="M19" s="648"/>
      <c r="N19" s="648"/>
      <c r="O19" s="649"/>
    </row>
    <row r="20" spans="1:15" s="427" customFormat="1" ht="15.75" x14ac:dyDescent="0.25">
      <c r="A20" s="447"/>
      <c r="B20" s="519" t="s">
        <v>589</v>
      </c>
      <c r="C20" s="518"/>
      <c r="D20" s="518"/>
      <c r="E20" s="704"/>
      <c r="F20" s="526"/>
      <c r="G20" s="526"/>
      <c r="H20" s="518"/>
      <c r="I20" s="518"/>
      <c r="L20" s="637"/>
      <c r="M20" s="648"/>
      <c r="N20" s="648"/>
      <c r="O20" s="649"/>
    </row>
    <row r="21" spans="1:15" ht="15.75" x14ac:dyDescent="0.25">
      <c r="A21" s="447"/>
      <c r="B21" s="522" t="s">
        <v>721</v>
      </c>
      <c r="C21" s="518"/>
      <c r="D21" s="518"/>
      <c r="E21" s="704"/>
      <c r="F21" s="526"/>
      <c r="G21" s="526"/>
      <c r="H21" s="518"/>
      <c r="I21" s="518"/>
      <c r="L21" s="637"/>
      <c r="M21" s="648"/>
      <c r="N21" s="648"/>
      <c r="O21" s="649"/>
    </row>
    <row r="22" spans="1:15" s="427" customFormat="1" ht="15.75" x14ac:dyDescent="0.25">
      <c r="A22" s="447"/>
      <c r="B22" s="522" t="s">
        <v>616</v>
      </c>
      <c r="C22" s="518"/>
      <c r="D22" s="518"/>
      <c r="E22" s="664">
        <f>ProForma!L20</f>
        <v>4044844.1199999996</v>
      </c>
      <c r="F22" s="526"/>
      <c r="G22" s="526"/>
      <c r="H22" s="518"/>
      <c r="I22" s="518"/>
      <c r="L22" s="637"/>
      <c r="M22" s="648"/>
      <c r="N22" s="648"/>
      <c r="O22" s="649"/>
    </row>
    <row r="23" spans="1:15" s="427" customFormat="1" ht="15.75" x14ac:dyDescent="0.25">
      <c r="A23" s="447"/>
      <c r="B23" s="522" t="s">
        <v>618</v>
      </c>
      <c r="C23" s="518"/>
      <c r="D23" s="518"/>
      <c r="E23" s="664">
        <f>ProForma!L71</f>
        <v>1870584.6215999995</v>
      </c>
      <c r="F23" s="526"/>
      <c r="G23" s="526"/>
      <c r="H23" s="518"/>
      <c r="I23" s="518"/>
      <c r="L23" s="637"/>
      <c r="M23" s="648"/>
      <c r="N23" s="648"/>
      <c r="O23" s="649"/>
    </row>
    <row r="24" spans="1:15" s="427" customFormat="1" ht="15.75" x14ac:dyDescent="0.25">
      <c r="A24" s="447"/>
      <c r="B24" s="522" t="s">
        <v>617</v>
      </c>
      <c r="C24" s="518"/>
      <c r="D24" s="518"/>
      <c r="E24" s="529">
        <f>+E23/E22</f>
        <v>0.4624614858087534</v>
      </c>
      <c r="F24" s="526"/>
      <c r="G24" s="526"/>
      <c r="H24" s="518"/>
      <c r="I24" s="518"/>
      <c r="L24" s="637" t="str">
        <f>IF(E24&lt;0.375,"Stabilized","Note - High NOI %")</f>
        <v>Note - High NOI %</v>
      </c>
      <c r="M24" s="648"/>
      <c r="N24" s="648"/>
      <c r="O24" s="649"/>
    </row>
    <row r="25" spans="1:15" s="427" customFormat="1" ht="15.75" x14ac:dyDescent="0.25">
      <c r="A25" s="447"/>
      <c r="B25" s="519" t="s">
        <v>614</v>
      </c>
      <c r="C25" s="518"/>
      <c r="D25" s="518"/>
      <c r="E25" s="663">
        <f>ProForma!L10</f>
        <v>85.583280000000002</v>
      </c>
      <c r="F25" s="526"/>
      <c r="G25" s="526"/>
      <c r="H25" s="518"/>
      <c r="I25" s="518"/>
      <c r="L25" s="637"/>
      <c r="M25" s="648"/>
      <c r="N25" s="648"/>
      <c r="O25" s="649"/>
    </row>
    <row r="26" spans="1:15" s="427" customFormat="1" ht="15.75" x14ac:dyDescent="0.25">
      <c r="A26" s="447"/>
      <c r="B26" s="519" t="s">
        <v>613</v>
      </c>
      <c r="C26" s="518"/>
      <c r="D26" s="518"/>
      <c r="E26" s="663">
        <f>ProForma!L11</f>
        <v>1.3040814600642265</v>
      </c>
      <c r="F26" s="526"/>
      <c r="G26" s="526"/>
      <c r="H26" s="518"/>
      <c r="I26" s="518"/>
      <c r="L26" s="637"/>
      <c r="M26" s="648"/>
      <c r="N26" s="648"/>
      <c r="O26" s="649"/>
    </row>
    <row r="27" spans="1:15" s="427" customFormat="1" ht="15.75" x14ac:dyDescent="0.25">
      <c r="A27" s="447"/>
      <c r="B27" s="522" t="s">
        <v>625</v>
      </c>
      <c r="C27" s="518"/>
      <c r="D27" s="518"/>
      <c r="E27" s="664">
        <f>ProForma!H20</f>
        <v>0</v>
      </c>
      <c r="F27" s="526"/>
      <c r="G27" s="526"/>
      <c r="H27" s="518"/>
      <c r="I27" s="518"/>
      <c r="L27" s="637"/>
      <c r="M27" s="648"/>
      <c r="N27" s="648"/>
      <c r="O27" s="649"/>
    </row>
    <row r="28" spans="1:15" s="427" customFormat="1" ht="15.75" x14ac:dyDescent="0.25">
      <c r="A28" s="447"/>
      <c r="B28" s="522" t="s">
        <v>623</v>
      </c>
      <c r="C28" s="518"/>
      <c r="D28" s="518"/>
      <c r="E28" s="664">
        <f>ProForma!H71</f>
        <v>0</v>
      </c>
      <c r="F28" s="526"/>
      <c r="G28" s="526"/>
      <c r="H28" s="518"/>
      <c r="I28" s="518"/>
      <c r="L28" s="637"/>
      <c r="M28" s="648"/>
      <c r="N28" s="648"/>
      <c r="O28" s="649"/>
    </row>
    <row r="29" spans="1:15" s="427" customFormat="1" ht="15.75" x14ac:dyDescent="0.25">
      <c r="A29" s="447"/>
      <c r="B29" s="522" t="s">
        <v>624</v>
      </c>
      <c r="C29" s="518"/>
      <c r="D29" s="518"/>
      <c r="E29" s="529" t="e">
        <f>+E28/E27</f>
        <v>#DIV/0!</v>
      </c>
      <c r="F29" s="526"/>
      <c r="G29" s="526"/>
      <c r="H29" s="518"/>
      <c r="I29" s="518"/>
      <c r="L29" s="637"/>
      <c r="M29" s="648"/>
      <c r="N29" s="648"/>
      <c r="O29" s="649"/>
    </row>
    <row r="30" spans="1:15" s="427" customFormat="1" ht="15.75" x14ac:dyDescent="0.25">
      <c r="A30" s="447"/>
      <c r="B30" s="522" t="s">
        <v>631</v>
      </c>
      <c r="C30" s="518"/>
      <c r="D30" s="518"/>
      <c r="E30" s="533">
        <f>+E22-E27</f>
        <v>4044844.1199999996</v>
      </c>
      <c r="F30" s="534" t="e">
        <f>+(E30/E27)</f>
        <v>#DIV/0!</v>
      </c>
      <c r="G30" s="526"/>
      <c r="H30" s="518"/>
      <c r="I30" s="518"/>
      <c r="L30" s="637" t="e">
        <f>IF(AND(F30&lt;0.05,F30&gt;-0.05),"Stabilized","Revenue Impacted - May Not Be Stabilized")</f>
        <v>#DIV/0!</v>
      </c>
      <c r="M30" s="648"/>
      <c r="N30" s="648"/>
      <c r="O30" s="649"/>
    </row>
    <row r="31" spans="1:15" s="427" customFormat="1" ht="15.75" x14ac:dyDescent="0.25">
      <c r="A31" s="447"/>
      <c r="B31" s="522" t="s">
        <v>632</v>
      </c>
      <c r="C31" s="518"/>
      <c r="D31" s="518"/>
      <c r="E31" s="533">
        <f>+E23-E28</f>
        <v>1870584.6215999995</v>
      </c>
      <c r="F31" s="534" t="e">
        <f>+(E31/E28)</f>
        <v>#DIV/0!</v>
      </c>
      <c r="G31" s="526"/>
      <c r="H31" s="518"/>
      <c r="I31" s="518"/>
      <c r="L31" s="637" t="e">
        <f>IF(AND(F31&lt;0.075,F31&gt;-0.075),"Stabilized","NOI Impacted - May Not Be Stabilized")</f>
        <v>#DIV/0!</v>
      </c>
      <c r="M31" s="648"/>
      <c r="N31" s="648"/>
      <c r="O31" s="649"/>
    </row>
    <row r="32" spans="1:15" s="427" customFormat="1" ht="15.75" x14ac:dyDescent="0.25">
      <c r="A32" s="447"/>
      <c r="B32" s="522" t="s">
        <v>626</v>
      </c>
      <c r="C32" s="518"/>
      <c r="D32" s="518"/>
      <c r="E32" s="774" t="s">
        <v>1083</v>
      </c>
      <c r="F32" s="526"/>
      <c r="G32" s="526"/>
      <c r="H32" s="4"/>
      <c r="I32" s="518"/>
      <c r="L32" s="637" t="str">
        <f>IF(E32="N","Stabilized","Not Stabilized- Procced to Full Model")</f>
        <v>Stabilized</v>
      </c>
      <c r="M32" s="648"/>
      <c r="N32" s="648"/>
      <c r="O32" s="649"/>
    </row>
    <row r="33" spans="1:15" s="427" customFormat="1" ht="15.75" x14ac:dyDescent="0.25">
      <c r="A33" s="447"/>
      <c r="B33" s="522" t="s">
        <v>627</v>
      </c>
      <c r="C33" s="518"/>
      <c r="D33" s="518"/>
      <c r="E33" s="774" t="s">
        <v>1083</v>
      </c>
      <c r="F33" s="526"/>
      <c r="G33" s="526"/>
      <c r="H33" s="518"/>
      <c r="I33" s="518"/>
      <c r="L33" s="637" t="str">
        <f>IF(E33="N","Stabilized","Not Stabilized- Proceed to Full Model")</f>
        <v>Stabilized</v>
      </c>
      <c r="M33" s="648"/>
      <c r="N33" s="648"/>
      <c r="O33" s="649"/>
    </row>
    <row r="34" spans="1:15" s="427" customFormat="1" ht="7.9" customHeight="1" x14ac:dyDescent="0.25">
      <c r="A34" s="447"/>
      <c r="B34" s="522"/>
      <c r="C34" s="518"/>
      <c r="D34" s="518"/>
      <c r="E34" s="527"/>
      <c r="F34" s="526"/>
      <c r="G34" s="526"/>
      <c r="H34" s="518"/>
      <c r="I34" s="518"/>
      <c r="L34" s="637"/>
      <c r="M34" s="648"/>
      <c r="N34" s="648"/>
      <c r="O34" s="649"/>
    </row>
    <row r="35" spans="1:15" s="427" customFormat="1" ht="15.75" x14ac:dyDescent="0.25">
      <c r="A35" s="1072" t="s">
        <v>862</v>
      </c>
      <c r="B35" s="1072"/>
      <c r="C35" s="1072"/>
      <c r="D35" s="1072"/>
      <c r="E35" s="1072"/>
      <c r="F35" s="1072"/>
      <c r="G35" s="1072"/>
      <c r="H35" s="518"/>
      <c r="I35" s="518"/>
      <c r="L35" s="637"/>
      <c r="M35" s="648"/>
      <c r="N35" s="648"/>
      <c r="O35" s="649"/>
    </row>
    <row r="36" spans="1:15" s="427" customFormat="1" ht="15.75" x14ac:dyDescent="0.25">
      <c r="A36" s="447"/>
      <c r="B36" s="522" t="s">
        <v>634</v>
      </c>
      <c r="C36" s="518"/>
      <c r="D36" s="518"/>
      <c r="E36" s="777">
        <v>18000000</v>
      </c>
      <c r="F36" s="776"/>
      <c r="G36" s="526"/>
      <c r="H36" s="518"/>
      <c r="I36" s="518"/>
      <c r="L36" s="637"/>
      <c r="M36" s="648"/>
      <c r="N36" s="648"/>
      <c r="O36" s="649"/>
    </row>
    <row r="37" spans="1:15" s="427" customFormat="1" ht="15.75" x14ac:dyDescent="0.25">
      <c r="A37" s="447"/>
      <c r="B37" s="522" t="s">
        <v>635</v>
      </c>
      <c r="C37" s="518"/>
      <c r="D37" s="518"/>
      <c r="E37" s="664"/>
      <c r="F37" s="526"/>
      <c r="G37" s="526"/>
      <c r="H37" s="518"/>
      <c r="I37" s="518"/>
      <c r="L37" s="637"/>
      <c r="M37" s="648"/>
      <c r="N37" s="648"/>
      <c r="O37" s="649"/>
    </row>
    <row r="38" spans="1:15" s="427" customFormat="1" ht="15.75" x14ac:dyDescent="0.25">
      <c r="A38" s="447"/>
      <c r="B38" s="522" t="s">
        <v>636</v>
      </c>
      <c r="C38" s="518"/>
      <c r="D38" s="518"/>
      <c r="E38" s="528">
        <f>+E23/(E36)</f>
        <v>0.10392136786666664</v>
      </c>
      <c r="F38" s="526"/>
      <c r="G38" s="526"/>
      <c r="H38" s="518"/>
      <c r="I38" s="518"/>
      <c r="L38" s="637"/>
      <c r="M38" s="648"/>
      <c r="N38" s="648"/>
      <c r="O38" s="649"/>
    </row>
    <row r="39" spans="1:15" s="427" customFormat="1" ht="15.75" x14ac:dyDescent="0.25">
      <c r="A39" s="447"/>
      <c r="B39" s="522" t="s">
        <v>637</v>
      </c>
      <c r="C39" s="518"/>
      <c r="D39" s="518"/>
      <c r="E39" s="528">
        <f>+E23/(E36+E71)</f>
        <v>0.10392136786666664</v>
      </c>
      <c r="F39" s="526"/>
      <c r="G39" s="526"/>
      <c r="H39" s="518"/>
      <c r="I39" s="518"/>
      <c r="L39" s="637"/>
      <c r="M39" s="648"/>
      <c r="N39" s="648"/>
      <c r="O39" s="649"/>
    </row>
    <row r="40" spans="1:15" s="427" customFormat="1" ht="15.75" x14ac:dyDescent="0.25">
      <c r="A40" s="447"/>
      <c r="B40" s="522" t="s">
        <v>675</v>
      </c>
      <c r="C40" s="518"/>
      <c r="D40" s="518"/>
      <c r="E40" s="528">
        <f>+E23/((E36+E71)*1.05)</f>
        <v>9.8972731301587277E-2</v>
      </c>
      <c r="F40" s="526"/>
      <c r="G40" s="526"/>
      <c r="H40" s="518"/>
      <c r="I40" s="518"/>
      <c r="L40" s="637"/>
      <c r="M40" s="648"/>
      <c r="N40" s="648"/>
      <c r="O40" s="649"/>
    </row>
    <row r="41" spans="1:15" ht="15.75" x14ac:dyDescent="0.25">
      <c r="A41" s="447"/>
      <c r="B41" s="518"/>
      <c r="C41" s="518"/>
      <c r="D41" s="518"/>
      <c r="E41" s="518"/>
      <c r="F41" s="518"/>
      <c r="G41" s="518"/>
      <c r="H41" s="518"/>
      <c r="I41" s="518"/>
      <c r="L41" s="637"/>
      <c r="M41" s="648"/>
      <c r="N41" s="648"/>
      <c r="O41" s="649"/>
    </row>
    <row r="42" spans="1:15" s="427" customFormat="1" ht="15.75" x14ac:dyDescent="0.25">
      <c r="A42" s="1072" t="s">
        <v>868</v>
      </c>
      <c r="B42" s="1072"/>
      <c r="C42" s="1072"/>
      <c r="D42" s="1072"/>
      <c r="E42" s="1072"/>
      <c r="F42" s="1072"/>
      <c r="G42" s="1072"/>
      <c r="H42" s="518"/>
      <c r="I42" s="518"/>
      <c r="L42" s="637"/>
      <c r="M42" s="648"/>
      <c r="N42" s="648"/>
      <c r="O42" s="649"/>
    </row>
    <row r="43" spans="1:15" s="427" customFormat="1" ht="15.75" x14ac:dyDescent="0.25">
      <c r="A43" s="447"/>
      <c r="B43" s="598" t="s">
        <v>65</v>
      </c>
      <c r="C43" s="518"/>
      <c r="D43" s="518" t="s">
        <v>1084</v>
      </c>
      <c r="E43" s="872">
        <v>0.625</v>
      </c>
      <c r="F43" s="518" t="s">
        <v>1134</v>
      </c>
      <c r="G43" s="518"/>
      <c r="H43" s="518"/>
      <c r="I43" s="518"/>
      <c r="L43" s="637"/>
      <c r="M43" s="648"/>
      <c r="N43" s="648"/>
      <c r="O43" s="649"/>
    </row>
    <row r="44" spans="1:15" s="427" customFormat="1" ht="15.75" x14ac:dyDescent="0.25">
      <c r="A44" s="447"/>
      <c r="B44" s="598" t="s">
        <v>66</v>
      </c>
      <c r="C44" s="518"/>
      <c r="D44" s="518"/>
      <c r="E44" s="872">
        <v>4.9250000000000002E-2</v>
      </c>
      <c r="F44" s="518"/>
      <c r="G44" s="518"/>
      <c r="H44" s="518"/>
      <c r="I44" s="518"/>
      <c r="L44" s="637"/>
      <c r="M44" s="648"/>
      <c r="N44" s="648"/>
      <c r="O44" s="649"/>
    </row>
    <row r="45" spans="1:15" s="427" customFormat="1" ht="15.75" x14ac:dyDescent="0.25">
      <c r="A45" s="447"/>
      <c r="B45" s="598" t="s">
        <v>810</v>
      </c>
      <c r="C45" s="518"/>
      <c r="D45" s="518"/>
      <c r="E45" s="778">
        <v>30</v>
      </c>
      <c r="F45" s="518" t="s">
        <v>128</v>
      </c>
      <c r="G45" s="518"/>
      <c r="H45" s="518"/>
      <c r="I45" s="518"/>
      <c r="L45" s="637"/>
      <c r="M45" s="648"/>
      <c r="N45" s="648"/>
      <c r="O45" s="649"/>
    </row>
    <row r="46" spans="1:15" s="427" customFormat="1" ht="15.75" x14ac:dyDescent="0.25">
      <c r="A46" s="447"/>
      <c r="B46" s="598" t="s">
        <v>790</v>
      </c>
      <c r="C46" s="518"/>
      <c r="D46" s="518"/>
      <c r="E46" s="872">
        <v>5.0000000000000001E-3</v>
      </c>
      <c r="F46" s="518"/>
      <c r="G46" s="518"/>
      <c r="H46" s="518"/>
      <c r="I46" s="518"/>
      <c r="L46" s="637"/>
      <c r="M46" s="648"/>
      <c r="N46" s="648"/>
      <c r="O46" s="649"/>
    </row>
    <row r="47" spans="1:15" s="427" customFormat="1" ht="15.75" x14ac:dyDescent="0.25">
      <c r="A47" s="447"/>
      <c r="B47" s="518"/>
      <c r="C47" s="518"/>
      <c r="D47" s="518"/>
      <c r="E47" s="518"/>
      <c r="F47" s="518"/>
      <c r="G47" s="518"/>
      <c r="H47" s="518"/>
      <c r="I47" s="518"/>
      <c r="L47" s="637"/>
      <c r="M47" s="648"/>
      <c r="N47" s="648"/>
      <c r="O47" s="649"/>
    </row>
    <row r="48" spans="1:15" ht="15.75" x14ac:dyDescent="0.25">
      <c r="A48" s="1072" t="s">
        <v>704</v>
      </c>
      <c r="B48" s="1072"/>
      <c r="C48" s="1072"/>
      <c r="D48" s="1072"/>
      <c r="E48" s="1072"/>
      <c r="F48" s="1072"/>
      <c r="G48" s="1072"/>
      <c r="H48" s="518"/>
      <c r="I48" s="518"/>
      <c r="L48" s="637"/>
      <c r="M48" s="648"/>
      <c r="N48" s="648"/>
      <c r="O48" s="649"/>
    </row>
    <row r="49" spans="1:15" ht="15.75" x14ac:dyDescent="0.25">
      <c r="A49" s="447"/>
      <c r="B49" s="520" t="s">
        <v>518</v>
      </c>
      <c r="C49" s="518"/>
      <c r="D49" s="518"/>
      <c r="E49" s="775">
        <v>2016</v>
      </c>
      <c r="F49" s="518"/>
      <c r="G49" s="518"/>
      <c r="H49" s="518"/>
      <c r="I49" s="518"/>
      <c r="L49" s="637"/>
      <c r="M49" s="648"/>
      <c r="N49" s="648"/>
      <c r="O49" s="649"/>
    </row>
    <row r="50" spans="1:15" s="427" customFormat="1" ht="15.75" x14ac:dyDescent="0.25">
      <c r="A50" s="447"/>
      <c r="B50" s="522" t="s">
        <v>705</v>
      </c>
      <c r="C50" s="518"/>
      <c r="D50" s="518"/>
      <c r="E50" s="775"/>
      <c r="F50" s="518"/>
      <c r="G50" s="518"/>
      <c r="H50" s="518"/>
      <c r="I50" s="518"/>
      <c r="L50" s="637"/>
      <c r="M50" s="648"/>
      <c r="N50" s="648"/>
      <c r="O50" s="649"/>
    </row>
    <row r="51" spans="1:15" s="427" customFormat="1" ht="15.75" x14ac:dyDescent="0.25">
      <c r="A51" s="447"/>
      <c r="B51" s="522" t="s">
        <v>706</v>
      </c>
      <c r="C51" s="518"/>
      <c r="D51" s="518"/>
      <c r="E51" s="775"/>
      <c r="F51" s="518"/>
      <c r="G51" s="518"/>
      <c r="H51" s="518"/>
      <c r="I51" s="518"/>
      <c r="L51" s="637"/>
      <c r="M51" s="648"/>
      <c r="N51" s="648"/>
      <c r="O51" s="649"/>
    </row>
    <row r="52" spans="1:15" s="427" customFormat="1" ht="15.75" x14ac:dyDescent="0.25">
      <c r="A52" s="447"/>
      <c r="B52" s="524" t="s">
        <v>732</v>
      </c>
      <c r="C52" s="518"/>
      <c r="D52" s="518"/>
      <c r="E52" s="778">
        <v>175000</v>
      </c>
      <c r="F52" s="518"/>
      <c r="G52" s="518"/>
      <c r="H52" s="518"/>
      <c r="I52" s="518"/>
      <c r="L52" s="637"/>
      <c r="M52" s="648"/>
      <c r="N52" s="648"/>
      <c r="O52" s="649"/>
    </row>
    <row r="53" spans="1:15" s="427" customFormat="1" ht="15.75" x14ac:dyDescent="0.25">
      <c r="A53" s="447"/>
      <c r="B53" s="520"/>
      <c r="C53" s="518"/>
      <c r="D53" s="518"/>
      <c r="E53" s="518"/>
      <c r="F53" s="518"/>
      <c r="G53" s="518"/>
      <c r="H53" s="518"/>
      <c r="I53" s="518"/>
      <c r="L53" s="637"/>
      <c r="M53" s="648"/>
      <c r="N53" s="648"/>
      <c r="O53" s="649"/>
    </row>
    <row r="54" spans="1:15" ht="15.75" x14ac:dyDescent="0.25">
      <c r="A54" s="447"/>
      <c r="B54" s="600" t="s">
        <v>853</v>
      </c>
      <c r="D54" s="1068" t="s">
        <v>592</v>
      </c>
      <c r="E54" s="1068"/>
      <c r="F54" s="1068"/>
      <c r="G54" s="468"/>
      <c r="H54" s="468"/>
      <c r="I54" s="1068" t="s">
        <v>680</v>
      </c>
      <c r="J54" s="1068"/>
      <c r="K54" s="1068"/>
      <c r="L54" s="637"/>
      <c r="M54" s="648"/>
      <c r="N54" s="648"/>
      <c r="O54" s="649"/>
    </row>
    <row r="55" spans="1:15" s="427" customFormat="1" ht="15.75" x14ac:dyDescent="0.25">
      <c r="A55" s="447"/>
      <c r="B55" s="520"/>
      <c r="D55" s="453" t="s">
        <v>591</v>
      </c>
      <c r="E55" s="453" t="s">
        <v>252</v>
      </c>
      <c r="F55" s="462" t="s">
        <v>681</v>
      </c>
      <c r="G55" s="453"/>
      <c r="H55" s="453"/>
      <c r="I55" s="453" t="s">
        <v>591</v>
      </c>
      <c r="J55" s="453" t="s">
        <v>252</v>
      </c>
      <c r="K55" s="462" t="s">
        <v>681</v>
      </c>
      <c r="L55" s="637"/>
      <c r="M55" s="648"/>
      <c r="N55" s="648"/>
      <c r="O55" s="649"/>
    </row>
    <row r="56" spans="1:15" s="427" customFormat="1" ht="15.75" x14ac:dyDescent="0.25">
      <c r="A56" s="447"/>
      <c r="B56" s="520"/>
      <c r="C56" s="468">
        <v>2016</v>
      </c>
      <c r="D56" s="566"/>
      <c r="E56" s="566"/>
      <c r="F56" s="705"/>
      <c r="G56" s="518"/>
      <c r="H56" s="468">
        <v>2016</v>
      </c>
      <c r="I56" s="567"/>
      <c r="J56" s="567"/>
      <c r="K56" s="636"/>
      <c r="L56" s="637"/>
      <c r="M56" s="648"/>
      <c r="N56" s="648"/>
      <c r="O56" s="649"/>
    </row>
    <row r="57" spans="1:15" s="427" customFormat="1" ht="15.75" x14ac:dyDescent="0.25">
      <c r="A57" s="447"/>
      <c r="B57" s="520"/>
      <c r="C57" s="468">
        <v>2017</v>
      </c>
      <c r="D57" s="566"/>
      <c r="E57" s="566"/>
      <c r="F57" s="779"/>
      <c r="G57" s="518"/>
      <c r="H57" s="468">
        <v>2017</v>
      </c>
      <c r="I57" s="567"/>
      <c r="J57" s="567"/>
      <c r="K57" s="636"/>
      <c r="L57" s="637"/>
      <c r="M57" s="648"/>
      <c r="N57" s="648"/>
      <c r="O57" s="649"/>
    </row>
    <row r="58" spans="1:15" s="427" customFormat="1" ht="15.75" x14ac:dyDescent="0.25">
      <c r="A58" s="447"/>
      <c r="B58" s="520"/>
      <c r="C58" s="468">
        <v>2018</v>
      </c>
      <c r="D58" s="566"/>
      <c r="E58" s="566"/>
      <c r="F58" s="705"/>
      <c r="G58" s="518"/>
      <c r="H58" s="468">
        <v>2018</v>
      </c>
      <c r="I58" s="567"/>
      <c r="J58" s="567"/>
      <c r="K58" s="636"/>
      <c r="L58" s="637"/>
      <c r="M58" s="648"/>
      <c r="N58" s="648"/>
      <c r="O58" s="649"/>
    </row>
    <row r="59" spans="1:15" s="427" customFormat="1" ht="15.75" x14ac:dyDescent="0.25">
      <c r="A59" s="447"/>
      <c r="B59" s="520"/>
      <c r="C59" s="582" t="s">
        <v>702</v>
      </c>
      <c r="D59" s="597">
        <f>+D57+D58</f>
        <v>0</v>
      </c>
      <c r="E59" s="597">
        <f>+E57+E58</f>
        <v>0</v>
      </c>
      <c r="F59" s="597">
        <f>+F57+F58</f>
        <v>0</v>
      </c>
      <c r="G59" s="523"/>
      <c r="H59" s="506"/>
      <c r="I59" s="598"/>
      <c r="J59" s="598"/>
      <c r="K59" s="598"/>
      <c r="L59" s="637"/>
      <c r="M59" s="648"/>
      <c r="N59" s="648"/>
      <c r="O59" s="649"/>
    </row>
    <row r="60" spans="1:15" s="427" customFormat="1" ht="15.75" x14ac:dyDescent="0.25">
      <c r="A60" s="447"/>
      <c r="B60" s="520"/>
      <c r="D60" s="518"/>
      <c r="E60" s="134"/>
      <c r="F60" s="134"/>
      <c r="G60" s="518"/>
      <c r="H60" s="518"/>
      <c r="I60" s="518"/>
      <c r="J60" s="518"/>
      <c r="L60" s="637"/>
      <c r="M60" s="648"/>
      <c r="N60" s="648"/>
      <c r="O60" s="649"/>
    </row>
    <row r="61" spans="1:15" s="427" customFormat="1" ht="15.75" x14ac:dyDescent="0.25">
      <c r="A61" s="447"/>
      <c r="B61" s="600" t="s">
        <v>708</v>
      </c>
      <c r="D61" s="462" t="s">
        <v>687</v>
      </c>
      <c r="E61" s="495" t="s">
        <v>688</v>
      </c>
      <c r="L61" s="650"/>
      <c r="M61" s="648"/>
      <c r="N61" s="648"/>
      <c r="O61" s="649"/>
    </row>
    <row r="62" spans="1:15" s="427" customFormat="1" ht="15.75" x14ac:dyDescent="0.25">
      <c r="A62" s="447"/>
      <c r="C62" s="582" t="s">
        <v>685</v>
      </c>
      <c r="D62" s="566"/>
      <c r="E62" s="779">
        <v>200000</v>
      </c>
      <c r="L62" s="650"/>
      <c r="M62" s="648"/>
      <c r="N62" s="648"/>
      <c r="O62" s="649"/>
    </row>
    <row r="63" spans="1:15" s="427" customFormat="1" ht="15.75" x14ac:dyDescent="0.25">
      <c r="A63" s="447"/>
      <c r="C63" s="582" t="s">
        <v>689</v>
      </c>
      <c r="D63" s="566"/>
      <c r="E63" s="705"/>
      <c r="L63" s="650"/>
      <c r="M63" s="648"/>
      <c r="N63" s="648"/>
      <c r="O63" s="649"/>
    </row>
    <row r="64" spans="1:15" s="427" customFormat="1" ht="15.75" x14ac:dyDescent="0.25">
      <c r="A64" s="447"/>
      <c r="C64" s="582" t="s">
        <v>686</v>
      </c>
      <c r="D64" s="566"/>
      <c r="E64" s="566"/>
      <c r="L64" s="650"/>
      <c r="M64" s="648"/>
      <c r="N64" s="648"/>
      <c r="O64" s="649"/>
    </row>
    <row r="65" spans="1:15" s="427" customFormat="1" ht="15.75" x14ac:dyDescent="0.25">
      <c r="A65" s="447"/>
      <c r="C65" s="599" t="s">
        <v>703</v>
      </c>
      <c r="D65" s="566"/>
      <c r="E65" s="566"/>
      <c r="L65" s="650"/>
      <c r="M65" s="648"/>
      <c r="N65" s="648"/>
      <c r="O65" s="649"/>
    </row>
    <row r="66" spans="1:15" s="427" customFormat="1" ht="15.75" x14ac:dyDescent="0.25">
      <c r="A66" s="447"/>
      <c r="C66" s="599" t="s">
        <v>707</v>
      </c>
      <c r="D66" s="409"/>
      <c r="E66" s="409">
        <f>SUM(E62:E65)</f>
        <v>200000</v>
      </c>
      <c r="L66" s="650"/>
      <c r="M66" s="648"/>
      <c r="N66" s="648"/>
      <c r="O66" s="649"/>
    </row>
    <row r="67" spans="1:15" s="427" customFormat="1" ht="15.75" x14ac:dyDescent="0.25">
      <c r="A67" s="447"/>
      <c r="L67" s="650"/>
      <c r="M67" s="648"/>
      <c r="N67" s="648"/>
      <c r="O67" s="649"/>
    </row>
    <row r="68" spans="1:15" ht="15.75" x14ac:dyDescent="0.25">
      <c r="A68" s="447"/>
      <c r="B68" s="520"/>
      <c r="C68" s="427"/>
      <c r="D68" s="518"/>
      <c r="E68" s="587" t="s">
        <v>693</v>
      </c>
      <c r="G68" s="518"/>
      <c r="H68" s="518"/>
      <c r="I68" s="518"/>
      <c r="J68" s="518"/>
      <c r="K68" s="427"/>
      <c r="L68" s="637"/>
      <c r="M68" s="648"/>
      <c r="N68" s="648"/>
      <c r="O68" s="649"/>
    </row>
    <row r="69" spans="1:15" s="427" customFormat="1" ht="15.75" x14ac:dyDescent="0.25">
      <c r="A69" s="447"/>
      <c r="B69" s="524" t="s">
        <v>700</v>
      </c>
      <c r="D69" s="518"/>
      <c r="E69" s="534">
        <f>+F59/E36</f>
        <v>0</v>
      </c>
      <c r="F69" s="596" t="str">
        <f>IF(E69&gt;0.0999,"Y","N")</f>
        <v>N</v>
      </c>
      <c r="G69" s="518"/>
      <c r="I69" s="518"/>
      <c r="L69" s="637" t="str">
        <f>IF(F69="N","Stabilized","Recent Material PIP - Proceed to Full Model")</f>
        <v>Stabilized</v>
      </c>
      <c r="M69" s="648"/>
      <c r="N69" s="648"/>
      <c r="O69" s="649"/>
    </row>
    <row r="70" spans="1:15" s="427" customFormat="1" ht="15.75" x14ac:dyDescent="0.25">
      <c r="A70" s="447"/>
      <c r="B70" s="524" t="s">
        <v>701</v>
      </c>
      <c r="C70"/>
      <c r="D70"/>
      <c r="E70" s="595">
        <f>+E66/E36</f>
        <v>1.1111111111111112E-2</v>
      </c>
      <c r="F70" s="596" t="str">
        <f>IF(E70&gt;0.0999,"Y","N")</f>
        <v>N</v>
      </c>
      <c r="G70" s="518"/>
      <c r="I70" s="518"/>
      <c r="J70" s="518"/>
      <c r="K70"/>
      <c r="L70" s="637" t="str">
        <f>IF(F70="N","Stabilized","Material PIP Required - Proceed to Full Model")</f>
        <v>Stabilized</v>
      </c>
      <c r="M70" s="648"/>
      <c r="N70" s="648"/>
      <c r="O70" s="649"/>
    </row>
    <row r="71" spans="1:15" s="427" customFormat="1" ht="15.75" x14ac:dyDescent="0.25">
      <c r="A71" s="447"/>
      <c r="B71" s="4" t="s">
        <v>615</v>
      </c>
      <c r="C71"/>
      <c r="D71" s="518"/>
      <c r="E71" s="705"/>
      <c r="F71" s="525"/>
      <c r="G71" s="518"/>
      <c r="H71" s="518"/>
      <c r="I71" s="518"/>
      <c r="J71" s="518"/>
      <c r="L71" s="637"/>
      <c r="M71" s="648"/>
      <c r="N71" s="648"/>
      <c r="O71" s="649"/>
    </row>
    <row r="72" spans="1:15" s="427" customFormat="1" ht="15.75" x14ac:dyDescent="0.25">
      <c r="A72" s="447"/>
      <c r="B72" s="4" t="s">
        <v>690</v>
      </c>
      <c r="F72" s="525"/>
      <c r="G72" s="518"/>
      <c r="H72" s="518"/>
      <c r="I72" s="518"/>
      <c r="J72" s="518"/>
      <c r="L72" s="637"/>
      <c r="M72" s="648"/>
      <c r="N72" s="648"/>
      <c r="O72" s="649"/>
    </row>
    <row r="73" spans="1:15" ht="15.75" x14ac:dyDescent="0.25">
      <c r="A73" s="447"/>
      <c r="B73" s="519"/>
      <c r="C73" s="518"/>
      <c r="D73" s="518"/>
      <c r="E73" s="530"/>
      <c r="F73" s="530"/>
      <c r="G73" s="518"/>
      <c r="H73" s="518"/>
      <c r="I73" s="518"/>
      <c r="L73" s="637"/>
      <c r="M73" s="648"/>
      <c r="N73" s="648"/>
      <c r="O73" s="649"/>
    </row>
    <row r="74" spans="1:15" s="427" customFormat="1" ht="15.75" x14ac:dyDescent="0.25">
      <c r="A74" s="447"/>
      <c r="F74" s="526"/>
      <c r="G74" s="518"/>
      <c r="H74" s="518"/>
      <c r="I74" s="518"/>
      <c r="L74" s="637"/>
      <c r="M74" s="648"/>
      <c r="N74" s="648"/>
      <c r="O74" s="649"/>
    </row>
    <row r="75" spans="1:15" s="427" customFormat="1" ht="15.75" x14ac:dyDescent="0.25">
      <c r="A75" s="447"/>
      <c r="B75" s="519"/>
      <c r="C75" s="518"/>
      <c r="D75" s="518"/>
      <c r="E75" s="526"/>
      <c r="F75" s="526"/>
      <c r="G75" s="518"/>
      <c r="H75" s="518"/>
      <c r="I75" s="518"/>
      <c r="L75" s="637"/>
      <c r="M75" s="648"/>
      <c r="N75" s="648"/>
      <c r="O75" s="649"/>
    </row>
    <row r="76" spans="1:15" s="427" customFormat="1" ht="15.75" x14ac:dyDescent="0.25">
      <c r="A76" s="1072" t="s">
        <v>628</v>
      </c>
      <c r="B76" s="1072"/>
      <c r="C76" s="1072"/>
      <c r="D76" s="1072"/>
      <c r="E76" s="1072"/>
      <c r="F76" s="1072"/>
      <c r="G76" s="1072"/>
      <c r="H76" s="518"/>
      <c r="I76" s="518"/>
      <c r="L76" s="637"/>
      <c r="M76" s="648"/>
      <c r="N76" s="648"/>
      <c r="O76" s="649"/>
    </row>
    <row r="77" spans="1:15" s="427" customFormat="1" ht="15.75" x14ac:dyDescent="0.25">
      <c r="A77" s="447"/>
      <c r="B77" s="519"/>
      <c r="C77" s="518"/>
      <c r="D77" s="518"/>
      <c r="E77" s="1068" t="s">
        <v>630</v>
      </c>
      <c r="F77" s="1068"/>
      <c r="G77" s="518"/>
      <c r="H77" s="518"/>
      <c r="I77" s="518"/>
      <c r="L77" s="651" t="s">
        <v>95</v>
      </c>
      <c r="M77" s="648"/>
      <c r="N77" s="648"/>
      <c r="O77" s="652" t="s">
        <v>409</v>
      </c>
    </row>
    <row r="78" spans="1:15" s="427" customFormat="1" ht="15.75" x14ac:dyDescent="0.25">
      <c r="A78" s="447"/>
      <c r="B78" s="519"/>
      <c r="C78" s="518"/>
      <c r="D78" s="518"/>
      <c r="E78" s="453" t="s">
        <v>95</v>
      </c>
      <c r="F78" s="453" t="s">
        <v>409</v>
      </c>
      <c r="G78" s="518"/>
      <c r="H78" s="523"/>
      <c r="I78" s="495"/>
      <c r="J78" s="495"/>
      <c r="K78" s="165"/>
      <c r="L78" s="637"/>
      <c r="M78" s="648"/>
      <c r="N78" s="648"/>
      <c r="O78" s="653"/>
    </row>
    <row r="79" spans="1:15" s="427" customFormat="1" ht="15.75" x14ac:dyDescent="0.25">
      <c r="A79" s="447"/>
      <c r="B79" s="519"/>
      <c r="C79" s="518"/>
      <c r="D79" s="530" t="s">
        <v>399</v>
      </c>
      <c r="E79" s="780">
        <v>6.9000000000000006E-2</v>
      </c>
      <c r="F79" s="780">
        <v>0.02</v>
      </c>
      <c r="G79" s="518"/>
      <c r="H79" s="523"/>
      <c r="I79" s="532"/>
      <c r="J79" s="532"/>
      <c r="K79" s="165"/>
      <c r="L79" s="637" t="str">
        <f>IF(E79&gt;-0.015,"Comp Set Stable","Comp Set Declining")</f>
        <v>Comp Set Stable</v>
      </c>
      <c r="M79" s="648"/>
      <c r="N79" s="648"/>
      <c r="O79" s="653" t="str">
        <f>IF(F79&gt;-0.015,"Tract Stable","Warning - Tract in Decline")</f>
        <v>Tract Stable</v>
      </c>
    </row>
    <row r="80" spans="1:15" s="427" customFormat="1" ht="15.75" x14ac:dyDescent="0.25">
      <c r="A80" s="447"/>
      <c r="B80" s="519"/>
      <c r="C80" s="518"/>
      <c r="D80" s="530" t="s">
        <v>450</v>
      </c>
      <c r="E80" s="780">
        <v>6.5000000000000002E-2</v>
      </c>
      <c r="F80" s="780">
        <v>2.3E-2</v>
      </c>
      <c r="G80" s="518"/>
      <c r="H80" s="523"/>
      <c r="I80" s="532"/>
      <c r="J80" s="532"/>
      <c r="K80" s="165"/>
      <c r="L80" s="637" t="str">
        <f>IF(E80&gt;-0.015,"Comp Set Stable","Comp Set Declining")</f>
        <v>Comp Set Stable</v>
      </c>
      <c r="M80" s="648"/>
      <c r="N80" s="648"/>
      <c r="O80" s="653" t="str">
        <f>IF(F80&gt;-0.015,"Tract Stable","Warning - Tract in Decline")</f>
        <v>Tract Stable</v>
      </c>
    </row>
    <row r="81" spans="1:15" s="427" customFormat="1" ht="15.75" x14ac:dyDescent="0.25">
      <c r="A81" s="447"/>
      <c r="B81" s="519"/>
      <c r="C81" s="518"/>
      <c r="D81" s="530" t="s">
        <v>629</v>
      </c>
      <c r="E81" s="780">
        <v>1.4E-2</v>
      </c>
      <c r="F81" s="780">
        <v>5.5E-2</v>
      </c>
      <c r="G81" s="518"/>
      <c r="H81" s="523"/>
      <c r="I81" s="532"/>
      <c r="J81" s="532"/>
      <c r="K81" s="165"/>
      <c r="L81" s="637" t="str">
        <f>IF(E81&gt;-0.015,"Comp Set Stable","Comp Set Declining")</f>
        <v>Comp Set Stable</v>
      </c>
      <c r="M81" s="648"/>
      <c r="N81" s="648"/>
      <c r="O81" s="653" t="str">
        <f>IF(F81&gt;-0.015,"Tract Stable","Tract in Decline")</f>
        <v>Tract Stable</v>
      </c>
    </row>
    <row r="82" spans="1:15" s="427" customFormat="1" ht="15.75" x14ac:dyDescent="0.25">
      <c r="A82" s="447"/>
      <c r="B82" s="519"/>
      <c r="C82" s="518"/>
      <c r="D82" s="530" t="s">
        <v>682</v>
      </c>
      <c r="E82" s="780">
        <v>2.1999999999999999E-2</v>
      </c>
      <c r="F82" s="780">
        <v>0.121</v>
      </c>
      <c r="G82" s="518"/>
      <c r="H82" s="523"/>
      <c r="I82" s="523"/>
      <c r="J82" s="165"/>
      <c r="K82" s="165"/>
      <c r="L82" s="637" t="str">
        <f>IF(E82&gt;-0.015,"Comp Set Stable","Comp Set Declining")</f>
        <v>Comp Set Stable</v>
      </c>
      <c r="M82" s="648"/>
      <c r="N82" s="648"/>
      <c r="O82" s="653" t="str">
        <f>IF(F82&gt;-0.015,"Tract Stable","Tract in Decline")</f>
        <v>Tract Stable</v>
      </c>
    </row>
    <row r="83" spans="1:15" ht="16.5" thickBot="1" x14ac:dyDescent="0.3">
      <c r="A83" s="1072" t="s">
        <v>863</v>
      </c>
      <c r="B83" s="1072"/>
      <c r="C83" s="1072"/>
      <c r="D83" s="1072"/>
      <c r="E83" s="1072"/>
      <c r="F83" s="1072"/>
      <c r="G83" s="1072"/>
      <c r="H83" s="518"/>
      <c r="I83" s="518"/>
      <c r="L83" s="654"/>
      <c r="M83" s="655"/>
      <c r="N83" s="655"/>
      <c r="O83" s="656"/>
    </row>
    <row r="84" spans="1:15" ht="15.75" x14ac:dyDescent="0.25">
      <c r="A84" s="447"/>
      <c r="B84" s="519" t="s">
        <v>594</v>
      </c>
      <c r="C84" s="518"/>
      <c r="D84" s="518"/>
      <c r="E84" s="1073" t="s">
        <v>520</v>
      </c>
      <c r="F84" s="1074"/>
      <c r="G84" s="518"/>
      <c r="H84" s="518"/>
      <c r="I84" s="518"/>
      <c r="O84" s="462"/>
    </row>
    <row r="85" spans="1:15" ht="15.75" x14ac:dyDescent="0.25">
      <c r="A85" s="447"/>
      <c r="B85" s="519" t="s">
        <v>520</v>
      </c>
      <c r="C85" s="518"/>
      <c r="D85" s="518"/>
      <c r="E85" s="1073" t="s">
        <v>1085</v>
      </c>
      <c r="F85" s="1074"/>
      <c r="G85" s="518"/>
      <c r="H85" s="518"/>
      <c r="I85" s="518"/>
      <c r="O85" s="462"/>
    </row>
    <row r="86" spans="1:15" ht="15.75" x14ac:dyDescent="0.25">
      <c r="A86" s="12"/>
      <c r="B86" s="520" t="s">
        <v>593</v>
      </c>
      <c r="C86" s="518"/>
      <c r="D86" s="518"/>
      <c r="E86" s="1073" t="s">
        <v>1086</v>
      </c>
      <c r="F86" s="1074"/>
      <c r="G86" s="518"/>
      <c r="H86" s="518"/>
      <c r="I86" s="518"/>
      <c r="O86" s="462"/>
    </row>
    <row r="87" spans="1:15" ht="15.75" x14ac:dyDescent="0.25">
      <c r="A87" s="12"/>
      <c r="B87" s="520" t="s">
        <v>595</v>
      </c>
      <c r="C87" s="518"/>
      <c r="D87" s="518"/>
      <c r="E87" s="565"/>
      <c r="F87" s="526"/>
      <c r="G87" s="518"/>
      <c r="H87" s="518"/>
      <c r="I87" s="518"/>
      <c r="O87" s="462"/>
    </row>
    <row r="88" spans="1:15" ht="15.75" x14ac:dyDescent="0.25">
      <c r="A88" s="12"/>
      <c r="B88" s="520" t="s">
        <v>596</v>
      </c>
      <c r="C88" s="518"/>
      <c r="D88" s="518"/>
      <c r="E88" s="665"/>
      <c r="F88" s="526"/>
      <c r="G88" s="518"/>
      <c r="H88" s="518"/>
      <c r="I88" s="518"/>
      <c r="O88" s="462"/>
    </row>
    <row r="89" spans="1:15" ht="15.75" x14ac:dyDescent="0.25">
      <c r="A89" s="12"/>
      <c r="B89" s="518"/>
      <c r="C89" s="518"/>
      <c r="D89" s="518"/>
      <c r="E89" s="526"/>
      <c r="F89" s="526"/>
      <c r="G89" s="518"/>
      <c r="H89" s="518"/>
      <c r="I89" s="518"/>
    </row>
    <row r="90" spans="1:15" ht="15.75" x14ac:dyDescent="0.25">
      <c r="A90" s="12"/>
      <c r="B90" s="518"/>
      <c r="C90" s="518"/>
      <c r="D90" s="518"/>
      <c r="E90" s="518"/>
      <c r="F90" s="518"/>
      <c r="G90" s="518"/>
      <c r="H90" s="518"/>
      <c r="I90" s="518"/>
    </row>
    <row r="91" spans="1:15" ht="15.75" x14ac:dyDescent="0.25">
      <c r="A91" s="1072" t="s">
        <v>620</v>
      </c>
      <c r="B91" s="1072"/>
      <c r="C91" s="1072"/>
      <c r="D91" s="1072"/>
      <c r="E91" s="1072"/>
      <c r="F91" s="1072"/>
      <c r="G91" s="1072"/>
      <c r="H91" s="518"/>
      <c r="I91" s="518"/>
    </row>
    <row r="92" spans="1:15" ht="15.75" x14ac:dyDescent="0.25">
      <c r="A92" s="12"/>
      <c r="B92" s="518" t="s">
        <v>608</v>
      </c>
      <c r="C92" s="518"/>
      <c r="D92" s="781"/>
      <c r="E92" s="1062"/>
      <c r="F92" s="1063"/>
      <c r="G92" s="1063"/>
      <c r="H92" s="518"/>
      <c r="I92" s="518"/>
    </row>
    <row r="93" spans="1:15" ht="15.75" x14ac:dyDescent="0.25">
      <c r="A93" s="12"/>
      <c r="B93" s="519" t="s">
        <v>519</v>
      </c>
      <c r="C93" s="518"/>
      <c r="D93" s="781"/>
      <c r="E93" s="1062"/>
      <c r="F93" s="1063"/>
      <c r="G93" s="1063"/>
      <c r="H93" s="518"/>
      <c r="I93" s="518"/>
    </row>
    <row r="94" spans="1:15" s="427" customFormat="1" ht="15.75" x14ac:dyDescent="0.25">
      <c r="A94" s="12"/>
      <c r="B94" s="519"/>
      <c r="C94" s="518"/>
      <c r="D94" s="468" t="s">
        <v>515</v>
      </c>
      <c r="E94" s="468" t="s">
        <v>619</v>
      </c>
      <c r="F94" s="518"/>
      <c r="G94" s="518"/>
      <c r="H94" s="518"/>
      <c r="I94" s="518"/>
      <c r="L94" s="462"/>
      <c r="O94" s="466"/>
    </row>
    <row r="95" spans="1:15" s="427" customFormat="1" ht="15.75" x14ac:dyDescent="0.25">
      <c r="A95" s="12"/>
      <c r="B95" s="4" t="s">
        <v>645</v>
      </c>
      <c r="C95" s="518"/>
      <c r="D95" s="782"/>
      <c r="E95" s="783"/>
      <c r="F95" s="518"/>
      <c r="G95" s="518"/>
      <c r="H95" s="518"/>
      <c r="I95" s="518"/>
      <c r="L95" s="462"/>
      <c r="O95" s="466"/>
    </row>
    <row r="96" spans="1:15" s="427" customFormat="1" x14ac:dyDescent="0.25">
      <c r="A96" s="468"/>
      <c r="B96" s="519"/>
      <c r="C96" s="518"/>
      <c r="D96" s="468" t="s">
        <v>515</v>
      </c>
      <c r="E96" s="468" t="s">
        <v>619</v>
      </c>
      <c r="F96" s="518"/>
      <c r="G96" s="518"/>
      <c r="H96" s="518"/>
      <c r="I96" s="518"/>
      <c r="L96" s="462"/>
      <c r="O96" s="466"/>
    </row>
    <row r="97" spans="1:15" x14ac:dyDescent="0.25">
      <c r="B97" s="518" t="s">
        <v>597</v>
      </c>
      <c r="C97" s="518"/>
      <c r="D97" s="782"/>
      <c r="E97" s="783"/>
      <c r="F97" s="518"/>
      <c r="G97" s="518"/>
      <c r="H97" s="518"/>
      <c r="I97" s="518"/>
    </row>
    <row r="98" spans="1:15" x14ac:dyDescent="0.25">
      <c r="B98" s="518" t="s">
        <v>598</v>
      </c>
      <c r="C98" s="518"/>
      <c r="D98" s="782"/>
      <c r="E98" s="783"/>
      <c r="F98" s="518"/>
      <c r="G98" s="518"/>
      <c r="H98" s="518"/>
      <c r="I98" s="518"/>
    </row>
    <row r="99" spans="1:15" x14ac:dyDescent="0.25">
      <c r="B99" s="518" t="s">
        <v>599</v>
      </c>
      <c r="C99" s="518"/>
      <c r="D99" s="783"/>
      <c r="E99" s="783"/>
      <c r="F99" s="518"/>
      <c r="G99" s="518"/>
      <c r="H99" s="518"/>
      <c r="I99" s="518"/>
    </row>
    <row r="100" spans="1:15" s="427" customFormat="1" x14ac:dyDescent="0.25">
      <c r="A100" s="468"/>
      <c r="B100" s="518"/>
      <c r="C100" s="518"/>
      <c r="D100" s="468" t="s">
        <v>515</v>
      </c>
      <c r="E100" s="468" t="s">
        <v>619</v>
      </c>
      <c r="F100" s="468" t="s">
        <v>609</v>
      </c>
      <c r="G100" s="518"/>
      <c r="H100" s="518"/>
      <c r="I100" s="518"/>
      <c r="L100" s="462"/>
      <c r="O100" s="466"/>
    </row>
    <row r="101" spans="1:15" x14ac:dyDescent="0.25">
      <c r="B101" s="518" t="s">
        <v>600</v>
      </c>
      <c r="C101" s="518"/>
      <c r="D101" s="782"/>
      <c r="E101" s="783"/>
      <c r="F101" s="781"/>
      <c r="G101" s="518"/>
      <c r="H101" s="518"/>
      <c r="I101" s="518"/>
    </row>
    <row r="102" spans="1:15" x14ac:dyDescent="0.25">
      <c r="B102" s="518" t="s">
        <v>601</v>
      </c>
      <c r="C102" s="518"/>
      <c r="D102" s="782"/>
      <c r="E102" s="783"/>
      <c r="F102" s="781"/>
      <c r="G102" s="518"/>
      <c r="H102" s="518"/>
      <c r="I102" s="518"/>
    </row>
    <row r="103" spans="1:15" s="427" customFormat="1" x14ac:dyDescent="0.25">
      <c r="A103" s="468"/>
      <c r="B103" s="518"/>
      <c r="C103" s="518"/>
      <c r="D103" s="468" t="s">
        <v>515</v>
      </c>
      <c r="E103" s="468" t="s">
        <v>619</v>
      </c>
      <c r="F103" s="468" t="s">
        <v>610</v>
      </c>
      <c r="G103" s="518"/>
      <c r="H103" s="518"/>
      <c r="I103" s="518"/>
      <c r="L103" s="462"/>
      <c r="O103" s="466"/>
    </row>
    <row r="104" spans="1:15" x14ac:dyDescent="0.25">
      <c r="B104" s="518" t="s">
        <v>604</v>
      </c>
      <c r="C104" s="518"/>
      <c r="D104" s="782"/>
      <c r="E104" s="783"/>
      <c r="F104" s="783"/>
      <c r="G104" s="518"/>
      <c r="H104" s="518"/>
      <c r="I104" s="518"/>
    </row>
    <row r="105" spans="1:15" x14ac:dyDescent="0.25">
      <c r="B105" s="518" t="s">
        <v>606</v>
      </c>
      <c r="C105" s="518"/>
      <c r="D105" s="783"/>
      <c r="E105" s="783"/>
      <c r="F105" s="783"/>
      <c r="G105" s="518"/>
      <c r="H105" s="518"/>
      <c r="I105" s="518"/>
    </row>
    <row r="106" spans="1:15" s="427" customFormat="1" x14ac:dyDescent="0.25">
      <c r="A106" s="468"/>
      <c r="B106" s="518" t="s">
        <v>607</v>
      </c>
      <c r="C106" s="518"/>
      <c r="D106" s="783"/>
      <c r="E106" s="783"/>
      <c r="F106" s="783"/>
      <c r="G106" s="518"/>
      <c r="H106" s="518"/>
      <c r="I106" s="518"/>
      <c r="L106" s="462"/>
      <c r="O106" s="466"/>
    </row>
    <row r="107" spans="1:15" s="427" customFormat="1" x14ac:dyDescent="0.25">
      <c r="A107" s="468"/>
      <c r="B107" s="518"/>
      <c r="C107" s="518"/>
      <c r="D107" s="468" t="s">
        <v>515</v>
      </c>
      <c r="E107" s="468" t="s">
        <v>619</v>
      </c>
      <c r="F107" s="468" t="s">
        <v>611</v>
      </c>
      <c r="G107" s="518"/>
      <c r="H107" s="518"/>
      <c r="I107" s="518"/>
      <c r="L107" s="462"/>
      <c r="O107" s="466"/>
    </row>
    <row r="108" spans="1:15" x14ac:dyDescent="0.25">
      <c r="B108" s="518" t="s">
        <v>602</v>
      </c>
      <c r="C108" s="518"/>
      <c r="D108" s="782"/>
      <c r="E108" s="783"/>
      <c r="F108" s="781"/>
      <c r="G108" s="518"/>
      <c r="H108" s="518"/>
      <c r="I108" s="518"/>
    </row>
    <row r="109" spans="1:15" x14ac:dyDescent="0.25">
      <c r="B109" s="518" t="s">
        <v>603</v>
      </c>
      <c r="C109" s="518"/>
      <c r="D109" s="782"/>
      <c r="E109" s="783"/>
      <c r="F109" s="781"/>
      <c r="G109" s="518"/>
      <c r="H109" s="518"/>
      <c r="I109" s="518"/>
    </row>
    <row r="110" spans="1:15" s="427" customFormat="1" x14ac:dyDescent="0.25">
      <c r="A110" s="468"/>
      <c r="B110" s="518" t="s">
        <v>605</v>
      </c>
      <c r="C110" s="518"/>
      <c r="D110" s="782"/>
      <c r="E110" s="783"/>
      <c r="F110" s="781"/>
      <c r="G110" s="518"/>
      <c r="H110" s="518"/>
      <c r="I110" s="518"/>
      <c r="L110" s="462"/>
      <c r="O110" s="466"/>
    </row>
    <row r="111" spans="1:15" s="427" customFormat="1" ht="15.75" x14ac:dyDescent="0.25">
      <c r="A111" s="468"/>
      <c r="B111" s="518"/>
      <c r="C111" s="518"/>
      <c r="D111" s="468" t="s">
        <v>515</v>
      </c>
      <c r="E111" s="468" t="s">
        <v>619</v>
      </c>
      <c r="F111" s="468" t="s">
        <v>612</v>
      </c>
      <c r="G111" s="501"/>
      <c r="H111" s="518"/>
      <c r="I111" s="518"/>
      <c r="L111" s="462"/>
      <c r="O111" s="466"/>
    </row>
    <row r="112" spans="1:15" x14ac:dyDescent="0.25">
      <c r="B112" s="4" t="s">
        <v>722</v>
      </c>
      <c r="C112" s="518"/>
      <c r="D112" s="782"/>
      <c r="E112" s="783"/>
      <c r="F112" s="783"/>
      <c r="G112" s="518"/>
      <c r="H112" s="518"/>
      <c r="I112" s="518"/>
    </row>
    <row r="113" spans="1:15" x14ac:dyDescent="0.25">
      <c r="B113" s="4" t="s">
        <v>723</v>
      </c>
      <c r="C113" s="518"/>
      <c r="D113" s="782"/>
      <c r="E113" s="783"/>
      <c r="F113" s="783"/>
      <c r="G113" s="518"/>
      <c r="H113" s="518"/>
      <c r="I113" s="518"/>
    </row>
    <row r="114" spans="1:15" x14ac:dyDescent="0.25">
      <c r="B114" s="4" t="s">
        <v>724</v>
      </c>
      <c r="C114" s="518"/>
      <c r="D114" s="782"/>
      <c r="E114" s="783"/>
      <c r="F114" s="783"/>
      <c r="G114" s="518"/>
      <c r="H114" s="518"/>
      <c r="I114" s="518"/>
    </row>
    <row r="116" spans="1:15" s="427" customFormat="1" x14ac:dyDescent="0.25">
      <c r="A116" s="468"/>
      <c r="B116" s="427" t="s">
        <v>709</v>
      </c>
      <c r="D116" s="468" t="s">
        <v>710</v>
      </c>
      <c r="E116" s="468" t="s">
        <v>403</v>
      </c>
      <c r="F116" s="468" t="s">
        <v>619</v>
      </c>
      <c r="L116" s="462"/>
      <c r="O116" s="466"/>
    </row>
    <row r="117" spans="1:15" s="427" customFormat="1" x14ac:dyDescent="0.25">
      <c r="A117" s="468"/>
      <c r="B117" s="1064"/>
      <c r="C117" s="1064"/>
      <c r="D117" s="567"/>
      <c r="E117" s="567"/>
      <c r="F117" s="567"/>
      <c r="L117" s="462"/>
      <c r="O117" s="466"/>
    </row>
    <row r="118" spans="1:15" s="427" customFormat="1" x14ac:dyDescent="0.25">
      <c r="A118" s="468"/>
      <c r="B118" s="1064"/>
      <c r="C118" s="1064"/>
      <c r="D118" s="567"/>
      <c r="E118" s="567"/>
      <c r="F118" s="567"/>
      <c r="L118" s="462"/>
      <c r="O118" s="466"/>
    </row>
    <row r="119" spans="1:15" s="427" customFormat="1" x14ac:dyDescent="0.25">
      <c r="A119" s="468"/>
      <c r="B119" s="1064"/>
      <c r="C119" s="1064"/>
      <c r="D119" s="567"/>
      <c r="E119" s="567"/>
      <c r="F119" s="567"/>
      <c r="L119" s="462"/>
      <c r="O119" s="466"/>
    </row>
    <row r="120" spans="1:15" s="427" customFormat="1" x14ac:dyDescent="0.25">
      <c r="A120" s="468"/>
      <c r="B120" s="1064"/>
      <c r="C120" s="1064"/>
      <c r="D120" s="567"/>
      <c r="E120" s="567"/>
      <c r="F120" s="567"/>
      <c r="L120" s="462"/>
      <c r="O120" s="466"/>
    </row>
    <row r="121" spans="1:15" s="427" customFormat="1" x14ac:dyDescent="0.25">
      <c r="A121" s="468"/>
      <c r="L121" s="462"/>
      <c r="O121" s="466"/>
    </row>
    <row r="122" spans="1:15" s="427" customFormat="1" x14ac:dyDescent="0.25">
      <c r="A122" s="468"/>
      <c r="L122" s="462"/>
      <c r="O122" s="466"/>
    </row>
    <row r="123" spans="1:15" x14ac:dyDescent="0.25">
      <c r="B123" t="s">
        <v>621</v>
      </c>
      <c r="D123" s="468" t="s">
        <v>515</v>
      </c>
      <c r="E123" s="468" t="s">
        <v>619</v>
      </c>
      <c r="F123" s="468" t="s">
        <v>622</v>
      </c>
    </row>
    <row r="124" spans="1:15" x14ac:dyDescent="0.25">
      <c r="B124" s="1064"/>
      <c r="C124" s="1064"/>
      <c r="D124" s="567"/>
      <c r="E124" s="567"/>
      <c r="F124" s="567"/>
    </row>
    <row r="125" spans="1:15" x14ac:dyDescent="0.25">
      <c r="B125" s="1064"/>
      <c r="C125" s="1064"/>
      <c r="D125" s="567"/>
      <c r="E125" s="567"/>
      <c r="F125" s="567"/>
    </row>
    <row r="126" spans="1:15" x14ac:dyDescent="0.25">
      <c r="B126" s="1064"/>
      <c r="C126" s="1064"/>
      <c r="D126" s="567"/>
      <c r="E126" s="567"/>
      <c r="F126" s="567"/>
    </row>
    <row r="127" spans="1:15" x14ac:dyDescent="0.25">
      <c r="B127" s="1064"/>
      <c r="C127" s="1064"/>
      <c r="D127" s="567"/>
      <c r="E127" s="567"/>
      <c r="F127" s="567"/>
    </row>
  </sheetData>
  <customSheetViews>
    <customSheetView guid="{BBA80CC4-398C-41FE-99C8-A75F96D5CA58}" scale="80" fitToPage="1" topLeftCell="A10">
      <selection activeCell="J32" sqref="J32"/>
      <pageMargins left="0.7" right="0.7" top="0.75" bottom="0.75" header="0.3" footer="0.3"/>
      <pageSetup scale="37" orientation="portrait" horizontalDpi="1200" verticalDpi="1200"/>
    </customSheetView>
    <customSheetView guid="{03C358DA-88A4-4E12-84B7-BB4E50E89831}" scale="80" fitToPage="1">
      <selection activeCell="Q80" sqref="Q80"/>
      <pageMargins left="0.7" right="0.7" top="0.75" bottom="0.75" header="0.3" footer="0.3"/>
      <pageSetup scale="37" orientation="portrait" horizontalDpi="1200" verticalDpi="1200"/>
    </customSheetView>
  </customSheetViews>
  <mergeCells count="29">
    <mergeCell ref="A76:G76"/>
    <mergeCell ref="A83:G83"/>
    <mergeCell ref="A91:G91"/>
    <mergeCell ref="A8:G8"/>
    <mergeCell ref="A42:G42"/>
    <mergeCell ref="E77:F77"/>
    <mergeCell ref="E84:F84"/>
    <mergeCell ref="E85:F85"/>
    <mergeCell ref="E86:F86"/>
    <mergeCell ref="L12:O12"/>
    <mergeCell ref="D54:F54"/>
    <mergeCell ref="I54:K54"/>
    <mergeCell ref="E13:G13"/>
    <mergeCell ref="E14:G14"/>
    <mergeCell ref="E15:G15"/>
    <mergeCell ref="E16:F16"/>
    <mergeCell ref="A12:G12"/>
    <mergeCell ref="A35:G35"/>
    <mergeCell ref="A48:G48"/>
    <mergeCell ref="E92:G92"/>
    <mergeCell ref="E93:G93"/>
    <mergeCell ref="B127:C127"/>
    <mergeCell ref="B126:C126"/>
    <mergeCell ref="B125:C125"/>
    <mergeCell ref="B124:C124"/>
    <mergeCell ref="B117:C117"/>
    <mergeCell ref="B118:C118"/>
    <mergeCell ref="B119:C119"/>
    <mergeCell ref="B120:C120"/>
  </mergeCells>
  <conditionalFormatting sqref="E79:F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F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7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  <pageSetUpPr fitToPage="1"/>
  </sheetPr>
  <dimension ref="A1:H50"/>
  <sheetViews>
    <sheetView workbookViewId="0">
      <selection activeCell="A2" sqref="A2"/>
    </sheetView>
  </sheetViews>
  <sheetFormatPr defaultColWidth="12.7109375" defaultRowHeight="15.75" x14ac:dyDescent="0.25"/>
  <cols>
    <col min="1" max="1" width="36.42578125" style="448" customWidth="1"/>
    <col min="2" max="2" width="20.7109375" style="448" customWidth="1"/>
    <col min="3" max="4" width="12.7109375" style="448"/>
    <col min="5" max="5" width="17.42578125" style="448" customWidth="1"/>
    <col min="6" max="6" width="19.28515625" style="448" customWidth="1"/>
    <col min="7" max="16384" width="12.7109375" style="448"/>
  </cols>
  <sheetData>
    <row r="1" spans="1:7" ht="28.5" x14ac:dyDescent="0.45">
      <c r="A1" s="638" t="str">
        <f>+'Data Entry'!C6</f>
        <v>LF III</v>
      </c>
    </row>
    <row r="2" spans="1:7" ht="28.5" x14ac:dyDescent="0.45">
      <c r="A2" s="639" t="s">
        <v>725</v>
      </c>
    </row>
    <row r="7" spans="1:7" ht="23.25" x14ac:dyDescent="0.35">
      <c r="A7" s="641" t="s">
        <v>726</v>
      </c>
    </row>
    <row r="9" spans="1:7" x14ac:dyDescent="0.25">
      <c r="A9" s="448" t="s">
        <v>638</v>
      </c>
      <c r="D9" s="551">
        <v>8.5000000000000006E-2</v>
      </c>
    </row>
    <row r="11" spans="1:7" x14ac:dyDescent="0.25">
      <c r="A11" s="536" t="s">
        <v>650</v>
      </c>
      <c r="B11" s="540" t="s">
        <v>231</v>
      </c>
      <c r="C11" s="536"/>
      <c r="D11" s="1075" t="s">
        <v>651</v>
      </c>
      <c r="E11" s="1075"/>
      <c r="F11" s="1075"/>
      <c r="G11" s="1075"/>
    </row>
    <row r="12" spans="1:7" x14ac:dyDescent="0.25">
      <c r="B12" s="449"/>
    </row>
    <row r="13" spans="1:7" x14ac:dyDescent="0.25">
      <c r="A13" s="544" t="s">
        <v>380</v>
      </c>
      <c r="B13" s="541">
        <v>0.3</v>
      </c>
      <c r="C13" s="535"/>
      <c r="D13" s="537" t="s">
        <v>359</v>
      </c>
      <c r="E13" s="537" t="s">
        <v>386</v>
      </c>
      <c r="F13" s="537" t="s">
        <v>358</v>
      </c>
      <c r="G13" s="537" t="s">
        <v>392</v>
      </c>
    </row>
    <row r="14" spans="1:7" x14ac:dyDescent="0.25">
      <c r="A14" s="544"/>
      <c r="B14" s="541"/>
      <c r="C14" s="535"/>
      <c r="D14" s="541">
        <v>0.1</v>
      </c>
      <c r="E14" s="541">
        <v>0</v>
      </c>
      <c r="F14" s="541">
        <v>0.1</v>
      </c>
      <c r="G14" s="541">
        <v>2.5000000000000001E-2</v>
      </c>
    </row>
    <row r="15" spans="1:7" x14ac:dyDescent="0.25">
      <c r="A15" s="544"/>
      <c r="B15" s="541"/>
      <c r="C15" s="535"/>
      <c r="D15" s="449"/>
      <c r="E15" s="449"/>
      <c r="F15" s="449"/>
      <c r="G15" s="449"/>
    </row>
    <row r="16" spans="1:7" x14ac:dyDescent="0.25">
      <c r="A16" s="544" t="s">
        <v>639</v>
      </c>
      <c r="B16" s="541">
        <v>0.2</v>
      </c>
      <c r="C16" s="535"/>
      <c r="D16" s="538" t="s">
        <v>640</v>
      </c>
      <c r="E16" s="539" t="s">
        <v>641</v>
      </c>
      <c r="F16" s="539" t="s">
        <v>642</v>
      </c>
      <c r="G16" s="539" t="s">
        <v>643</v>
      </c>
    </row>
    <row r="17" spans="1:7" x14ac:dyDescent="0.25">
      <c r="A17" s="544"/>
      <c r="B17" s="541"/>
      <c r="C17" s="535"/>
      <c r="D17" s="542">
        <v>7.4999999999999997E-2</v>
      </c>
      <c r="E17" s="542">
        <v>0.05</v>
      </c>
      <c r="F17" s="542">
        <v>-7.4999999999999997E-2</v>
      </c>
      <c r="G17" s="542">
        <v>-0.2</v>
      </c>
    </row>
    <row r="18" spans="1:7" x14ac:dyDescent="0.25">
      <c r="A18" s="544"/>
      <c r="B18" s="541"/>
      <c r="C18" s="535"/>
      <c r="D18" s="543"/>
      <c r="E18" s="543"/>
      <c r="F18" s="543"/>
      <c r="G18" s="543"/>
    </row>
    <row r="19" spans="1:7" x14ac:dyDescent="0.25">
      <c r="A19" s="544" t="s">
        <v>644</v>
      </c>
      <c r="B19" s="541">
        <v>0.1</v>
      </c>
      <c r="C19" s="535"/>
      <c r="D19" s="537" t="s">
        <v>656</v>
      </c>
      <c r="E19" s="537" t="s">
        <v>657</v>
      </c>
      <c r="F19" s="537" t="s">
        <v>658</v>
      </c>
      <c r="G19" s="537" t="s">
        <v>659</v>
      </c>
    </row>
    <row r="20" spans="1:7" x14ac:dyDescent="0.25">
      <c r="A20" s="544"/>
      <c r="B20" s="541"/>
      <c r="C20" s="535"/>
      <c r="D20" s="541">
        <v>-0.2</v>
      </c>
      <c r="E20" s="541">
        <v>0.2</v>
      </c>
      <c r="F20" s="541">
        <v>0.1</v>
      </c>
      <c r="G20" s="541">
        <v>-0.2</v>
      </c>
    </row>
    <row r="21" spans="1:7" x14ac:dyDescent="0.25">
      <c r="A21" s="544"/>
      <c r="B21" s="541"/>
      <c r="C21" s="535"/>
      <c r="D21" s="543"/>
      <c r="E21" s="543"/>
      <c r="F21" s="543"/>
      <c r="G21" s="543"/>
    </row>
    <row r="22" spans="1:7" x14ac:dyDescent="0.25">
      <c r="A22" s="544" t="s">
        <v>660</v>
      </c>
      <c r="B22" s="541">
        <v>0.3</v>
      </c>
      <c r="C22" s="535"/>
      <c r="D22" s="537" t="s">
        <v>646</v>
      </c>
      <c r="E22" s="537" t="s">
        <v>647</v>
      </c>
      <c r="F22" s="537" t="s">
        <v>648</v>
      </c>
      <c r="G22" s="539" t="s">
        <v>649</v>
      </c>
    </row>
    <row r="23" spans="1:7" x14ac:dyDescent="0.25">
      <c r="A23" s="544"/>
      <c r="B23" s="541"/>
      <c r="C23" s="535"/>
      <c r="D23" s="541">
        <v>-0.2</v>
      </c>
      <c r="E23" s="541">
        <v>0.05</v>
      </c>
      <c r="F23" s="541">
        <v>0.1</v>
      </c>
      <c r="G23" s="541">
        <v>0.15</v>
      </c>
    </row>
    <row r="24" spans="1:7" x14ac:dyDescent="0.25">
      <c r="A24" s="544"/>
      <c r="B24" s="541"/>
      <c r="C24" s="535"/>
      <c r="D24" s="543"/>
      <c r="E24" s="543"/>
      <c r="F24" s="543"/>
      <c r="G24" s="543"/>
    </row>
    <row r="25" spans="1:7" x14ac:dyDescent="0.25">
      <c r="A25" s="544" t="s">
        <v>645</v>
      </c>
      <c r="B25" s="541">
        <v>0.1</v>
      </c>
      <c r="C25" s="535"/>
      <c r="D25" s="537" t="s">
        <v>652</v>
      </c>
      <c r="E25" s="539" t="s">
        <v>653</v>
      </c>
      <c r="F25" s="539" t="s">
        <v>654</v>
      </c>
      <c r="G25" s="539" t="s">
        <v>655</v>
      </c>
    </row>
    <row r="26" spans="1:7" x14ac:dyDescent="0.25">
      <c r="A26" s="545"/>
      <c r="D26" s="541">
        <v>-0.2</v>
      </c>
      <c r="E26" s="541">
        <v>-0.15</v>
      </c>
      <c r="F26" s="541">
        <v>0</v>
      </c>
      <c r="G26" s="541">
        <v>0.2</v>
      </c>
    </row>
    <row r="27" spans="1:7" x14ac:dyDescent="0.25">
      <c r="A27" s="545"/>
    </row>
    <row r="28" spans="1:7" ht="23.25" x14ac:dyDescent="0.35">
      <c r="A28" s="640" t="s">
        <v>727</v>
      </c>
    </row>
    <row r="29" spans="1:7" x14ac:dyDescent="0.25">
      <c r="A29" s="545"/>
      <c r="D29" s="537" t="s">
        <v>662</v>
      </c>
      <c r="E29" s="537" t="s">
        <v>231</v>
      </c>
      <c r="F29" s="537" t="s">
        <v>663</v>
      </c>
    </row>
    <row r="30" spans="1:7" x14ac:dyDescent="0.25">
      <c r="A30" s="545" t="s">
        <v>380</v>
      </c>
      <c r="B30" s="550" t="str">
        <f>+'Data Entry'!E15</f>
        <v>Hampton</v>
      </c>
      <c r="D30" s="601">
        <v>0.1</v>
      </c>
      <c r="E30" s="546">
        <f>+B13</f>
        <v>0.3</v>
      </c>
      <c r="F30" s="535">
        <f>+D30*E30</f>
        <v>0.03</v>
      </c>
    </row>
    <row r="31" spans="1:7" x14ac:dyDescent="0.25">
      <c r="A31" s="448" t="s">
        <v>639</v>
      </c>
      <c r="B31" s="568">
        <f>2018-'Data Entry'!E49</f>
        <v>2</v>
      </c>
      <c r="D31" s="601">
        <v>-0.2</v>
      </c>
      <c r="E31" s="546">
        <f>+B16</f>
        <v>0.2</v>
      </c>
      <c r="F31" s="535">
        <f>+D31*E31</f>
        <v>-4.0000000000000008E-2</v>
      </c>
    </row>
    <row r="32" spans="1:7" x14ac:dyDescent="0.25">
      <c r="A32" s="448" t="s">
        <v>644</v>
      </c>
      <c r="B32" s="549">
        <f>+'Data Entry'!E18</f>
        <v>125</v>
      </c>
      <c r="D32" s="601">
        <v>-0.15</v>
      </c>
      <c r="E32" s="546">
        <f>+B19</f>
        <v>0.1</v>
      </c>
      <c r="F32" s="535">
        <f>+D32*E32</f>
        <v>-1.4999999999999999E-2</v>
      </c>
    </row>
    <row r="33" spans="1:8" x14ac:dyDescent="0.25">
      <c r="A33" s="448" t="s">
        <v>660</v>
      </c>
      <c r="B33" s="549">
        <f>+'Data Entry'!D93</f>
        <v>0</v>
      </c>
      <c r="D33" s="601">
        <v>0.15</v>
      </c>
      <c r="E33" s="546">
        <f>+B22</f>
        <v>0.3</v>
      </c>
      <c r="F33" s="535">
        <f>+D33*E33</f>
        <v>4.4999999999999998E-2</v>
      </c>
    </row>
    <row r="34" spans="1:8" x14ac:dyDescent="0.25">
      <c r="A34" s="448" t="s">
        <v>661</v>
      </c>
      <c r="B34" s="549">
        <f>+'Data Entry'!E95</f>
        <v>0</v>
      </c>
      <c r="D34" s="601">
        <v>0.2</v>
      </c>
      <c r="E34" s="546">
        <f>+B25</f>
        <v>0.1</v>
      </c>
      <c r="F34" s="535">
        <f>+D34*E34</f>
        <v>2.0000000000000004E-2</v>
      </c>
    </row>
    <row r="36" spans="1:8" x14ac:dyDescent="0.25">
      <c r="E36" s="448" t="s">
        <v>746</v>
      </c>
      <c r="F36" s="548">
        <f>SUM(F30:F35)</f>
        <v>3.9999999999999994E-2</v>
      </c>
    </row>
    <row r="38" spans="1:8" x14ac:dyDescent="0.25">
      <c r="E38" s="448" t="s">
        <v>664</v>
      </c>
      <c r="F38" s="551">
        <f>+D9</f>
        <v>8.5000000000000006E-2</v>
      </c>
    </row>
    <row r="40" spans="1:8" x14ac:dyDescent="0.25">
      <c r="E40" s="448" t="s">
        <v>665</v>
      </c>
      <c r="F40" s="548">
        <f>+F38*(100%-F36)</f>
        <v>8.1600000000000006E-2</v>
      </c>
    </row>
    <row r="42" spans="1:8" x14ac:dyDescent="0.25">
      <c r="E42" s="448" t="s">
        <v>417</v>
      </c>
      <c r="F42" s="547">
        <f>+'Data Entry'!E23/FastTrack!F40</f>
        <v>22923831.147058815</v>
      </c>
    </row>
    <row r="44" spans="1:8" x14ac:dyDescent="0.25">
      <c r="E44" s="448" t="s">
        <v>666</v>
      </c>
      <c r="F44" s="547">
        <f>-'Data Entry'!E71</f>
        <v>0</v>
      </c>
    </row>
    <row r="45" spans="1:8" ht="16.5" thickBot="1" x14ac:dyDescent="0.3"/>
    <row r="46" spans="1:8" ht="19.5" thickBot="1" x14ac:dyDescent="0.35">
      <c r="E46" s="602" t="s">
        <v>667</v>
      </c>
      <c r="F46" s="603">
        <f>+F42+F44</f>
        <v>22923831.147058815</v>
      </c>
      <c r="G46" s="447" t="s">
        <v>668</v>
      </c>
      <c r="H46" s="447"/>
    </row>
    <row r="47" spans="1:8" x14ac:dyDescent="0.25">
      <c r="G47" s="448" t="s">
        <v>734</v>
      </c>
    </row>
    <row r="48" spans="1:8" x14ac:dyDescent="0.25">
      <c r="G48" s="448" t="s">
        <v>677</v>
      </c>
    </row>
    <row r="49" spans="7:7" x14ac:dyDescent="0.25">
      <c r="G49" s="448" t="s">
        <v>678</v>
      </c>
    </row>
    <row r="50" spans="7:7" x14ac:dyDescent="0.25">
      <c r="G50" s="448" t="s">
        <v>733</v>
      </c>
    </row>
  </sheetData>
  <customSheetViews>
    <customSheetView guid="{BBA80CC4-398C-41FE-99C8-A75F96D5CA58}" scale="70" fitToPage="1" topLeftCell="A4">
      <selection activeCell="I38" sqref="I38"/>
      <pageMargins left="0.7" right="0.7" top="0.75" bottom="0.75" header="0.3" footer="0.3"/>
      <pageSetup scale="53" orientation="portrait" horizontalDpi="4294967292" verticalDpi="4294967292"/>
    </customSheetView>
    <customSheetView guid="{03C358DA-88A4-4E12-84B7-BB4E50E89831}" scale="70" fitToPage="1" topLeftCell="A4">
      <selection activeCell="I38" sqref="I38"/>
      <pageMargins left="0.7" right="0.7" top="0.75" bottom="0.75" header="0.3" footer="0.3"/>
      <pageSetup scale="53" orientation="portrait" horizontalDpi="4294967292" verticalDpi="4294967292"/>
    </customSheetView>
  </customSheetViews>
  <mergeCells count="1">
    <mergeCell ref="D11:G11"/>
  </mergeCells>
  <pageMargins left="0.75" right="0.75" top="1" bottom="1" header="0.5" footer="0.5"/>
  <pageSetup scale="5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:N64"/>
  <sheetViews>
    <sheetView zoomScale="90" zoomScaleNormal="90" zoomScalePageLayoutView="125" workbookViewId="0">
      <selection activeCell="L16" sqref="L16"/>
    </sheetView>
  </sheetViews>
  <sheetFormatPr defaultColWidth="11.28515625" defaultRowHeight="15" x14ac:dyDescent="0.25"/>
  <cols>
    <col min="1" max="1" width="56.7109375" customWidth="1"/>
    <col min="2" max="2" width="23.140625" customWidth="1"/>
    <col min="3" max="3" width="25.7109375" customWidth="1"/>
    <col min="4" max="4" width="13.7109375" customWidth="1"/>
    <col min="5" max="5" width="17" customWidth="1"/>
    <col min="10" max="10" width="25.42578125" customWidth="1"/>
    <col min="11" max="11" width="11.42578125" bestFit="1" customWidth="1"/>
    <col min="12" max="12" width="15" bestFit="1" customWidth="1"/>
    <col min="13" max="13" width="25.42578125" bestFit="1" customWidth="1"/>
  </cols>
  <sheetData>
    <row r="1" spans="1:12" ht="23.25" x14ac:dyDescent="0.35">
      <c r="A1" s="270" t="str">
        <f>+'Data Entry'!C6</f>
        <v>LF III</v>
      </c>
      <c r="B1" s="270"/>
      <c r="C1" s="270"/>
      <c r="D1" s="272"/>
      <c r="E1" s="272"/>
      <c r="F1" s="272"/>
      <c r="G1" s="272"/>
      <c r="H1" s="272"/>
      <c r="I1" s="272"/>
      <c r="J1" s="697" t="s">
        <v>760</v>
      </c>
    </row>
    <row r="2" spans="1:12" x14ac:dyDescent="0.25">
      <c r="A2" s="273" t="s">
        <v>416</v>
      </c>
      <c r="B2" s="273"/>
      <c r="C2" s="273"/>
      <c r="D2" s="273"/>
      <c r="E2" s="273"/>
      <c r="F2" s="273"/>
      <c r="G2" s="273"/>
      <c r="H2" s="273"/>
      <c r="I2" s="273"/>
      <c r="J2" s="709" t="s">
        <v>1125</v>
      </c>
    </row>
    <row r="3" spans="1:12" x14ac:dyDescent="0.25">
      <c r="A3" s="697" t="s">
        <v>756</v>
      </c>
      <c r="B3" s="271"/>
      <c r="C3" s="271"/>
      <c r="D3" s="271"/>
      <c r="E3" s="271"/>
      <c r="F3" s="271"/>
      <c r="G3" s="271"/>
      <c r="H3" s="271"/>
      <c r="I3" s="271"/>
      <c r="J3" s="697" t="s">
        <v>757</v>
      </c>
      <c r="K3" s="427"/>
      <c r="L3" s="427"/>
    </row>
    <row r="4" spans="1:12" s="427" customFormat="1" x14ac:dyDescent="0.25">
      <c r="A4" s="271" t="s">
        <v>1135</v>
      </c>
      <c r="B4" s="271"/>
      <c r="C4" s="271"/>
      <c r="D4" s="271"/>
      <c r="E4" s="271"/>
      <c r="F4" s="271"/>
      <c r="G4" s="271"/>
      <c r="H4" s="271"/>
      <c r="I4" s="271"/>
      <c r="J4" s="709" t="s">
        <v>1126</v>
      </c>
    </row>
    <row r="5" spans="1:12" s="427" customFormat="1" x14ac:dyDescent="0.25">
      <c r="A5" s="271" t="s">
        <v>1136</v>
      </c>
      <c r="B5" s="271"/>
      <c r="C5" s="271"/>
      <c r="D5" s="271"/>
      <c r="E5" s="271"/>
      <c r="F5" s="271"/>
      <c r="G5" s="271"/>
      <c r="H5" s="271"/>
      <c r="I5" s="271"/>
      <c r="J5" s="697" t="s">
        <v>758</v>
      </c>
    </row>
    <row r="6" spans="1:12" s="427" customForma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795"/>
    </row>
    <row r="7" spans="1:12" s="427" customFormat="1" x14ac:dyDescent="0.25">
      <c r="A7" s="784"/>
      <c r="B7" s="271"/>
      <c r="C7" s="271"/>
      <c r="D7" s="271"/>
      <c r="E7" s="271"/>
      <c r="F7" s="271"/>
      <c r="G7" s="271"/>
      <c r="H7" s="271"/>
      <c r="I7" s="271"/>
      <c r="J7" s="271"/>
    </row>
    <row r="8" spans="1:12" s="427" customFormat="1" x14ac:dyDescent="0.25">
      <c r="A8" s="784"/>
      <c r="B8" s="271"/>
      <c r="C8" s="271"/>
      <c r="D8" s="271"/>
      <c r="E8" s="271"/>
      <c r="F8" s="271"/>
      <c r="G8" s="271"/>
      <c r="H8" s="271"/>
      <c r="I8" s="271"/>
      <c r="J8" s="271"/>
    </row>
    <row r="9" spans="1:12" s="427" customFormat="1" x14ac:dyDescent="0.25">
      <c r="A9" s="271"/>
      <c r="B9" s="271"/>
      <c r="C9" s="271"/>
      <c r="D9" s="271"/>
      <c r="E9" s="271"/>
      <c r="F9" s="271"/>
      <c r="G9" s="271"/>
      <c r="H9" s="271"/>
      <c r="I9" s="271"/>
      <c r="J9" s="271"/>
    </row>
    <row r="10" spans="1:12" s="427" customFormat="1" x14ac:dyDescent="0.25">
      <c r="A10" s="785"/>
      <c r="B10" s="271"/>
      <c r="C10" s="271"/>
      <c r="D10" s="271"/>
      <c r="E10" s="271"/>
      <c r="F10" s="271"/>
      <c r="G10" s="271"/>
      <c r="H10" s="271"/>
      <c r="I10" s="271"/>
      <c r="J10" s="271"/>
    </row>
    <row r="11" spans="1:12" s="427" customFormat="1" x14ac:dyDescent="0.25">
      <c r="A11" s="271"/>
      <c r="B11" s="271"/>
      <c r="C11" s="271"/>
      <c r="D11" s="271"/>
      <c r="E11" s="271"/>
      <c r="F11" s="271"/>
      <c r="G11" s="271"/>
      <c r="H11" s="271"/>
      <c r="I11" s="271"/>
      <c r="J11" s="271"/>
    </row>
    <row r="12" spans="1:12" s="427" customFormat="1" x14ac:dyDescent="0.25">
      <c r="A12" s="271"/>
      <c r="B12" s="271"/>
      <c r="C12" s="271"/>
      <c r="D12" s="271"/>
      <c r="E12" s="271"/>
      <c r="F12" s="271"/>
      <c r="G12" s="271"/>
      <c r="H12" s="271"/>
      <c r="I12" s="271"/>
      <c r="J12" s="271"/>
    </row>
    <row r="13" spans="1:12" s="427" customFormat="1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</row>
    <row r="14" spans="1:12" s="427" customFormat="1" x14ac:dyDescent="0.25">
      <c r="A14" s="271"/>
      <c r="B14" s="271"/>
      <c r="C14" s="271"/>
      <c r="D14" s="271"/>
      <c r="E14" s="271"/>
      <c r="F14" s="271"/>
      <c r="G14" s="271"/>
      <c r="H14" s="271"/>
      <c r="I14" s="271"/>
      <c r="J14" s="271"/>
    </row>
    <row r="15" spans="1:12" s="427" customFormat="1" x14ac:dyDescent="0.25">
      <c r="A15" s="271"/>
      <c r="B15" s="271"/>
      <c r="C15" s="271"/>
      <c r="D15" s="271"/>
      <c r="E15" s="271"/>
      <c r="F15" s="271"/>
      <c r="G15" s="271"/>
      <c r="H15" s="271"/>
      <c r="I15" s="271"/>
      <c r="J15" s="271"/>
    </row>
    <row r="16" spans="1:12" s="427" customFormat="1" x14ac:dyDescent="0.25">
      <c r="A16" s="271"/>
      <c r="B16" s="271"/>
      <c r="C16" s="271"/>
      <c r="D16" s="271"/>
      <c r="E16" s="271"/>
      <c r="F16" s="271"/>
      <c r="G16" s="271"/>
      <c r="H16" s="271"/>
      <c r="I16" s="271"/>
      <c r="J16" s="271"/>
    </row>
    <row r="17" spans="1:13" s="427" customFormat="1" x14ac:dyDescent="0.25">
      <c r="A17" s="271"/>
      <c r="B17" s="271"/>
      <c r="C17" s="271"/>
      <c r="D17" s="786"/>
      <c r="E17" s="271"/>
      <c r="F17" s="271"/>
      <c r="G17" s="271"/>
      <c r="H17" s="271"/>
      <c r="I17" s="271"/>
      <c r="J17" s="271"/>
    </row>
    <row r="18" spans="1:13" s="427" customFormat="1" x14ac:dyDescent="0.25">
      <c r="A18" s="271"/>
      <c r="B18" s="271"/>
      <c r="C18" s="271"/>
      <c r="D18" s="271"/>
      <c r="E18" s="271"/>
      <c r="F18" s="271"/>
      <c r="G18" s="271"/>
      <c r="H18" s="271"/>
      <c r="I18" s="271"/>
      <c r="J18" s="271"/>
    </row>
    <row r="19" spans="1:13" s="427" customFormat="1" x14ac:dyDescent="0.25">
      <c r="A19" s="271"/>
      <c r="B19" s="271"/>
      <c r="C19" s="271"/>
      <c r="D19" s="271"/>
      <c r="E19" s="271"/>
      <c r="F19" s="271"/>
      <c r="G19" s="271"/>
      <c r="H19" s="271"/>
      <c r="I19" s="271"/>
      <c r="J19" s="271"/>
    </row>
    <row r="20" spans="1:13" s="427" customFormat="1" x14ac:dyDescent="0.25">
      <c r="A20" s="271"/>
      <c r="B20" s="271"/>
      <c r="C20" s="271"/>
      <c r="D20" s="271"/>
      <c r="E20" s="271"/>
      <c r="F20" s="271"/>
      <c r="G20" s="271"/>
      <c r="H20" s="271"/>
      <c r="I20" s="271"/>
      <c r="J20" s="271"/>
    </row>
    <row r="21" spans="1:13" s="427" customFormat="1" x14ac:dyDescent="0.25">
      <c r="A21" s="271"/>
      <c r="B21" s="271"/>
      <c r="C21" s="271"/>
      <c r="D21" s="271"/>
      <c r="E21" s="271"/>
      <c r="F21" s="271"/>
      <c r="G21" s="271"/>
      <c r="H21" s="271"/>
      <c r="I21" s="271"/>
      <c r="J21" s="271"/>
    </row>
    <row r="22" spans="1:13" x14ac:dyDescent="0.25">
      <c r="A22" s="697" t="s">
        <v>769</v>
      </c>
    </row>
    <row r="23" spans="1:13" x14ac:dyDescent="0.25">
      <c r="A23" s="271"/>
    </row>
    <row r="24" spans="1:13" x14ac:dyDescent="0.25">
      <c r="A24" s="4"/>
    </row>
    <row r="25" spans="1:13" x14ac:dyDescent="0.25">
      <c r="A25" s="271"/>
    </row>
    <row r="26" spans="1:13" x14ac:dyDescent="0.25">
      <c r="A26" s="271"/>
    </row>
    <row r="27" spans="1:13" x14ac:dyDescent="0.25">
      <c r="A27" s="323"/>
    </row>
    <row r="28" spans="1:13" s="427" customFormat="1" x14ac:dyDescent="0.25">
      <c r="A28" s="271"/>
      <c r="B28" s="271"/>
      <c r="C28" s="271"/>
      <c r="D28" s="271"/>
      <c r="E28" s="271"/>
      <c r="F28" s="271"/>
      <c r="G28" s="271"/>
      <c r="H28" s="271"/>
      <c r="I28" s="271"/>
      <c r="J28" s="271"/>
    </row>
    <row r="29" spans="1:13" x14ac:dyDescent="0.25">
      <c r="A29" s="271"/>
      <c r="B29" s="271"/>
      <c r="C29" s="271"/>
      <c r="D29" s="271"/>
      <c r="E29" s="271"/>
      <c r="F29" s="271"/>
      <c r="G29" s="271"/>
      <c r="H29" s="271"/>
      <c r="I29" s="271"/>
      <c r="J29" s="271"/>
      <c r="K29" s="427"/>
      <c r="L29" s="427"/>
    </row>
    <row r="30" spans="1:13" x14ac:dyDescent="0.25">
      <c r="A30" s="1078" t="s">
        <v>508</v>
      </c>
      <c r="B30" s="1079"/>
      <c r="C30" s="1079"/>
      <c r="D30" s="1079"/>
      <c r="E30" s="1079"/>
      <c r="F30" s="271"/>
      <c r="G30" s="271"/>
      <c r="H30" s="271"/>
      <c r="I30" s="271"/>
      <c r="J30" s="271"/>
      <c r="K30" s="427"/>
      <c r="L30" s="427"/>
    </row>
    <row r="31" spans="1:13" x14ac:dyDescent="0.25">
      <c r="A31" s="710" t="s">
        <v>763</v>
      </c>
      <c r="B31" s="710" t="s">
        <v>764</v>
      </c>
      <c r="C31" s="710" t="s">
        <v>765</v>
      </c>
      <c r="D31" s="710" t="s">
        <v>768</v>
      </c>
      <c r="E31" s="710" t="s">
        <v>469</v>
      </c>
      <c r="F31" s="271"/>
      <c r="G31" s="271"/>
      <c r="H31" s="271"/>
      <c r="I31" s="271"/>
      <c r="J31" s="271"/>
      <c r="K31" s="427"/>
      <c r="L31" s="427"/>
      <c r="M31" s="427"/>
    </row>
    <row r="32" spans="1:13" x14ac:dyDescent="0.25">
      <c r="A32" s="788" t="s">
        <v>1087</v>
      </c>
      <c r="B32" s="787"/>
      <c r="C32" s="788"/>
      <c r="D32" s="787"/>
      <c r="E32" s="427" t="s">
        <v>1088</v>
      </c>
      <c r="F32" s="271"/>
      <c r="G32" s="271"/>
      <c r="H32" s="271"/>
      <c r="I32" s="271"/>
      <c r="J32" s="271"/>
      <c r="K32" s="427"/>
      <c r="L32" s="427"/>
      <c r="M32" s="427"/>
    </row>
    <row r="33" spans="1:14" x14ac:dyDescent="0.25">
      <c r="A33" s="789" t="s">
        <v>1089</v>
      </c>
      <c r="B33" s="716" t="s">
        <v>1090</v>
      </c>
      <c r="C33" s="789" t="s">
        <v>1091</v>
      </c>
      <c r="D33" s="1024" t="s">
        <v>1092</v>
      </c>
      <c r="E33" s="271" t="s">
        <v>1093</v>
      </c>
      <c r="F33" s="968"/>
      <c r="G33" s="271"/>
      <c r="H33" s="271"/>
      <c r="I33" s="271"/>
      <c r="J33" s="271"/>
      <c r="K33" s="427"/>
      <c r="L33" s="427"/>
      <c r="M33" s="427"/>
      <c r="N33" s="427"/>
    </row>
    <row r="34" spans="1:14" x14ac:dyDescent="0.25">
      <c r="A34" s="789" t="s">
        <v>1089</v>
      </c>
      <c r="B34" s="716" t="s">
        <v>1094</v>
      </c>
      <c r="C34" s="1025">
        <v>43466</v>
      </c>
      <c r="D34" s="1024" t="s">
        <v>1095</v>
      </c>
      <c r="E34" s="427" t="s">
        <v>1096</v>
      </c>
      <c r="F34" s="271"/>
      <c r="G34" s="271"/>
      <c r="H34" s="271"/>
      <c r="I34" s="271"/>
      <c r="J34" s="271"/>
      <c r="K34" s="427"/>
      <c r="L34" s="427"/>
      <c r="M34" s="427"/>
      <c r="N34" s="427"/>
    </row>
    <row r="35" spans="1:14" x14ac:dyDescent="0.25">
      <c r="A35" s="789" t="s">
        <v>1097</v>
      </c>
      <c r="B35" s="716"/>
      <c r="C35" s="789"/>
      <c r="D35" s="716"/>
      <c r="E35" s="271" t="s">
        <v>1098</v>
      </c>
      <c r="F35" s="271"/>
      <c r="G35" s="271"/>
      <c r="H35" s="271"/>
      <c r="I35" s="271"/>
      <c r="J35" s="271"/>
      <c r="K35" s="427"/>
      <c r="L35" s="427"/>
      <c r="M35" s="427"/>
      <c r="N35" s="427"/>
    </row>
    <row r="36" spans="1:14" x14ac:dyDescent="0.25">
      <c r="A36" s="789" t="s">
        <v>1099</v>
      </c>
      <c r="B36" s="716" t="s">
        <v>1100</v>
      </c>
      <c r="C36" s="789">
        <v>2018</v>
      </c>
      <c r="D36" s="1024" t="s">
        <v>1101</v>
      </c>
      <c r="E36" s="271" t="s">
        <v>1102</v>
      </c>
      <c r="F36" s="271"/>
      <c r="G36" s="271"/>
      <c r="H36" s="271"/>
      <c r="I36" s="271"/>
      <c r="J36" s="271"/>
      <c r="K36" s="427"/>
      <c r="L36" s="427"/>
      <c r="M36" s="427"/>
      <c r="N36" s="427"/>
    </row>
    <row r="37" spans="1:14" x14ac:dyDescent="0.25">
      <c r="A37" s="789" t="s">
        <v>1103</v>
      </c>
      <c r="B37" s="716"/>
      <c r="C37" s="789"/>
      <c r="D37" s="716"/>
      <c r="E37" s="271" t="s">
        <v>1104</v>
      </c>
      <c r="F37" s="271"/>
      <c r="G37" s="271"/>
      <c r="H37" s="271"/>
      <c r="I37" s="271"/>
      <c r="J37" s="271"/>
      <c r="K37" s="427"/>
      <c r="L37" s="427"/>
      <c r="M37" s="427"/>
      <c r="N37" s="427"/>
    </row>
    <row r="38" spans="1:14" x14ac:dyDescent="0.25">
      <c r="A38" s="789" t="s">
        <v>1105</v>
      </c>
      <c r="B38" s="716"/>
      <c r="C38" s="789"/>
      <c r="D38" s="716" t="s">
        <v>1106</v>
      </c>
      <c r="E38" s="271" t="s">
        <v>1107</v>
      </c>
      <c r="F38" s="271"/>
      <c r="G38" s="271"/>
      <c r="H38" s="271"/>
      <c r="I38" s="271"/>
      <c r="J38" s="271"/>
      <c r="K38" s="427"/>
      <c r="L38" s="427"/>
      <c r="M38" s="427"/>
      <c r="N38" s="427"/>
    </row>
    <row r="39" spans="1:14" x14ac:dyDescent="0.25">
      <c r="A39" s="789" t="s">
        <v>1099</v>
      </c>
      <c r="B39" s="716"/>
      <c r="C39" s="789" t="s">
        <v>1108</v>
      </c>
      <c r="D39" s="1024" t="s">
        <v>1109</v>
      </c>
      <c r="E39" s="271" t="s">
        <v>1110</v>
      </c>
      <c r="F39" s="271"/>
      <c r="G39" s="271"/>
      <c r="H39" s="271"/>
      <c r="I39" s="271"/>
      <c r="J39" s="271"/>
      <c r="K39" s="427"/>
      <c r="L39" s="427"/>
      <c r="M39" s="427"/>
      <c r="N39" s="427"/>
    </row>
    <row r="40" spans="1:14" x14ac:dyDescent="0.25">
      <c r="A40" s="702" t="s">
        <v>1111</v>
      </c>
      <c r="B40" s="1026"/>
      <c r="C40" s="1027">
        <v>2015</v>
      </c>
      <c r="D40" s="1028" t="s">
        <v>1112</v>
      </c>
      <c r="E40" s="271" t="s">
        <v>1113</v>
      </c>
      <c r="F40" s="271"/>
      <c r="G40" s="271"/>
      <c r="H40" s="271"/>
      <c r="I40" s="271"/>
      <c r="J40" s="271"/>
      <c r="K40" s="427"/>
      <c r="L40" s="427"/>
      <c r="M40" s="427"/>
      <c r="N40" s="427"/>
    </row>
    <row r="41" spans="1:14" s="427" customFormat="1" x14ac:dyDescent="0.25">
      <c r="A41" s="699" t="s">
        <v>1111</v>
      </c>
      <c r="B41" s="699"/>
      <c r="C41" s="699"/>
      <c r="D41" s="699" t="s">
        <v>1106</v>
      </c>
      <c r="E41" s="271" t="s">
        <v>1114</v>
      </c>
      <c r="F41" s="271"/>
      <c r="G41" s="271"/>
      <c r="H41" s="271"/>
      <c r="I41" s="271"/>
    </row>
    <row r="42" spans="1:14" s="427" customFormat="1" x14ac:dyDescent="0.25">
      <c r="A42" s="699"/>
      <c r="B42" s="699"/>
      <c r="C42" s="699"/>
      <c r="D42" s="699"/>
      <c r="E42" s="271"/>
      <c r="F42" s="271"/>
      <c r="G42" s="271"/>
      <c r="H42" s="271"/>
      <c r="I42" s="271"/>
    </row>
    <row r="43" spans="1:14" s="427" customFormat="1" x14ac:dyDescent="0.25">
      <c r="A43" s="408" t="s">
        <v>1115</v>
      </c>
      <c r="B43" s="699"/>
      <c r="C43" s="699"/>
      <c r="D43" s="699"/>
      <c r="E43" s="271"/>
      <c r="F43" s="271"/>
      <c r="G43" s="271"/>
      <c r="H43" s="271"/>
      <c r="I43" s="271"/>
    </row>
    <row r="44" spans="1:14" s="427" customFormat="1" x14ac:dyDescent="0.25">
      <c r="A44" s="699" t="s">
        <v>1116</v>
      </c>
      <c r="B44" s="699"/>
      <c r="C44" s="699"/>
      <c r="D44" s="699"/>
      <c r="E44" s="271"/>
      <c r="F44" s="271"/>
      <c r="G44" s="271"/>
      <c r="H44" s="271"/>
      <c r="I44" s="271"/>
    </row>
    <row r="45" spans="1:14" s="427" customFormat="1" x14ac:dyDescent="0.25">
      <c r="A45" s="271"/>
      <c r="B45" s="271"/>
      <c r="C45" s="271"/>
      <c r="D45" s="271"/>
      <c r="E45" s="271"/>
      <c r="F45" s="271"/>
      <c r="G45" s="271"/>
      <c r="H45" s="271"/>
      <c r="I45" s="271"/>
    </row>
    <row r="46" spans="1:14" s="427" customFormat="1" x14ac:dyDescent="0.25">
      <c r="A46" s="1076" t="s">
        <v>433</v>
      </c>
      <c r="B46" s="1077"/>
      <c r="C46" s="1077"/>
      <c r="D46" s="1077"/>
      <c r="E46" s="1077"/>
      <c r="F46" s="271"/>
      <c r="G46" s="271"/>
      <c r="H46" s="271"/>
      <c r="I46" s="271"/>
    </row>
    <row r="47" spans="1:14" s="427" customFormat="1" x14ac:dyDescent="0.25">
      <c r="A47" s="713" t="s">
        <v>515</v>
      </c>
      <c r="B47" s="713" t="s">
        <v>272</v>
      </c>
      <c r="C47" s="713" t="s">
        <v>761</v>
      </c>
      <c r="D47" s="713" t="s">
        <v>766</v>
      </c>
      <c r="E47" s="713" t="s">
        <v>767</v>
      </c>
      <c r="F47" s="271"/>
      <c r="G47" s="271"/>
      <c r="H47" s="271"/>
      <c r="I47" s="271"/>
    </row>
    <row r="48" spans="1:14" s="427" customFormat="1" x14ac:dyDescent="0.25">
      <c r="A48" s="790" t="s">
        <v>1117</v>
      </c>
      <c r="B48" s="787">
        <v>100</v>
      </c>
      <c r="C48" s="711" t="s">
        <v>1120</v>
      </c>
      <c r="D48" s="791" t="s">
        <v>1118</v>
      </c>
      <c r="E48" s="792" t="s">
        <v>414</v>
      </c>
      <c r="F48" s="271" t="s">
        <v>1119</v>
      </c>
      <c r="G48" s="271"/>
      <c r="H48" s="271"/>
      <c r="I48" s="271"/>
    </row>
    <row r="49" spans="1:13" s="427" customFormat="1" x14ac:dyDescent="0.25">
      <c r="A49" s="698"/>
      <c r="B49" s="716"/>
      <c r="C49" s="699"/>
      <c r="D49" s="793"/>
      <c r="E49" s="794"/>
      <c r="F49" s="271"/>
      <c r="G49" s="271"/>
      <c r="H49" s="271"/>
      <c r="I49" s="271"/>
    </row>
    <row r="50" spans="1:13" x14ac:dyDescent="0.25">
      <c r="A50" s="698"/>
      <c r="B50" s="716"/>
      <c r="C50" s="699"/>
      <c r="D50" s="793"/>
      <c r="E50" s="794"/>
      <c r="F50" s="271"/>
      <c r="G50" s="271"/>
      <c r="H50" s="271"/>
      <c r="I50" s="271"/>
      <c r="J50" s="427"/>
      <c r="K50" s="427"/>
      <c r="L50" s="427"/>
      <c r="M50" s="427"/>
    </row>
    <row r="51" spans="1:13" s="427" customFormat="1" x14ac:dyDescent="0.25">
      <c r="A51" s="698"/>
      <c r="B51" s="716"/>
      <c r="C51" s="699"/>
      <c r="D51" s="718"/>
      <c r="E51" s="714"/>
      <c r="F51" s="271"/>
      <c r="G51" s="271"/>
      <c r="H51" s="271"/>
      <c r="I51" s="271"/>
    </row>
    <row r="52" spans="1:13" s="427" customFormat="1" x14ac:dyDescent="0.25">
      <c r="A52" s="698"/>
      <c r="B52" s="716"/>
      <c r="C52" s="699"/>
      <c r="D52" s="718"/>
      <c r="E52" s="714"/>
      <c r="F52" s="271"/>
      <c r="G52" s="271"/>
      <c r="H52" s="271"/>
      <c r="I52" s="271"/>
    </row>
    <row r="53" spans="1:13" s="427" customFormat="1" x14ac:dyDescent="0.25">
      <c r="A53" s="698"/>
      <c r="B53" s="716"/>
      <c r="C53" s="699"/>
      <c r="D53" s="718"/>
      <c r="E53" s="714"/>
      <c r="F53" s="271"/>
      <c r="G53" s="271"/>
      <c r="H53" s="271"/>
      <c r="I53" s="271"/>
    </row>
    <row r="54" spans="1:13" s="427" customFormat="1" x14ac:dyDescent="0.25">
      <c r="A54" s="698"/>
      <c r="B54" s="716"/>
      <c r="C54" s="699"/>
      <c r="D54" s="718"/>
      <c r="E54" s="714"/>
      <c r="F54" s="271"/>
      <c r="G54" s="271"/>
      <c r="H54" s="271"/>
      <c r="I54" s="271"/>
    </row>
    <row r="55" spans="1:13" s="427" customFormat="1" x14ac:dyDescent="0.25">
      <c r="A55" s="698"/>
      <c r="B55" s="716"/>
      <c r="C55" s="699"/>
      <c r="D55" s="718"/>
      <c r="E55" s="714"/>
      <c r="F55" s="271"/>
      <c r="G55" s="271"/>
      <c r="H55" s="271"/>
      <c r="I55" s="271"/>
    </row>
    <row r="56" spans="1:13" s="427" customFormat="1" x14ac:dyDescent="0.25">
      <c r="A56" s="700"/>
      <c r="B56" s="717"/>
      <c r="C56" s="701"/>
      <c r="D56" s="719"/>
      <c r="E56" s="715"/>
      <c r="F56" s="271"/>
      <c r="G56" s="271"/>
      <c r="H56" s="271"/>
      <c r="I56" s="271"/>
    </row>
    <row r="57" spans="1:13" s="427" customFormat="1" x14ac:dyDescent="0.25">
      <c r="A57" s="699"/>
      <c r="B57" s="699"/>
      <c r="C57" s="699"/>
      <c r="D57" s="703"/>
      <c r="E57" s="712"/>
      <c r="F57" s="271"/>
      <c r="G57" s="271"/>
      <c r="H57" s="271"/>
      <c r="I57" s="271"/>
    </row>
    <row r="58" spans="1:13" s="427" customFormat="1" x14ac:dyDescent="0.25">
      <c r="A58" s="699"/>
      <c r="B58" s="699"/>
      <c r="C58" s="699"/>
      <c r="D58" s="703"/>
      <c r="E58" s="712"/>
      <c r="F58" s="271"/>
      <c r="G58" s="271"/>
      <c r="H58" s="271"/>
      <c r="I58" s="271"/>
    </row>
    <row r="59" spans="1:13" s="427" customFormat="1" x14ac:dyDescent="0.25">
      <c r="A59" s="271"/>
      <c r="B59" s="271"/>
      <c r="C59" s="271"/>
      <c r="D59" s="271"/>
      <c r="E59" s="271"/>
      <c r="F59" s="271"/>
      <c r="G59" s="271"/>
      <c r="H59" s="271"/>
      <c r="I59" s="271"/>
    </row>
    <row r="60" spans="1:13" x14ac:dyDescent="0.25">
      <c r="A60" s="697" t="s">
        <v>759</v>
      </c>
      <c r="B60" s="271"/>
      <c r="C60" s="271"/>
      <c r="D60" s="271"/>
      <c r="E60" s="271"/>
      <c r="F60" s="271"/>
      <c r="G60" s="271"/>
      <c r="H60" s="271"/>
      <c r="I60" s="271"/>
      <c r="J60" s="427"/>
      <c r="K60" s="427"/>
      <c r="L60" s="427"/>
      <c r="M60" s="427"/>
    </row>
    <row r="61" spans="1:13" x14ac:dyDescent="0.25">
      <c r="A61" s="271"/>
      <c r="B61" s="271"/>
      <c r="C61" s="271"/>
      <c r="D61" s="271"/>
      <c r="E61" s="271"/>
      <c r="F61" s="271"/>
      <c r="G61" s="271"/>
      <c r="H61" s="271"/>
      <c r="I61" s="271"/>
      <c r="J61" s="427"/>
      <c r="K61" s="427"/>
      <c r="L61" s="427"/>
      <c r="M61" s="427"/>
    </row>
    <row r="62" spans="1:13" x14ac:dyDescent="0.25">
      <c r="A62" s="271"/>
      <c r="B62" s="271"/>
      <c r="C62" s="271"/>
      <c r="D62" s="271"/>
      <c r="E62" s="271"/>
      <c r="F62" s="271"/>
      <c r="G62" s="271"/>
      <c r="H62" s="271"/>
      <c r="I62" s="271"/>
      <c r="J62" s="427"/>
      <c r="K62" s="427"/>
      <c r="L62" s="427"/>
      <c r="M62" s="427"/>
    </row>
    <row r="63" spans="1:13" x14ac:dyDescent="0.25">
      <c r="A63" s="271"/>
      <c r="B63" s="271"/>
      <c r="C63" s="271"/>
      <c r="D63" s="271"/>
      <c r="E63" s="271"/>
      <c r="F63" s="271"/>
      <c r="G63" s="271"/>
      <c r="H63" s="271"/>
      <c r="I63" s="271"/>
      <c r="J63" s="427"/>
      <c r="K63" s="427"/>
      <c r="L63" s="427"/>
      <c r="M63" s="427"/>
    </row>
    <row r="64" spans="1:13" x14ac:dyDescent="0.25">
      <c r="A64" s="323"/>
    </row>
  </sheetData>
  <customSheetViews>
    <customSheetView guid="{BBA80CC4-398C-41FE-99C8-A75F96D5CA58}">
      <selection activeCell="C23" sqref="C23"/>
      <pageMargins left="0.7" right="0.7" top="0.75" bottom="0.75" header="0.3" footer="0.3"/>
      <pageSetup scale="40" orientation="portrait"/>
    </customSheetView>
    <customSheetView guid="{03C358DA-88A4-4E12-84B7-BB4E50E89831}">
      <selection activeCell="C23" sqref="C23"/>
      <pageMargins left="0.7" right="0.7" top="0.75" bottom="0.75" header="0.3" footer="0.3"/>
      <pageSetup scale="40" orientation="portrait"/>
    </customSheetView>
  </customSheetViews>
  <mergeCells count="2">
    <mergeCell ref="A46:E46"/>
    <mergeCell ref="A30:E30"/>
  </mergeCells>
  <hyperlinks>
    <hyperlink ref="J2" r:id="rId1" display="https://www.easymapmaker.com/map/4738e79fd5c285ca93c09c39a7aa387e" xr:uid="{66E1AE4A-78C8-4C69-91E2-CB297FD81291}"/>
    <hyperlink ref="J4" r:id="rId2" display="https://www.easymapmaker.com/map/f754b0622bc31647a87f99577af658dd" xr:uid="{595A284D-1292-4ACA-9FE4-BE4DDB3F93F1}"/>
  </hyperlinks>
  <pageMargins left="0.7" right="0.7" top="0.75" bottom="0.75" header="0.3" footer="0.3"/>
  <pageSetup scale="40" orientation="portrait" r:id="rId3"/>
  <drawing r:id="rId4"/>
  <legacyDrawing r:id="rId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  <pageSetUpPr fitToPage="1"/>
  </sheetPr>
  <dimension ref="A1:BA145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N37" sqref="N37"/>
    </sheetView>
  </sheetViews>
  <sheetFormatPr defaultColWidth="8.7109375" defaultRowHeight="15" x14ac:dyDescent="0.25"/>
  <cols>
    <col min="1" max="1" width="2.7109375" style="11" customWidth="1"/>
    <col min="2" max="2" width="31.42578125" customWidth="1"/>
    <col min="3" max="3" width="5.28515625" customWidth="1"/>
    <col min="4" max="4" width="10.7109375" style="427" customWidth="1"/>
    <col min="5" max="7" width="8.7109375" style="427"/>
    <col min="8" max="8" width="13.42578125" customWidth="1"/>
    <col min="9" max="9" width="10" customWidth="1"/>
    <col min="10" max="10" width="10.28515625" customWidth="1"/>
    <col min="11" max="11" width="15" customWidth="1"/>
    <col min="12" max="13" width="13.42578125" customWidth="1"/>
    <col min="14" max="14" width="10.7109375" customWidth="1"/>
    <col min="15" max="15" width="12.28515625" bestFit="1" customWidth="1"/>
    <col min="16" max="16" width="16.7109375" customWidth="1"/>
    <col min="17" max="17" width="12.28515625" bestFit="1" customWidth="1"/>
    <col min="18" max="18" width="12.140625" customWidth="1"/>
    <col min="19" max="20" width="12.42578125" customWidth="1"/>
    <col min="21" max="21" width="13" customWidth="1"/>
    <col min="22" max="22" width="13.42578125" customWidth="1"/>
    <col min="23" max="23" width="10.28515625" customWidth="1"/>
    <col min="24" max="24" width="10.42578125" customWidth="1"/>
    <col min="25" max="26" width="9.7109375" customWidth="1"/>
    <col min="29" max="30" width="11.28515625" customWidth="1"/>
    <col min="36" max="36" width="10.140625" bestFit="1" customWidth="1"/>
  </cols>
  <sheetData>
    <row r="1" spans="1:39" ht="23.25" x14ac:dyDescent="0.35">
      <c r="A1" s="1" t="str">
        <f>+'Data Entry'!C6</f>
        <v>LF III</v>
      </c>
    </row>
    <row r="2" spans="1:39" ht="15.75" x14ac:dyDescent="0.25">
      <c r="A2" s="12" t="s">
        <v>54</v>
      </c>
    </row>
    <row r="3" spans="1:39" x14ac:dyDescent="0.25">
      <c r="A3" s="11" t="s">
        <v>212</v>
      </c>
    </row>
    <row r="4" spans="1:39" x14ac:dyDescent="0.25">
      <c r="A4" s="1108" t="str">
        <f>+'Board Summary'!B3</f>
        <v>Hampton Inn &amp; Suites Wichita Airport</v>
      </c>
      <c r="B4" s="1108"/>
      <c r="D4" s="1068" t="s">
        <v>198</v>
      </c>
      <c r="E4" s="1068"/>
      <c r="F4" s="1068"/>
      <c r="G4" s="1068"/>
      <c r="H4" s="1068"/>
      <c r="I4" s="1068"/>
      <c r="J4" s="1068"/>
      <c r="K4" s="1068"/>
      <c r="L4" s="1068"/>
      <c r="M4" s="1068"/>
      <c r="N4" s="553"/>
      <c r="O4" s="1068" t="s">
        <v>42</v>
      </c>
      <c r="P4" s="1068"/>
      <c r="Q4" s="1068"/>
      <c r="R4" s="1068"/>
      <c r="S4" s="1068"/>
      <c r="T4" s="1068"/>
      <c r="U4" s="1068"/>
      <c r="V4" s="1068"/>
      <c r="W4" s="1068"/>
      <c r="X4" s="1068"/>
      <c r="Y4" s="1068"/>
      <c r="Z4" s="1068"/>
      <c r="AA4" s="1068"/>
      <c r="AB4" s="1068"/>
      <c r="AC4" s="1068"/>
      <c r="AD4" s="1068"/>
      <c r="AE4" s="1068"/>
      <c r="AF4" s="1068"/>
      <c r="AG4" s="1068"/>
      <c r="AH4" s="1068"/>
      <c r="AI4" s="1068"/>
      <c r="AJ4" s="1068"/>
      <c r="AK4" s="1068"/>
      <c r="AL4" s="1068"/>
      <c r="AM4" s="1068"/>
    </row>
    <row r="5" spans="1:39" x14ac:dyDescent="0.25">
      <c r="A5" s="194"/>
      <c r="D5" s="1068">
        <v>2014</v>
      </c>
      <c r="E5" s="1068"/>
      <c r="F5" s="1068">
        <v>2015</v>
      </c>
      <c r="G5" s="1068"/>
      <c r="H5" s="1068">
        <v>2016</v>
      </c>
      <c r="I5" s="1068"/>
      <c r="J5" s="1068">
        <v>2017</v>
      </c>
      <c r="K5" s="1068"/>
      <c r="L5" s="1068" t="s">
        <v>246</v>
      </c>
      <c r="M5" s="1068"/>
      <c r="N5" s="553"/>
      <c r="O5" s="1068" t="s">
        <v>30</v>
      </c>
      <c r="P5" s="1068"/>
      <c r="Q5" s="1068" t="s">
        <v>31</v>
      </c>
      <c r="R5" s="1068"/>
      <c r="S5" s="1068" t="s">
        <v>32</v>
      </c>
      <c r="T5" s="1068"/>
      <c r="U5" s="1068" t="s">
        <v>33</v>
      </c>
      <c r="V5" s="1068"/>
      <c r="W5" s="1068" t="s">
        <v>34</v>
      </c>
      <c r="X5" s="1068"/>
      <c r="Y5" s="1068" t="s">
        <v>347</v>
      </c>
      <c r="Z5" s="1068"/>
      <c r="AA5" s="1068" t="s">
        <v>348</v>
      </c>
      <c r="AB5" s="1068"/>
      <c r="AC5" s="1068" t="s">
        <v>349</v>
      </c>
      <c r="AD5" s="1068"/>
      <c r="AE5" s="1068" t="s">
        <v>350</v>
      </c>
      <c r="AF5" s="1068"/>
      <c r="AG5" s="1068" t="s">
        <v>351</v>
      </c>
      <c r="AH5" s="1068"/>
      <c r="AI5" s="1068" t="s">
        <v>352</v>
      </c>
      <c r="AJ5" s="1068"/>
      <c r="AK5" s="238"/>
      <c r="AL5" s="1068" t="s">
        <v>355</v>
      </c>
      <c r="AM5" s="1068"/>
    </row>
    <row r="6" spans="1:39" x14ac:dyDescent="0.25">
      <c r="A6" s="194"/>
      <c r="D6" s="453"/>
      <c r="E6" s="453"/>
      <c r="F6" s="453"/>
      <c r="G6" s="453"/>
      <c r="H6" s="198"/>
      <c r="I6" s="198"/>
      <c r="J6" s="198"/>
      <c r="K6" s="198"/>
      <c r="L6" s="1097" t="s">
        <v>1142</v>
      </c>
      <c r="M6" s="1098"/>
      <c r="N6" s="553"/>
      <c r="O6" s="3"/>
      <c r="P6" s="3"/>
      <c r="Q6" s="406"/>
      <c r="R6" s="406"/>
      <c r="S6" s="406"/>
      <c r="T6" s="406"/>
      <c r="U6" s="406"/>
      <c r="V6" s="406"/>
      <c r="W6" s="406"/>
      <c r="X6" s="406"/>
      <c r="Y6" s="406"/>
      <c r="Z6" s="406"/>
      <c r="AA6" s="406"/>
      <c r="AB6" s="406"/>
      <c r="AC6" s="406"/>
      <c r="AD6" s="406"/>
      <c r="AE6" s="406"/>
      <c r="AF6" s="406"/>
      <c r="AG6" s="406"/>
      <c r="AH6" s="406"/>
      <c r="AI6" s="406"/>
      <c r="AJ6" s="406"/>
      <c r="AK6" s="238"/>
      <c r="AL6" s="3"/>
      <c r="AM6" s="3"/>
    </row>
    <row r="7" spans="1:39" x14ac:dyDescent="0.25">
      <c r="A7" s="768" t="s">
        <v>44</v>
      </c>
      <c r="N7" s="554"/>
    </row>
    <row r="8" spans="1:39" x14ac:dyDescent="0.25">
      <c r="A8" s="194"/>
      <c r="H8" s="1086" t="s">
        <v>88</v>
      </c>
      <c r="I8" s="1086"/>
      <c r="J8" s="1086"/>
      <c r="K8" s="1086"/>
      <c r="L8" s="1086"/>
      <c r="M8" s="1086"/>
      <c r="N8" s="554"/>
      <c r="O8" s="1086"/>
      <c r="P8" s="1086"/>
      <c r="Q8" s="1086"/>
      <c r="R8" s="1086"/>
      <c r="S8" s="1086"/>
      <c r="T8" s="1086"/>
    </row>
    <row r="9" spans="1:39" x14ac:dyDescent="0.25">
      <c r="A9" s="768" t="s">
        <v>94</v>
      </c>
      <c r="D9" s="1084"/>
      <c r="E9" s="1084"/>
      <c r="F9" s="1084"/>
      <c r="G9" s="1084"/>
      <c r="H9" s="1086"/>
      <c r="I9" s="1086"/>
      <c r="J9" s="1086"/>
      <c r="K9" s="1086"/>
      <c r="L9" s="1086"/>
      <c r="M9" s="1086"/>
      <c r="O9" s="1086"/>
      <c r="P9" s="1086"/>
      <c r="Q9" s="1086"/>
      <c r="R9" s="1086"/>
      <c r="S9" s="1086"/>
      <c r="T9" s="1086"/>
      <c r="U9" s="1084"/>
      <c r="V9" s="1084"/>
      <c r="W9" s="1084"/>
      <c r="X9" s="1084"/>
      <c r="Y9" s="1084"/>
      <c r="Z9" s="1084"/>
      <c r="AA9" s="1084"/>
      <c r="AB9" s="1084"/>
      <c r="AC9" s="1084"/>
      <c r="AD9" s="1084"/>
      <c r="AE9" s="1084"/>
      <c r="AF9" s="1084"/>
      <c r="AG9" s="1084"/>
      <c r="AH9" s="1084"/>
      <c r="AI9" s="1084"/>
      <c r="AJ9" s="1084"/>
      <c r="AK9" s="240"/>
      <c r="AL9" s="1084"/>
      <c r="AM9" s="1084"/>
    </row>
    <row r="10" spans="1:39" s="7" customFormat="1" x14ac:dyDescent="0.25">
      <c r="A10" s="694"/>
      <c r="B10" s="7" t="s">
        <v>39</v>
      </c>
      <c r="D10" s="1087"/>
      <c r="E10" s="1087"/>
      <c r="F10" s="1087"/>
      <c r="G10" s="1087"/>
      <c r="H10" s="1087">
        <v>0.51800000000000002</v>
      </c>
      <c r="I10" s="1087"/>
      <c r="J10" s="1087">
        <v>0.73199999999999998</v>
      </c>
      <c r="K10" s="1087"/>
      <c r="L10" s="1087">
        <v>0.76400000000000001</v>
      </c>
      <c r="M10" s="1087"/>
      <c r="N10" s="24"/>
      <c r="O10" s="1085">
        <f>O40</f>
        <v>0.78008580000000005</v>
      </c>
      <c r="P10" s="1085"/>
      <c r="Q10" s="1085">
        <f>Q40</f>
        <v>0.78788665800000002</v>
      </c>
      <c r="R10" s="1085"/>
      <c r="S10" s="1085">
        <f>S40</f>
        <v>0.79576552458000005</v>
      </c>
      <c r="T10" s="1085"/>
      <c r="U10" s="1085">
        <f>U40</f>
        <v>0.80372317982580022</v>
      </c>
      <c r="V10" s="1085"/>
      <c r="W10" s="1085">
        <f>W40</f>
        <v>0.80372317982580022</v>
      </c>
      <c r="X10" s="1085"/>
      <c r="Y10" s="1085">
        <f>Y40</f>
        <v>0.80372317982580022</v>
      </c>
      <c r="Z10" s="1085"/>
      <c r="AA10" s="1085">
        <f>AA40</f>
        <v>0.80372317982580022</v>
      </c>
      <c r="AB10" s="1085"/>
      <c r="AC10" s="1085">
        <f>AC40</f>
        <v>0.80372317982580022</v>
      </c>
      <c r="AD10" s="1085"/>
      <c r="AE10" s="1085">
        <f>AE40</f>
        <v>0.80372317982580022</v>
      </c>
      <c r="AF10" s="1085"/>
      <c r="AG10" s="1085">
        <f>AG40</f>
        <v>0.80372317982580022</v>
      </c>
      <c r="AH10" s="1085"/>
      <c r="AI10" s="1085">
        <f>AI40</f>
        <v>0.80372317982580022</v>
      </c>
      <c r="AJ10" s="1085"/>
      <c r="AK10" s="241"/>
      <c r="AL10" s="1106">
        <f>SUM(O10:X10)/5</f>
        <v>0.79423686844632013</v>
      </c>
      <c r="AM10" s="1106"/>
    </row>
    <row r="11" spans="1:39" s="7" customFormat="1" x14ac:dyDescent="0.25">
      <c r="A11" s="694"/>
      <c r="B11" s="7" t="s">
        <v>716</v>
      </c>
      <c r="G11" s="186" t="e">
        <f>+(F10-D10)/D10</f>
        <v>#DIV/0!</v>
      </c>
      <c r="I11" s="186" t="e">
        <f>+(H10-F10)/F10</f>
        <v>#DIV/0!</v>
      </c>
      <c r="K11" s="186">
        <f>+(J10-H10)/H10</f>
        <v>0.41312741312741308</v>
      </c>
      <c r="M11" s="186">
        <f>+(L10-J10)/J10</f>
        <v>4.3715846994535561E-2</v>
      </c>
      <c r="N11" s="463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C11" s="458"/>
      <c r="AD11" s="458"/>
      <c r="AE11" s="458"/>
      <c r="AF11" s="458"/>
      <c r="AG11" s="458"/>
      <c r="AH11" s="458"/>
      <c r="AI11" s="458"/>
      <c r="AJ11" s="458"/>
      <c r="AK11" s="458"/>
      <c r="AL11" s="463"/>
      <c r="AM11" s="463"/>
    </row>
    <row r="12" spans="1:39" x14ac:dyDescent="0.25">
      <c r="A12" s="693"/>
      <c r="B12" t="s">
        <v>40</v>
      </c>
      <c r="D12" s="1083"/>
      <c r="E12" s="1083"/>
      <c r="F12" s="1083"/>
      <c r="G12" s="1083"/>
      <c r="H12" s="1083">
        <v>112.83</v>
      </c>
      <c r="I12" s="1083"/>
      <c r="J12" s="1083">
        <v>111.63</v>
      </c>
      <c r="K12" s="1083"/>
      <c r="L12" s="1083">
        <v>112.02</v>
      </c>
      <c r="M12" s="1083"/>
      <c r="N12" s="25"/>
      <c r="O12" s="1082">
        <f>O41</f>
        <v>113.51894999999999</v>
      </c>
      <c r="P12" s="1082"/>
      <c r="Q12" s="1082">
        <f>Q41</f>
        <v>114.65413949999999</v>
      </c>
      <c r="R12" s="1082"/>
      <c r="S12" s="1082">
        <f>S41</f>
        <v>115.80068089499999</v>
      </c>
      <c r="T12" s="1082"/>
      <c r="U12" s="1082">
        <f>U41</f>
        <v>116.95868770394998</v>
      </c>
      <c r="V12" s="1082"/>
      <c r="W12" s="1082">
        <f>W41</f>
        <v>118.12827458098948</v>
      </c>
      <c r="X12" s="1082"/>
      <c r="Y12" s="1082">
        <f>Y41</f>
        <v>119.30955732679938</v>
      </c>
      <c r="Z12" s="1082"/>
      <c r="AA12" s="1082">
        <f>AA41</f>
        <v>120.50265290006737</v>
      </c>
      <c r="AB12" s="1082"/>
      <c r="AC12" s="1082">
        <f>AC41</f>
        <v>121.70767942906804</v>
      </c>
      <c r="AD12" s="1082"/>
      <c r="AE12" s="1082">
        <f>AE41</f>
        <v>122.92475622335871</v>
      </c>
      <c r="AF12" s="1082"/>
      <c r="AG12" s="1082">
        <f>AG41</f>
        <v>124.15400378559229</v>
      </c>
      <c r="AH12" s="1082"/>
      <c r="AI12" s="1082">
        <f>AI41</f>
        <v>125.39554382344822</v>
      </c>
      <c r="AJ12" s="1082"/>
      <c r="AK12" s="239"/>
      <c r="AL12" s="1107">
        <f>SUM(O12:X12)/5</f>
        <v>115.81214653598788</v>
      </c>
      <c r="AM12" s="1107"/>
    </row>
    <row r="13" spans="1:39" s="427" customFormat="1" x14ac:dyDescent="0.25">
      <c r="A13" s="693"/>
      <c r="B13" s="7" t="s">
        <v>716</v>
      </c>
      <c r="D13" s="7"/>
      <c r="E13" s="7"/>
      <c r="F13" s="7"/>
      <c r="G13" s="186" t="e">
        <f>+(F12-D12)/D12</f>
        <v>#DIV/0!</v>
      </c>
      <c r="H13" s="7"/>
      <c r="I13" s="186" t="e">
        <f>+(H12-F12)/F12</f>
        <v>#DIV/0!</v>
      </c>
      <c r="J13" s="7"/>
      <c r="K13" s="186">
        <f>+(J12-H12)/H12</f>
        <v>-1.0635469290082451E-2</v>
      </c>
      <c r="L13" s="7"/>
      <c r="M13" s="186">
        <f>+(L12-J12)/J12</f>
        <v>3.4936844934157535E-3</v>
      </c>
      <c r="N13" s="461"/>
      <c r="O13" s="460"/>
      <c r="P13" s="460"/>
      <c r="Q13" s="460"/>
      <c r="R13" s="460"/>
      <c r="S13" s="460"/>
      <c r="T13" s="460"/>
      <c r="U13" s="460"/>
      <c r="V13" s="460"/>
      <c r="W13" s="460"/>
      <c r="X13" s="460"/>
      <c r="Y13" s="460"/>
      <c r="Z13" s="460"/>
      <c r="AA13" s="460"/>
      <c r="AB13" s="460"/>
      <c r="AC13" s="460"/>
      <c r="AD13" s="460"/>
      <c r="AE13" s="460"/>
      <c r="AF13" s="460"/>
      <c r="AG13" s="460"/>
      <c r="AH13" s="460"/>
      <c r="AI13" s="460"/>
      <c r="AJ13" s="460"/>
      <c r="AK13" s="460"/>
      <c r="AL13" s="464"/>
      <c r="AM13" s="464"/>
    </row>
    <row r="14" spans="1:39" x14ac:dyDescent="0.25">
      <c r="A14" s="693"/>
      <c r="B14" t="s">
        <v>41</v>
      </c>
      <c r="D14" s="1082">
        <f>D10*D12</f>
        <v>0</v>
      </c>
      <c r="E14" s="1082"/>
      <c r="F14" s="1082">
        <f>F10*F12</f>
        <v>0</v>
      </c>
      <c r="G14" s="1082"/>
      <c r="H14" s="1082">
        <f>H10*H12</f>
        <v>58.44594</v>
      </c>
      <c r="I14" s="1082"/>
      <c r="J14" s="1082">
        <f>J10*J12</f>
        <v>81.713159999999988</v>
      </c>
      <c r="K14" s="1082"/>
      <c r="L14" s="1082">
        <f>L10*L12</f>
        <v>85.583280000000002</v>
      </c>
      <c r="M14" s="1082"/>
      <c r="N14" s="25"/>
      <c r="O14" s="1080">
        <f>+O10*O12</f>
        <v>88.554520925909998</v>
      </c>
      <c r="P14" s="1080"/>
      <c r="Q14" s="1080">
        <f>+Q10*Q12</f>
        <v>90.334466796520786</v>
      </c>
      <c r="R14" s="1080"/>
      <c r="S14" s="1080">
        <f>+S10*S12</f>
        <v>92.150189579130853</v>
      </c>
      <c r="T14" s="1080"/>
      <c r="U14" s="1080">
        <f>+U10*U12</f>
        <v>94.002408389671402</v>
      </c>
      <c r="V14" s="1080"/>
      <c r="W14" s="1080">
        <f>+W10*W12</f>
        <v>94.942432473568118</v>
      </c>
      <c r="X14" s="1080"/>
      <c r="Y14" s="1080">
        <f>+Y10*Y12</f>
        <v>95.891856798303792</v>
      </c>
      <c r="Z14" s="1080"/>
      <c r="AA14" s="1080">
        <f>+AA10*AA12</f>
        <v>96.85077536628684</v>
      </c>
      <c r="AB14" s="1080"/>
      <c r="AC14" s="1080">
        <f>+AC10*AC12</f>
        <v>97.819283119949702</v>
      </c>
      <c r="AD14" s="1080"/>
      <c r="AE14" s="1080">
        <f>+AE10*AE12</f>
        <v>98.797475951149195</v>
      </c>
      <c r="AF14" s="1080"/>
      <c r="AG14" s="1080">
        <f>+AG10*AG12</f>
        <v>99.785450710660683</v>
      </c>
      <c r="AH14" s="1080"/>
      <c r="AI14" s="1080">
        <f>+AI10*AI12</f>
        <v>100.78330521776729</v>
      </c>
      <c r="AJ14" s="1080"/>
      <c r="AK14" s="242"/>
      <c r="AL14" s="1107">
        <f>SUM(O14:X14)/5</f>
        <v>91.996803632960223</v>
      </c>
      <c r="AM14" s="1107"/>
    </row>
    <row r="15" spans="1:39" x14ac:dyDescent="0.25">
      <c r="A15" s="693"/>
      <c r="B15" t="s">
        <v>670</v>
      </c>
      <c r="G15" s="186" t="e">
        <f>+(F14-D14)/D14</f>
        <v>#DIV/0!</v>
      </c>
      <c r="I15" s="186" t="e">
        <f>+(H14-F14)/F14</f>
        <v>#DIV/0!</v>
      </c>
      <c r="K15" s="186">
        <f>+(J14-H14)/H14</f>
        <v>0.39809813992212267</v>
      </c>
      <c r="L15" s="186"/>
      <c r="M15" s="186">
        <f>+(L14-J14)/J14</f>
        <v>4.7362260864712791E-2</v>
      </c>
      <c r="P15" s="188">
        <f>(O14-L14)/L14</f>
        <v>3.4717539756714114E-2</v>
      </c>
      <c r="Q15" s="188"/>
      <c r="R15" s="188">
        <f>(Q14-O14)/O14</f>
        <v>2.0099999999999972E-2</v>
      </c>
      <c r="S15" s="188"/>
      <c r="T15" s="188">
        <f>(S14-Q14)/Q14</f>
        <v>2.0099999999999986E-2</v>
      </c>
      <c r="U15" s="188"/>
      <c r="V15" s="188">
        <f>(U14-S14)/S14</f>
        <v>2.0100000000000205E-2</v>
      </c>
      <c r="W15" s="188"/>
      <c r="X15" s="188">
        <f>(W14-U14)/U14</f>
        <v>1.0000000000000026E-2</v>
      </c>
      <c r="Y15" s="188"/>
      <c r="Z15" s="188">
        <f>(Y14-W14)/W14</f>
        <v>9.9999999999999187E-3</v>
      </c>
      <c r="AA15" s="188"/>
      <c r="AB15" s="188">
        <f>(AA14-Y14)/Y14</f>
        <v>1.0000000000000104E-2</v>
      </c>
      <c r="AC15" s="188"/>
      <c r="AD15" s="188">
        <f>(AC14-AA14)/AA14</f>
        <v>9.9999999999999395E-3</v>
      </c>
      <c r="AE15" s="188"/>
      <c r="AF15" s="188">
        <f>(AE14-AC14)/AC14</f>
        <v>9.9999999999999603E-3</v>
      </c>
      <c r="AG15" s="188"/>
      <c r="AH15" s="188">
        <f>(AG14-AE14)/AE14</f>
        <v>9.9999999999999586E-3</v>
      </c>
      <c r="AI15" s="188"/>
      <c r="AJ15" s="188">
        <f>(AI14-AG14)/AG14</f>
        <v>1.0000000000000026E-2</v>
      </c>
      <c r="AK15" s="188"/>
      <c r="AL15" s="1104">
        <f>SUM(O15:X15)/5</f>
        <v>2.100350795134286E-2</v>
      </c>
      <c r="AM15" s="1104"/>
    </row>
    <row r="16" spans="1:39" x14ac:dyDescent="0.25">
      <c r="A16" s="768" t="s">
        <v>95</v>
      </c>
    </row>
    <row r="17" spans="1:39" x14ac:dyDescent="0.25">
      <c r="A17" s="693"/>
      <c r="B17" s="7" t="s">
        <v>39</v>
      </c>
      <c r="C17" s="7"/>
      <c r="D17" s="1087"/>
      <c r="E17" s="1087"/>
      <c r="F17" s="1087"/>
      <c r="G17" s="1087"/>
      <c r="H17" s="1087">
        <v>0.68200000000000005</v>
      </c>
      <c r="I17" s="1087"/>
      <c r="J17" s="1087">
        <v>0.66300000000000003</v>
      </c>
      <c r="K17" s="1087"/>
      <c r="L17" s="1087">
        <v>0.68899999999999995</v>
      </c>
      <c r="M17" s="1087"/>
      <c r="N17" s="34"/>
      <c r="O17" s="1085">
        <f>O35</f>
        <v>0.70277999999999996</v>
      </c>
      <c r="P17" s="1085"/>
      <c r="Q17" s="1085">
        <f>Q35</f>
        <v>0.70980779999999999</v>
      </c>
      <c r="R17" s="1085"/>
      <c r="S17" s="1085">
        <f>S35</f>
        <v>0.71690587799999994</v>
      </c>
      <c r="T17" s="1085"/>
      <c r="U17" s="1085">
        <f>U35</f>
        <v>0.72407493678000012</v>
      </c>
      <c r="V17" s="1085"/>
      <c r="W17" s="1085">
        <f>W35</f>
        <v>0.72407493678000012</v>
      </c>
      <c r="X17" s="1085"/>
      <c r="Y17" s="1085">
        <f>Y35</f>
        <v>0.72407493678000012</v>
      </c>
      <c r="Z17" s="1085"/>
      <c r="AA17" s="1085">
        <f>AA35</f>
        <v>0.72407493678000012</v>
      </c>
      <c r="AB17" s="1085"/>
      <c r="AC17" s="1085">
        <f>AC35</f>
        <v>0.72407493678000012</v>
      </c>
      <c r="AD17" s="1085"/>
      <c r="AE17" s="1085">
        <f>AE35</f>
        <v>0.72407493678000012</v>
      </c>
      <c r="AF17" s="1085"/>
      <c r="AG17" s="1085">
        <f>AG35</f>
        <v>0.72407493678000012</v>
      </c>
      <c r="AH17" s="1085"/>
      <c r="AI17" s="1085">
        <f>AI35</f>
        <v>0.72407493678000012</v>
      </c>
      <c r="AJ17" s="1085"/>
      <c r="AK17" s="241"/>
      <c r="AL17" s="1106">
        <f>SUM(O17:X17)/5</f>
        <v>0.71552871031200005</v>
      </c>
      <c r="AM17" s="1106"/>
    </row>
    <row r="18" spans="1:39" s="427" customFormat="1" x14ac:dyDescent="0.25">
      <c r="A18" s="693"/>
      <c r="B18" s="7" t="s">
        <v>716</v>
      </c>
      <c r="C18" s="7"/>
      <c r="D18" s="7"/>
      <c r="E18" s="7"/>
      <c r="F18" s="7"/>
      <c r="G18" s="186" t="e">
        <f>+(F17-D17)/D17</f>
        <v>#DIV/0!</v>
      </c>
      <c r="H18" s="7"/>
      <c r="I18" s="186" t="e">
        <f>+(H17-F17)/F17</f>
        <v>#DIV/0!</v>
      </c>
      <c r="J18" s="7"/>
      <c r="K18" s="186">
        <f>+(J17-H17)/H17</f>
        <v>-2.7859237536656915E-2</v>
      </c>
      <c r="L18" s="7"/>
      <c r="M18" s="186">
        <f>+(L17-J17)/J17</f>
        <v>3.9215686274509672E-2</v>
      </c>
      <c r="N18" s="463"/>
      <c r="O18" s="458"/>
      <c r="P18" s="458"/>
      <c r="Q18" s="458"/>
      <c r="R18" s="458"/>
      <c r="S18" s="458"/>
      <c r="T18" s="458"/>
      <c r="U18" s="458"/>
      <c r="V18" s="458"/>
      <c r="W18" s="458"/>
      <c r="X18" s="458"/>
      <c r="Y18" s="458"/>
      <c r="Z18" s="458"/>
      <c r="AA18" s="458"/>
      <c r="AB18" s="458"/>
      <c r="AC18" s="458"/>
      <c r="AD18" s="458"/>
      <c r="AE18" s="458"/>
      <c r="AF18" s="458"/>
      <c r="AG18" s="458"/>
      <c r="AH18" s="458"/>
      <c r="AI18" s="458"/>
      <c r="AJ18" s="458"/>
      <c r="AK18" s="458"/>
      <c r="AL18" s="463"/>
      <c r="AM18" s="463"/>
    </row>
    <row r="19" spans="1:39" x14ac:dyDescent="0.25">
      <c r="A19" s="693"/>
      <c r="B19" t="s">
        <v>40</v>
      </c>
      <c r="D19" s="1083"/>
      <c r="E19" s="1083"/>
      <c r="F19" s="1083"/>
      <c r="G19" s="1083"/>
      <c r="H19" s="1083">
        <v>98.66</v>
      </c>
      <c r="I19" s="1083"/>
      <c r="J19" s="1083">
        <v>93.57</v>
      </c>
      <c r="K19" s="1083"/>
      <c r="L19" s="1083">
        <v>95.25</v>
      </c>
      <c r="M19" s="1083"/>
      <c r="N19" s="35"/>
      <c r="O19" s="1082">
        <f>O36</f>
        <v>96.202500000000001</v>
      </c>
      <c r="P19" s="1082"/>
      <c r="Q19" s="1082">
        <f>Q36</f>
        <v>97.164524999999998</v>
      </c>
      <c r="R19" s="1082"/>
      <c r="S19" s="1082">
        <f>S36</f>
        <v>98.136170249999992</v>
      </c>
      <c r="T19" s="1082"/>
      <c r="U19" s="1082">
        <f>U36</f>
        <v>99.117531952499988</v>
      </c>
      <c r="V19" s="1082"/>
      <c r="W19" s="1082">
        <f>W36</f>
        <v>100.10870727202499</v>
      </c>
      <c r="X19" s="1082"/>
      <c r="Y19" s="1082">
        <f>Y36</f>
        <v>101.10979434474524</v>
      </c>
      <c r="Z19" s="1082"/>
      <c r="AA19" s="1082">
        <f>AA36</f>
        <v>102.12089228819269</v>
      </c>
      <c r="AB19" s="1082"/>
      <c r="AC19" s="1082">
        <f>AC36</f>
        <v>103.14210121107462</v>
      </c>
      <c r="AD19" s="1082"/>
      <c r="AE19" s="1082">
        <f>AE36</f>
        <v>104.17352222318536</v>
      </c>
      <c r="AF19" s="1082"/>
      <c r="AG19" s="1082">
        <f>AG36</f>
        <v>105.21525744541721</v>
      </c>
      <c r="AH19" s="1082"/>
      <c r="AI19" s="1082">
        <f>AI36</f>
        <v>106.26741001987138</v>
      </c>
      <c r="AJ19" s="1082"/>
      <c r="AK19" s="239"/>
      <c r="AL19" s="1107">
        <f>SUM(O19:X19)/5</f>
        <v>98.14588689490499</v>
      </c>
      <c r="AM19" s="1107"/>
    </row>
    <row r="20" spans="1:39" s="427" customFormat="1" x14ac:dyDescent="0.25">
      <c r="A20" s="693"/>
      <c r="B20" s="7" t="s">
        <v>716</v>
      </c>
      <c r="D20" s="7"/>
      <c r="E20" s="7"/>
      <c r="F20" s="7"/>
      <c r="G20" s="186" t="e">
        <f>+(F19-D19)/D19</f>
        <v>#DIV/0!</v>
      </c>
      <c r="H20" s="7"/>
      <c r="I20" s="186" t="e">
        <f>+(H19-F19)/F19</f>
        <v>#DIV/0!</v>
      </c>
      <c r="J20" s="7"/>
      <c r="K20" s="186">
        <f>+(J19-H19)/H19</f>
        <v>-5.1591323738090451E-2</v>
      </c>
      <c r="L20" s="7"/>
      <c r="M20" s="186">
        <f>+(L19-J19)/J19</f>
        <v>1.795447258736782E-2</v>
      </c>
      <c r="N20" s="461"/>
      <c r="O20" s="460"/>
      <c r="P20" s="460"/>
      <c r="Q20" s="460"/>
      <c r="R20" s="460"/>
      <c r="S20" s="460"/>
      <c r="T20" s="460"/>
      <c r="U20" s="460"/>
      <c r="V20" s="460"/>
      <c r="W20" s="460"/>
      <c r="X20" s="460"/>
      <c r="Y20" s="460"/>
      <c r="Z20" s="460"/>
      <c r="AA20" s="460"/>
      <c r="AB20" s="460"/>
      <c r="AC20" s="460"/>
      <c r="AD20" s="460"/>
      <c r="AE20" s="460"/>
      <c r="AF20" s="460"/>
      <c r="AG20" s="460"/>
      <c r="AH20" s="460"/>
      <c r="AI20" s="460"/>
      <c r="AJ20" s="460"/>
      <c r="AK20" s="460"/>
      <c r="AL20" s="464"/>
      <c r="AM20" s="464"/>
    </row>
    <row r="21" spans="1:39" x14ac:dyDescent="0.25">
      <c r="A21" s="693"/>
      <c r="B21" t="s">
        <v>41</v>
      </c>
      <c r="D21" s="1082">
        <f>D17*D19</f>
        <v>0</v>
      </c>
      <c r="E21" s="1082"/>
      <c r="F21" s="1082">
        <f>F17*F19</f>
        <v>0</v>
      </c>
      <c r="G21" s="1082"/>
      <c r="H21" s="1082">
        <f>H17*H19</f>
        <v>67.286119999999997</v>
      </c>
      <c r="I21" s="1082"/>
      <c r="J21" s="1082">
        <f>J17*J19</f>
        <v>62.036909999999999</v>
      </c>
      <c r="K21" s="1082"/>
      <c r="L21" s="1082">
        <f>L17*L19</f>
        <v>65.627249999999989</v>
      </c>
      <c r="M21" s="1082"/>
      <c r="N21" s="35"/>
      <c r="O21" s="1080">
        <f>+O17*O19</f>
        <v>67.609192949999994</v>
      </c>
      <c r="P21" s="1080"/>
      <c r="Q21" s="1080">
        <f>+Q17*Q19</f>
        <v>68.968137728294991</v>
      </c>
      <c r="R21" s="1080"/>
      <c r="S21" s="1080">
        <f>+S17*S19</f>
        <v>70.354397296633721</v>
      </c>
      <c r="T21" s="1080"/>
      <c r="U21" s="1080">
        <f>+U17*U19</f>
        <v>71.768520682296071</v>
      </c>
      <c r="V21" s="1080"/>
      <c r="W21" s="1080">
        <f>+W17*W19</f>
        <v>72.486205889119034</v>
      </c>
      <c r="X21" s="1080"/>
      <c r="Y21" s="1080">
        <f>+Y17*Y19</f>
        <v>73.211067948010225</v>
      </c>
      <c r="Z21" s="1080"/>
      <c r="AA21" s="1080">
        <f>+AA17*AA19</f>
        <v>73.943178627490326</v>
      </c>
      <c r="AB21" s="1080"/>
      <c r="AC21" s="1080">
        <f>+AC17*AC19</f>
        <v>74.682610413765232</v>
      </c>
      <c r="AD21" s="1080"/>
      <c r="AE21" s="1080">
        <f>+AE17*AE19</f>
        <v>75.429436517902872</v>
      </c>
      <c r="AF21" s="1080"/>
      <c r="AG21" s="1080">
        <f>+AG17*AG19</f>
        <v>76.183730883081907</v>
      </c>
      <c r="AH21" s="1080"/>
      <c r="AI21" s="1080">
        <f>+AI17*AI19</f>
        <v>76.945568191912713</v>
      </c>
      <c r="AJ21" s="1080"/>
      <c r="AK21" s="242"/>
      <c r="AL21" s="1107">
        <f>SUM(O21:X21)/5</f>
        <v>70.237290909268751</v>
      </c>
      <c r="AM21" s="1107"/>
    </row>
    <row r="22" spans="1:39" x14ac:dyDescent="0.25">
      <c r="A22" s="693"/>
      <c r="B22" t="s">
        <v>669</v>
      </c>
      <c r="G22" s="186" t="e">
        <f>+(F21-D21)/D21</f>
        <v>#DIV/0!</v>
      </c>
      <c r="I22" s="186" t="e">
        <f>+(H21-F21)/F21</f>
        <v>#DIV/0!</v>
      </c>
      <c r="J22" s="186"/>
      <c r="K22" s="186">
        <f>+(J21-H21)/H21</f>
        <v>-7.8013266331897244E-2</v>
      </c>
      <c r="L22" s="186"/>
      <c r="M22" s="186">
        <f>+(L21-J21)/J21</f>
        <v>5.7874255826087899E-2</v>
      </c>
      <c r="P22" s="186">
        <f>(O21-L21)/L21</f>
        <v>3.0200000000000067E-2</v>
      </c>
      <c r="Q22" s="186"/>
      <c r="R22" s="186">
        <f>(Q21-O21)/O21</f>
        <v>2.0099999999999965E-2</v>
      </c>
      <c r="S22" s="186"/>
      <c r="T22" s="186">
        <f>(S21-Q21)/Q21</f>
        <v>2.0100000000000007E-2</v>
      </c>
      <c r="U22" s="186"/>
      <c r="V22" s="186">
        <f>(U21-S21)/S21</f>
        <v>2.0100000000000173E-2</v>
      </c>
      <c r="W22" s="186"/>
      <c r="X22" s="186">
        <f>(W21-U21)/U21</f>
        <v>1.000000000000004E-2</v>
      </c>
      <c r="Y22" s="186"/>
      <c r="Z22" s="186">
        <f>(Y21-W21)/W21</f>
        <v>1.0000000000000002E-2</v>
      </c>
      <c r="AA22" s="186"/>
      <c r="AB22" s="186">
        <f>(AA21-Y21)/Y21</f>
        <v>9.9999999999999846E-3</v>
      </c>
      <c r="AC22" s="186"/>
      <c r="AD22" s="186">
        <f>(AC21-AA21)/AA21</f>
        <v>1.000000000000004E-2</v>
      </c>
      <c r="AE22" s="186"/>
      <c r="AF22" s="186">
        <f>(AE21-AC21)/AC21</f>
        <v>9.9999999999998267E-3</v>
      </c>
      <c r="AG22" s="186"/>
      <c r="AH22" s="186">
        <f>(AG21-AE21)/AE21</f>
        <v>1.0000000000000087E-2</v>
      </c>
      <c r="AI22" s="186"/>
      <c r="AJ22" s="186">
        <f>(AI21-AG21)/AG21</f>
        <v>9.9999999999998302E-3</v>
      </c>
      <c r="AK22" s="186"/>
      <c r="AL22" s="1105">
        <f>SUM(O22:X22)/5</f>
        <v>2.0100000000000052E-2</v>
      </c>
      <c r="AM22" s="1105"/>
    </row>
    <row r="23" spans="1:39" x14ac:dyDescent="0.25">
      <c r="A23" s="768" t="s">
        <v>48</v>
      </c>
    </row>
    <row r="24" spans="1:39" x14ac:dyDescent="0.25">
      <c r="A24" s="693"/>
    </row>
    <row r="25" spans="1:39" x14ac:dyDescent="0.25">
      <c r="A25" s="693"/>
      <c r="B25" s="4" t="s">
        <v>46</v>
      </c>
      <c r="D25" s="1091" t="e">
        <f>D10/D17</f>
        <v>#DIV/0!</v>
      </c>
      <c r="E25" s="1091"/>
      <c r="F25" s="1091" t="e">
        <f>F10/F17</f>
        <v>#DIV/0!</v>
      </c>
      <c r="G25" s="1091"/>
      <c r="H25" s="1091">
        <f>H10/H17</f>
        <v>0.7595307917888563</v>
      </c>
      <c r="I25" s="1091"/>
      <c r="J25" s="1091">
        <f>J10/J17</f>
        <v>1.1040723981900451</v>
      </c>
      <c r="K25" s="1091"/>
      <c r="L25" s="1315">
        <f>L10/L17</f>
        <v>1.1088534107402033</v>
      </c>
      <c r="M25" s="1315"/>
      <c r="N25" s="7"/>
      <c r="O25" s="1081">
        <f>O10/O17</f>
        <v>1.1100000000000001</v>
      </c>
      <c r="P25" s="1081"/>
      <c r="Q25" s="1081">
        <f>Q10/Q17</f>
        <v>1.1100000000000001</v>
      </c>
      <c r="R25" s="1081"/>
      <c r="S25" s="1081">
        <f>S10/S17</f>
        <v>1.1100000000000001</v>
      </c>
      <c r="T25" s="1081"/>
      <c r="U25" s="1081">
        <f>U10/U17</f>
        <v>1.1100000000000001</v>
      </c>
      <c r="V25" s="1081"/>
      <c r="W25" s="1081">
        <f>W10/W17</f>
        <v>1.1100000000000001</v>
      </c>
      <c r="X25" s="1081"/>
      <c r="Y25" s="1081">
        <f>Y10/Y17</f>
        <v>1.1100000000000001</v>
      </c>
      <c r="Z25" s="1081"/>
      <c r="AA25" s="1081">
        <f>AA10/AA17</f>
        <v>1.1100000000000001</v>
      </c>
      <c r="AB25" s="1081"/>
      <c r="AC25" s="1081">
        <f>AC10/AC17</f>
        <v>1.1100000000000001</v>
      </c>
      <c r="AD25" s="1081"/>
      <c r="AE25" s="1081">
        <f>AE10/AE17</f>
        <v>1.1100000000000001</v>
      </c>
      <c r="AF25" s="1081"/>
      <c r="AG25" s="1081">
        <f>AG10/AG17</f>
        <v>1.1100000000000001</v>
      </c>
      <c r="AH25" s="1081"/>
      <c r="AI25" s="1081">
        <f>AI10/AI17</f>
        <v>1.1100000000000001</v>
      </c>
      <c r="AJ25" s="1081"/>
      <c r="AK25" s="243"/>
      <c r="AL25" s="1094">
        <f>SUM(O25:X25)/5</f>
        <v>1.1100000000000001</v>
      </c>
      <c r="AM25" s="1094"/>
    </row>
    <row r="26" spans="1:39" x14ac:dyDescent="0.25">
      <c r="A26" s="693"/>
      <c r="B26" s="4" t="s">
        <v>47</v>
      </c>
      <c r="D26" s="1091" t="e">
        <f>D12/D19</f>
        <v>#DIV/0!</v>
      </c>
      <c r="E26" s="1091"/>
      <c r="F26" s="1091" t="e">
        <f>F12/F19</f>
        <v>#DIV/0!</v>
      </c>
      <c r="G26" s="1091"/>
      <c r="H26" s="1091">
        <f>H12/H19</f>
        <v>1.1436245692276505</v>
      </c>
      <c r="I26" s="1091"/>
      <c r="J26" s="1091">
        <f>J12/J19</f>
        <v>1.1930105803142033</v>
      </c>
      <c r="K26" s="1091"/>
      <c r="L26" s="1315">
        <f>L12/L19</f>
        <v>1.1760629921259842</v>
      </c>
      <c r="M26" s="1315"/>
      <c r="N26" s="7"/>
      <c r="O26" s="1081">
        <f>O12/O19</f>
        <v>1.18</v>
      </c>
      <c r="P26" s="1081"/>
      <c r="Q26" s="1081">
        <f>Q12/Q19</f>
        <v>1.18</v>
      </c>
      <c r="R26" s="1081"/>
      <c r="S26" s="1081">
        <f>S12/S19</f>
        <v>1.18</v>
      </c>
      <c r="T26" s="1081"/>
      <c r="U26" s="1081">
        <f>U12/U19</f>
        <v>1.18</v>
      </c>
      <c r="V26" s="1081"/>
      <c r="W26" s="1081">
        <f>W12/W19</f>
        <v>1.18</v>
      </c>
      <c r="X26" s="1081"/>
      <c r="Y26" s="1081">
        <f>Y12/Y19</f>
        <v>1.18</v>
      </c>
      <c r="Z26" s="1081"/>
      <c r="AA26" s="1081">
        <f>AA12/AA19</f>
        <v>1.18</v>
      </c>
      <c r="AB26" s="1081"/>
      <c r="AC26" s="1081">
        <f>AC12/AC19</f>
        <v>1.18</v>
      </c>
      <c r="AD26" s="1081"/>
      <c r="AE26" s="1081">
        <f>AE12/AE19</f>
        <v>1.18</v>
      </c>
      <c r="AF26" s="1081"/>
      <c r="AG26" s="1081">
        <f>AG12/AG19</f>
        <v>1.18</v>
      </c>
      <c r="AH26" s="1081"/>
      <c r="AI26" s="1081">
        <f>AI12/AI19</f>
        <v>1.18</v>
      </c>
      <c r="AJ26" s="1081"/>
      <c r="AK26" s="243"/>
      <c r="AL26" s="1094">
        <f>SUM(O26:X26)/5</f>
        <v>1.18</v>
      </c>
      <c r="AM26" s="1094"/>
    </row>
    <row r="27" spans="1:39" x14ac:dyDescent="0.25">
      <c r="A27" s="693"/>
      <c r="B27" t="s">
        <v>43</v>
      </c>
      <c r="D27" s="1092" t="e">
        <f>D14/D21</f>
        <v>#DIV/0!</v>
      </c>
      <c r="E27" s="1092"/>
      <c r="F27" s="1092" t="e">
        <f>F14/F21</f>
        <v>#DIV/0!</v>
      </c>
      <c r="G27" s="1092"/>
      <c r="H27" s="1092">
        <f>H14/H21</f>
        <v>0.86861807457466711</v>
      </c>
      <c r="I27" s="1092"/>
      <c r="J27" s="1092">
        <f>J14/J21</f>
        <v>1.3171700524735999</v>
      </c>
      <c r="K27" s="1092"/>
      <c r="L27" s="1092">
        <f>L14/L21</f>
        <v>1.3040814600642265</v>
      </c>
      <c r="M27" s="1092"/>
      <c r="N27" s="22"/>
      <c r="O27" s="1081">
        <f>O14/O21</f>
        <v>1.3098000000000001</v>
      </c>
      <c r="P27" s="1081"/>
      <c r="Q27" s="1081">
        <f>Q14/Q21</f>
        <v>1.3098000000000001</v>
      </c>
      <c r="R27" s="1081"/>
      <c r="S27" s="1081">
        <f>S14/S21</f>
        <v>1.3098000000000001</v>
      </c>
      <c r="T27" s="1081"/>
      <c r="U27" s="1081">
        <f>U14/U21</f>
        <v>1.3098000000000001</v>
      </c>
      <c r="V27" s="1081"/>
      <c r="W27" s="1081">
        <f>W14/W21</f>
        <v>1.3098000000000001</v>
      </c>
      <c r="X27" s="1081"/>
      <c r="Y27" s="1081">
        <f>Y14/Y21</f>
        <v>1.3098000000000001</v>
      </c>
      <c r="Z27" s="1081"/>
      <c r="AA27" s="1081">
        <f>AA14/AA21</f>
        <v>1.3098000000000001</v>
      </c>
      <c r="AB27" s="1081"/>
      <c r="AC27" s="1081">
        <f>AC14/AC21</f>
        <v>1.3098000000000001</v>
      </c>
      <c r="AD27" s="1081"/>
      <c r="AE27" s="1081">
        <f>AE14/AE21</f>
        <v>1.3098000000000003</v>
      </c>
      <c r="AF27" s="1081"/>
      <c r="AG27" s="1081">
        <f>AG14/AG21</f>
        <v>1.3098000000000001</v>
      </c>
      <c r="AH27" s="1081"/>
      <c r="AI27" s="1081">
        <f>AI14/AI21</f>
        <v>1.3098000000000003</v>
      </c>
      <c r="AJ27" s="1081"/>
      <c r="AK27" s="243"/>
      <c r="AL27" s="1094">
        <f>SUM(O27:X27)/5</f>
        <v>1.3098000000000001</v>
      </c>
      <c r="AM27" s="1094"/>
    </row>
    <row r="28" spans="1:39" x14ac:dyDescent="0.25">
      <c r="A28" s="194"/>
      <c r="O28" s="6"/>
    </row>
    <row r="29" spans="1:39" x14ac:dyDescent="0.25">
      <c r="A29" s="768" t="s">
        <v>89</v>
      </c>
    </row>
    <row r="30" spans="1:39" x14ac:dyDescent="0.25">
      <c r="A30" s="194"/>
      <c r="C30" s="165"/>
      <c r="D30" s="165"/>
      <c r="E30" s="165"/>
      <c r="F30" s="165"/>
      <c r="G30" s="165"/>
    </row>
    <row r="31" spans="1:39" x14ac:dyDescent="0.25">
      <c r="A31" s="194"/>
      <c r="B31" s="4" t="s">
        <v>46</v>
      </c>
      <c r="C31" s="165"/>
      <c r="D31" s="531"/>
      <c r="E31" s="531"/>
      <c r="F31" s="531"/>
      <c r="G31" s="531"/>
      <c r="H31" s="1093"/>
      <c r="I31" s="1093"/>
      <c r="J31" s="1093"/>
      <c r="K31" s="1093"/>
      <c r="L31" s="1093"/>
      <c r="M31" s="1093"/>
      <c r="O31" s="1089">
        <v>1.1100000000000001</v>
      </c>
      <c r="P31" s="1090"/>
      <c r="Q31" s="1099">
        <v>1.1100000000000001</v>
      </c>
      <c r="R31" s="1099"/>
      <c r="S31" s="1089">
        <v>1.1100000000000001</v>
      </c>
      <c r="T31" s="1090"/>
      <c r="U31" s="1099">
        <v>1.1100000000000001</v>
      </c>
      <c r="V31" s="1099"/>
      <c r="W31" s="1089">
        <v>1.1100000000000001</v>
      </c>
      <c r="X31" s="1090"/>
      <c r="Y31" s="1099">
        <v>1.1100000000000001</v>
      </c>
      <c r="Z31" s="1099"/>
      <c r="AA31" s="1089">
        <v>1.1100000000000001</v>
      </c>
      <c r="AB31" s="1090"/>
      <c r="AC31" s="1099">
        <v>1.1100000000000001</v>
      </c>
      <c r="AD31" s="1099"/>
      <c r="AE31" s="1089">
        <v>1.1100000000000001</v>
      </c>
      <c r="AF31" s="1090"/>
      <c r="AG31" s="1099">
        <v>1.1100000000000001</v>
      </c>
      <c r="AH31" s="1099"/>
      <c r="AI31" s="1089">
        <v>1.1100000000000001</v>
      </c>
      <c r="AJ31" s="1090"/>
      <c r="AK31" s="631"/>
      <c r="AL31" s="1094">
        <f t="shared" ref="AL31:AL37" si="0">SUM(O31:X31)/5</f>
        <v>1.1100000000000001</v>
      </c>
      <c r="AM31" s="1094"/>
    </row>
    <row r="32" spans="1:39" x14ac:dyDescent="0.25">
      <c r="A32" s="194"/>
      <c r="B32" s="4" t="s">
        <v>47</v>
      </c>
      <c r="C32" s="165"/>
      <c r="D32" s="531"/>
      <c r="E32" s="531"/>
      <c r="F32" s="531"/>
      <c r="G32" s="531"/>
      <c r="H32" s="1093"/>
      <c r="I32" s="1093"/>
      <c r="J32" s="1093"/>
      <c r="K32" s="1093"/>
      <c r="L32" s="1093"/>
      <c r="M32" s="1093"/>
      <c r="O32" s="1089">
        <v>1.18</v>
      </c>
      <c r="P32" s="1090"/>
      <c r="Q32" s="1102">
        <v>1.18</v>
      </c>
      <c r="R32" s="1102"/>
      <c r="S32" s="1089">
        <v>1.18</v>
      </c>
      <c r="T32" s="1090"/>
      <c r="U32" s="1102">
        <v>1.18</v>
      </c>
      <c r="V32" s="1102"/>
      <c r="W32" s="1089">
        <v>1.18</v>
      </c>
      <c r="X32" s="1090"/>
      <c r="Y32" s="1102">
        <v>1.18</v>
      </c>
      <c r="Z32" s="1102"/>
      <c r="AA32" s="1089">
        <v>1.18</v>
      </c>
      <c r="AB32" s="1090"/>
      <c r="AC32" s="1102">
        <v>1.18</v>
      </c>
      <c r="AD32" s="1102"/>
      <c r="AE32" s="1089">
        <v>1.18</v>
      </c>
      <c r="AF32" s="1090"/>
      <c r="AG32" s="1102">
        <v>1.18</v>
      </c>
      <c r="AH32" s="1102"/>
      <c r="AI32" s="1089">
        <v>1.18</v>
      </c>
      <c r="AJ32" s="1090"/>
      <c r="AK32" s="631"/>
      <c r="AL32" s="1094">
        <f t="shared" si="0"/>
        <v>1.18</v>
      </c>
      <c r="AM32" s="1094"/>
    </row>
    <row r="33" spans="1:39" x14ac:dyDescent="0.25">
      <c r="A33" s="194"/>
      <c r="B33" t="s">
        <v>96</v>
      </c>
      <c r="C33" s="165"/>
      <c r="D33" s="531"/>
      <c r="E33" s="531"/>
      <c r="F33" s="531"/>
      <c r="G33" s="531"/>
      <c r="H33" s="452"/>
      <c r="I33" s="452"/>
      <c r="J33" s="452"/>
      <c r="K33" s="452"/>
      <c r="L33" s="452"/>
      <c r="M33" s="452"/>
      <c r="O33" s="1100">
        <f>+V141</f>
        <v>2.0000000000000018E-2</v>
      </c>
      <c r="P33" s="1100"/>
      <c r="Q33" s="1100">
        <f>+V142</f>
        <v>1.0000000000000009E-2</v>
      </c>
      <c r="R33" s="1100"/>
      <c r="S33" s="1100">
        <f>+V143</f>
        <v>1.0000000000000009E-2</v>
      </c>
      <c r="T33" s="1100"/>
      <c r="U33" s="1100">
        <f>+V144</f>
        <v>1.000000000000012E-2</v>
      </c>
      <c r="V33" s="1100"/>
      <c r="W33" s="1100">
        <f>+V145</f>
        <v>0</v>
      </c>
      <c r="X33" s="1100"/>
      <c r="Y33" s="1100">
        <f>+W33</f>
        <v>0</v>
      </c>
      <c r="Z33" s="1100"/>
      <c r="AA33" s="1100">
        <f>+Y33</f>
        <v>0</v>
      </c>
      <c r="AB33" s="1100"/>
      <c r="AC33" s="1100">
        <f>+AA33</f>
        <v>0</v>
      </c>
      <c r="AD33" s="1100"/>
      <c r="AE33" s="1100">
        <f>+AC33</f>
        <v>0</v>
      </c>
      <c r="AF33" s="1100"/>
      <c r="AG33" s="1100">
        <f>+AE33</f>
        <v>0</v>
      </c>
      <c r="AH33" s="1100"/>
      <c r="AI33" s="1100">
        <f>+AG33</f>
        <v>0</v>
      </c>
      <c r="AJ33" s="1100"/>
      <c r="AK33" s="632"/>
      <c r="AL33" s="1094">
        <f t="shared" si="0"/>
        <v>1.0000000000000031E-2</v>
      </c>
      <c r="AM33" s="1094"/>
    </row>
    <row r="34" spans="1:39" x14ac:dyDescent="0.25">
      <c r="A34" s="194"/>
      <c r="B34" t="s">
        <v>52</v>
      </c>
      <c r="C34" s="165"/>
      <c r="D34" s="531"/>
      <c r="E34" s="531"/>
      <c r="F34" s="531"/>
      <c r="G34" s="531"/>
      <c r="H34" s="1093"/>
      <c r="I34" s="1093"/>
      <c r="J34" s="1093"/>
      <c r="K34" s="1093"/>
      <c r="L34" s="1093"/>
      <c r="M34" s="1093"/>
      <c r="O34" s="1088">
        <v>0.01</v>
      </c>
      <c r="P34" s="1088"/>
      <c r="Q34" s="1088">
        <v>0.01</v>
      </c>
      <c r="R34" s="1088"/>
      <c r="S34" s="1088">
        <v>0.01</v>
      </c>
      <c r="T34" s="1088"/>
      <c r="U34" s="1088">
        <v>0.01</v>
      </c>
      <c r="V34" s="1088"/>
      <c r="W34" s="1088">
        <v>0.01</v>
      </c>
      <c r="X34" s="1088"/>
      <c r="Y34" s="1088">
        <v>0.01</v>
      </c>
      <c r="Z34" s="1088"/>
      <c r="AA34" s="1088">
        <v>0.01</v>
      </c>
      <c r="AB34" s="1088"/>
      <c r="AC34" s="1088">
        <v>0.01</v>
      </c>
      <c r="AD34" s="1088"/>
      <c r="AE34" s="1088">
        <v>0.01</v>
      </c>
      <c r="AF34" s="1088"/>
      <c r="AG34" s="1088">
        <v>0.01</v>
      </c>
      <c r="AH34" s="1088"/>
      <c r="AI34" s="1088">
        <v>0.01</v>
      </c>
      <c r="AJ34" s="1088"/>
      <c r="AK34" s="632"/>
      <c r="AL34" s="1094">
        <f t="shared" si="0"/>
        <v>0.01</v>
      </c>
      <c r="AM34" s="1094"/>
    </row>
    <row r="35" spans="1:39" x14ac:dyDescent="0.25">
      <c r="A35" s="194"/>
      <c r="B35" t="s">
        <v>98</v>
      </c>
      <c r="D35" s="531"/>
      <c r="E35" s="531"/>
      <c r="F35" s="531"/>
      <c r="G35" s="531"/>
      <c r="H35" s="452"/>
      <c r="I35" s="452"/>
      <c r="J35" s="452"/>
      <c r="K35" s="452"/>
      <c r="L35" s="452"/>
      <c r="M35" s="452"/>
      <c r="O35" s="1101">
        <f>+L17*(1+O33)</f>
        <v>0.70277999999999996</v>
      </c>
      <c r="P35" s="1101"/>
      <c r="Q35" s="1101">
        <f>+O35*(1+Q33)</f>
        <v>0.70980779999999999</v>
      </c>
      <c r="R35" s="1101"/>
      <c r="S35" s="1101">
        <f>+Q35*(1+S33)</f>
        <v>0.71690587799999994</v>
      </c>
      <c r="T35" s="1101"/>
      <c r="U35" s="1101">
        <f>+S35*(1+U33)</f>
        <v>0.72407493678000012</v>
      </c>
      <c r="V35" s="1101"/>
      <c r="W35" s="1101">
        <f>+U35*(1+W33)</f>
        <v>0.72407493678000012</v>
      </c>
      <c r="X35" s="1101"/>
      <c r="Y35" s="1101">
        <f>+W35*(1+Y33)</f>
        <v>0.72407493678000012</v>
      </c>
      <c r="Z35" s="1101"/>
      <c r="AA35" s="1101">
        <f>+Y35*(1+AA33)</f>
        <v>0.72407493678000012</v>
      </c>
      <c r="AB35" s="1101"/>
      <c r="AC35" s="1101">
        <f>+AA35*(1+AC33)</f>
        <v>0.72407493678000012</v>
      </c>
      <c r="AD35" s="1101"/>
      <c r="AE35" s="1101">
        <f>+AC35*(1+AE33)</f>
        <v>0.72407493678000012</v>
      </c>
      <c r="AF35" s="1101"/>
      <c r="AG35" s="1101">
        <f>+AE35*(1+AG33)</f>
        <v>0.72407493678000012</v>
      </c>
      <c r="AH35" s="1101"/>
      <c r="AI35" s="1101">
        <f>+AG35*(1+AI33)</f>
        <v>0.72407493678000012</v>
      </c>
      <c r="AJ35" s="1101"/>
      <c r="AK35" s="247"/>
      <c r="AL35" s="1094">
        <f t="shared" si="0"/>
        <v>0.71552871031200005</v>
      </c>
      <c r="AM35" s="1094"/>
    </row>
    <row r="36" spans="1:39" x14ac:dyDescent="0.25">
      <c r="A36" s="194"/>
      <c r="B36" t="s">
        <v>97</v>
      </c>
      <c r="D36" s="531"/>
      <c r="E36" s="531"/>
      <c r="F36" s="531"/>
      <c r="G36" s="531"/>
      <c r="H36" s="452"/>
      <c r="I36" s="452"/>
      <c r="J36" s="452"/>
      <c r="K36" s="452"/>
      <c r="L36" s="452"/>
      <c r="M36" s="452"/>
      <c r="O36" s="1096">
        <f>+L19*(1+O34)</f>
        <v>96.202500000000001</v>
      </c>
      <c r="P36" s="1096"/>
      <c r="Q36" s="1096">
        <f>+O36*(1+Q34)</f>
        <v>97.164524999999998</v>
      </c>
      <c r="R36" s="1096"/>
      <c r="S36" s="1096">
        <f>+Q36*(1+S34)</f>
        <v>98.136170249999992</v>
      </c>
      <c r="T36" s="1096"/>
      <c r="U36" s="1096">
        <f>+S36*(1+U34)</f>
        <v>99.117531952499988</v>
      </c>
      <c r="V36" s="1096"/>
      <c r="W36" s="1096">
        <f>+U36*(1+W34)</f>
        <v>100.10870727202499</v>
      </c>
      <c r="X36" s="1096"/>
      <c r="Y36" s="1096">
        <f>+W36*(1+Y34)</f>
        <v>101.10979434474524</v>
      </c>
      <c r="Z36" s="1096"/>
      <c r="AA36" s="1096">
        <f>+Y36*(1+AA34)</f>
        <v>102.12089228819269</v>
      </c>
      <c r="AB36" s="1096"/>
      <c r="AC36" s="1096">
        <f>+AA36*(1+AC34)</f>
        <v>103.14210121107462</v>
      </c>
      <c r="AD36" s="1096"/>
      <c r="AE36" s="1096">
        <f>+AC36*(1+AE34)</f>
        <v>104.17352222318536</v>
      </c>
      <c r="AF36" s="1096"/>
      <c r="AG36" s="1096">
        <f>+AE36*(1+AG34)</f>
        <v>105.21525744541721</v>
      </c>
      <c r="AH36" s="1096"/>
      <c r="AI36" s="1096">
        <f>+AG36*(1+AI34)</f>
        <v>106.26741001987138</v>
      </c>
      <c r="AJ36" s="1096"/>
      <c r="AK36" s="246"/>
      <c r="AL36" s="1095">
        <f t="shared" si="0"/>
        <v>98.14588689490499</v>
      </c>
      <c r="AM36" s="1095"/>
    </row>
    <row r="37" spans="1:39" x14ac:dyDescent="0.25">
      <c r="A37" s="194"/>
      <c r="B37" t="s">
        <v>90</v>
      </c>
      <c r="D37" s="531"/>
      <c r="E37" s="531"/>
      <c r="F37" s="531"/>
      <c r="G37" s="531"/>
      <c r="H37" s="452"/>
      <c r="I37" s="452"/>
      <c r="J37" s="452"/>
      <c r="K37" s="452"/>
      <c r="L37" s="452"/>
      <c r="M37" s="452"/>
      <c r="O37" s="1096">
        <f>O35*O36</f>
        <v>67.609192949999994</v>
      </c>
      <c r="P37" s="1096"/>
      <c r="Q37" s="1096">
        <f>Q35*Q36</f>
        <v>68.968137728294991</v>
      </c>
      <c r="R37" s="1096"/>
      <c r="S37" s="1096">
        <f>S35*S36</f>
        <v>70.354397296633721</v>
      </c>
      <c r="T37" s="1096"/>
      <c r="U37" s="1096">
        <f>U35*U36</f>
        <v>71.768520682296071</v>
      </c>
      <c r="V37" s="1096"/>
      <c r="W37" s="1096">
        <f>W35*W36</f>
        <v>72.486205889119034</v>
      </c>
      <c r="X37" s="1096"/>
      <c r="Y37" s="1096">
        <f>Y35*Y36</f>
        <v>73.211067948010225</v>
      </c>
      <c r="Z37" s="1096"/>
      <c r="AA37" s="1096">
        <f>AA35*AA36</f>
        <v>73.943178627490326</v>
      </c>
      <c r="AB37" s="1096"/>
      <c r="AC37" s="1096">
        <f>AC35*AC36</f>
        <v>74.682610413765232</v>
      </c>
      <c r="AD37" s="1096"/>
      <c r="AE37" s="1096">
        <f>AE35*AE36</f>
        <v>75.429436517902872</v>
      </c>
      <c r="AF37" s="1096"/>
      <c r="AG37" s="1096">
        <f>AG35*AG36</f>
        <v>76.183730883081907</v>
      </c>
      <c r="AH37" s="1096"/>
      <c r="AI37" s="1096">
        <f>AI35*AI36</f>
        <v>76.945568191912713</v>
      </c>
      <c r="AJ37" s="1096"/>
      <c r="AK37" s="246"/>
      <c r="AL37" s="1095">
        <f t="shared" si="0"/>
        <v>70.237290909268751</v>
      </c>
      <c r="AM37" s="1095"/>
    </row>
    <row r="38" spans="1:39" x14ac:dyDescent="0.25">
      <c r="A38" s="194"/>
    </row>
    <row r="39" spans="1:39" x14ac:dyDescent="0.25">
      <c r="A39" s="768" t="s">
        <v>51</v>
      </c>
    </row>
    <row r="40" spans="1:39" x14ac:dyDescent="0.25">
      <c r="A40" s="194"/>
      <c r="B40" s="4" t="s">
        <v>49</v>
      </c>
      <c r="H40" s="1060"/>
      <c r="I40" s="1060"/>
      <c r="J40" s="1060"/>
      <c r="K40" s="1060"/>
      <c r="L40" s="1060"/>
      <c r="M40" s="1060"/>
      <c r="O40" s="1103">
        <f>O31*O35</f>
        <v>0.78008580000000005</v>
      </c>
      <c r="P40" s="1103"/>
      <c r="Q40" s="1103">
        <f>Q31*Q35</f>
        <v>0.78788665800000002</v>
      </c>
      <c r="R40" s="1103"/>
      <c r="S40" s="1103">
        <f>S31*S35</f>
        <v>0.79576552458000005</v>
      </c>
      <c r="T40" s="1103"/>
      <c r="U40" s="1103">
        <f>U31*U35</f>
        <v>0.80372317982580022</v>
      </c>
      <c r="V40" s="1103"/>
      <c r="W40" s="1103">
        <f>W31*W35</f>
        <v>0.80372317982580022</v>
      </c>
      <c r="X40" s="1103"/>
      <c r="Y40" s="1103">
        <f>Y31*Y35</f>
        <v>0.80372317982580022</v>
      </c>
      <c r="Z40" s="1103"/>
      <c r="AA40" s="1103">
        <f>AA31*AA35</f>
        <v>0.80372317982580022</v>
      </c>
      <c r="AB40" s="1103"/>
      <c r="AC40" s="1103">
        <f>AC31*AC35</f>
        <v>0.80372317982580022</v>
      </c>
      <c r="AD40" s="1103"/>
      <c r="AE40" s="1103">
        <f>AE31*AE35</f>
        <v>0.80372317982580022</v>
      </c>
      <c r="AF40" s="1103"/>
      <c r="AG40" s="1103">
        <f>AG31*AG35</f>
        <v>0.80372317982580022</v>
      </c>
      <c r="AH40" s="1103"/>
      <c r="AI40" s="1103">
        <f>AI31*AI35</f>
        <v>0.80372317982580022</v>
      </c>
      <c r="AJ40" s="1103"/>
      <c r="AK40" s="245"/>
      <c r="AL40" s="1094">
        <f>SUM(O40:X40)/5</f>
        <v>0.79423686844632013</v>
      </c>
      <c r="AM40" s="1094"/>
    </row>
    <row r="41" spans="1:39" x14ac:dyDescent="0.25">
      <c r="A41" s="194"/>
      <c r="B41" s="4" t="s">
        <v>50</v>
      </c>
      <c r="D41" s="531"/>
      <c r="E41" s="531"/>
      <c r="F41" s="531"/>
      <c r="G41" s="531"/>
      <c r="H41" s="1093"/>
      <c r="I41" s="1093"/>
      <c r="J41" s="1093"/>
      <c r="K41" s="1093"/>
      <c r="L41" s="1093"/>
      <c r="M41" s="1093"/>
      <c r="O41" s="1095">
        <f>O32*O36</f>
        <v>113.51894999999999</v>
      </c>
      <c r="P41" s="1095"/>
      <c r="Q41" s="1095">
        <f>Q32*Q36</f>
        <v>114.65413949999999</v>
      </c>
      <c r="R41" s="1095"/>
      <c r="S41" s="1095">
        <f>S32*S36</f>
        <v>115.80068089499999</v>
      </c>
      <c r="T41" s="1095"/>
      <c r="U41" s="1095">
        <f>U32*U36</f>
        <v>116.95868770394998</v>
      </c>
      <c r="V41" s="1095"/>
      <c r="W41" s="1095">
        <f>W32*W36</f>
        <v>118.12827458098948</v>
      </c>
      <c r="X41" s="1095"/>
      <c r="Y41" s="1095">
        <f>Y32*Y36</f>
        <v>119.30955732679938</v>
      </c>
      <c r="Z41" s="1095"/>
      <c r="AA41" s="1095">
        <f>AA32*AA36</f>
        <v>120.50265290006737</v>
      </c>
      <c r="AB41" s="1095"/>
      <c r="AC41" s="1095">
        <f>AC32*AC36</f>
        <v>121.70767942906804</v>
      </c>
      <c r="AD41" s="1095"/>
      <c r="AE41" s="1095">
        <f>AE32*AE36</f>
        <v>122.92475622335871</v>
      </c>
      <c r="AF41" s="1095"/>
      <c r="AG41" s="1095">
        <f>AG32*AG36</f>
        <v>124.15400378559229</v>
      </c>
      <c r="AH41" s="1095"/>
      <c r="AI41" s="1095">
        <f>AI32*AI36</f>
        <v>125.39554382344822</v>
      </c>
      <c r="AJ41" s="1095"/>
      <c r="AK41" s="248"/>
      <c r="AL41" s="1095">
        <f>SUM(O41:X41)/5</f>
        <v>115.81214653598788</v>
      </c>
      <c r="AM41" s="1095"/>
    </row>
    <row r="42" spans="1:39" x14ac:dyDescent="0.25">
      <c r="A42" s="194"/>
      <c r="B42" t="s">
        <v>99</v>
      </c>
      <c r="D42" s="531"/>
      <c r="E42" s="531"/>
      <c r="F42" s="531"/>
      <c r="G42" s="531"/>
      <c r="H42" s="452"/>
      <c r="I42" s="452"/>
      <c r="J42" s="452"/>
      <c r="K42" s="452"/>
      <c r="L42" s="452"/>
      <c r="M42" s="452"/>
      <c r="O42" s="1095">
        <f>O40*O41</f>
        <v>88.554520925909998</v>
      </c>
      <c r="P42" s="1095"/>
      <c r="Q42" s="1095">
        <f>Q40*Q41</f>
        <v>90.334466796520786</v>
      </c>
      <c r="R42" s="1095"/>
      <c r="S42" s="1095">
        <f>S40*S41</f>
        <v>92.150189579130853</v>
      </c>
      <c r="T42" s="1095"/>
      <c r="U42" s="1095">
        <f>U40*U41</f>
        <v>94.002408389671402</v>
      </c>
      <c r="V42" s="1095"/>
      <c r="W42" s="1095">
        <f>W40*W41</f>
        <v>94.942432473568118</v>
      </c>
      <c r="X42" s="1095"/>
      <c r="Y42" s="1095">
        <f>Y40*Y41</f>
        <v>95.891856798303792</v>
      </c>
      <c r="Z42" s="1095"/>
      <c r="AA42" s="1095">
        <f>AA40*AA41</f>
        <v>96.85077536628684</v>
      </c>
      <c r="AB42" s="1095"/>
      <c r="AC42" s="1095">
        <f>AC40*AC41</f>
        <v>97.819283119949702</v>
      </c>
      <c r="AD42" s="1095"/>
      <c r="AE42" s="1095">
        <f>AE40*AE41</f>
        <v>98.797475951149195</v>
      </c>
      <c r="AF42" s="1095"/>
      <c r="AG42" s="1095">
        <f>AG40*AG41</f>
        <v>99.785450710660683</v>
      </c>
      <c r="AH42" s="1095"/>
      <c r="AI42" s="1095">
        <f>AI40*AI41</f>
        <v>100.78330521776729</v>
      </c>
      <c r="AJ42" s="1095"/>
      <c r="AK42" s="248"/>
      <c r="AL42" s="1095">
        <f>SUM(O42:X42)/5</f>
        <v>91.996803632960223</v>
      </c>
      <c r="AM42" s="1095"/>
    </row>
    <row r="43" spans="1:39" x14ac:dyDescent="0.25">
      <c r="A43" s="194"/>
      <c r="B43" t="s">
        <v>91</v>
      </c>
      <c r="D43" s="531"/>
      <c r="E43" s="531"/>
      <c r="F43" s="531"/>
      <c r="G43" s="531"/>
      <c r="H43" s="1093"/>
      <c r="I43" s="1093"/>
      <c r="J43" s="1093"/>
      <c r="K43" s="1093"/>
      <c r="L43" s="1093"/>
      <c r="M43" s="1093"/>
      <c r="O43" s="1094">
        <f>O42/O37</f>
        <v>1.3098000000000001</v>
      </c>
      <c r="P43" s="1094"/>
      <c r="Q43" s="1094">
        <f>Q42/Q37</f>
        <v>1.3098000000000001</v>
      </c>
      <c r="R43" s="1094"/>
      <c r="S43" s="1094">
        <f>S42/S37</f>
        <v>1.3098000000000001</v>
      </c>
      <c r="T43" s="1094"/>
      <c r="U43" s="1094">
        <f>U42/U37</f>
        <v>1.3098000000000001</v>
      </c>
      <c r="V43" s="1094"/>
      <c r="W43" s="1094">
        <f>W42/W37</f>
        <v>1.3098000000000001</v>
      </c>
      <c r="X43" s="1094"/>
      <c r="Y43" s="1094">
        <f>Y42/Y37</f>
        <v>1.3098000000000001</v>
      </c>
      <c r="Z43" s="1094"/>
      <c r="AA43" s="1094">
        <f>AA42/AA37</f>
        <v>1.3098000000000001</v>
      </c>
      <c r="AB43" s="1094"/>
      <c r="AC43" s="1094">
        <f>AC42/AC37</f>
        <v>1.3098000000000001</v>
      </c>
      <c r="AD43" s="1094"/>
      <c r="AE43" s="1094">
        <f>AE42/AE37</f>
        <v>1.3098000000000003</v>
      </c>
      <c r="AF43" s="1094"/>
      <c r="AG43" s="1094">
        <f>AG42/AG37</f>
        <v>1.3098000000000001</v>
      </c>
      <c r="AH43" s="1094"/>
      <c r="AI43" s="1094">
        <f>AI42/AI37</f>
        <v>1.3098000000000003</v>
      </c>
      <c r="AJ43" s="1094"/>
      <c r="AK43" s="244"/>
      <c r="AL43" s="1094">
        <f>AL42/AL37</f>
        <v>1.3098000000000001</v>
      </c>
      <c r="AM43" s="1094"/>
    </row>
    <row r="44" spans="1:39" x14ac:dyDescent="0.25">
      <c r="A44" s="194"/>
      <c r="B44" s="11"/>
    </row>
    <row r="45" spans="1:39" x14ac:dyDescent="0.25">
      <c r="A45" s="194" t="s">
        <v>426</v>
      </c>
      <c r="C45" s="165">
        <f>(C55)</f>
        <v>125</v>
      </c>
      <c r="D45" s="165"/>
      <c r="E45" s="165"/>
      <c r="F45" s="165"/>
      <c r="G45" s="165"/>
    </row>
    <row r="46" spans="1:39" x14ac:dyDescent="0.25">
      <c r="A46" s="194" t="s">
        <v>427</v>
      </c>
      <c r="C46" s="165">
        <f>(C66)</f>
        <v>529</v>
      </c>
      <c r="D46" s="165"/>
      <c r="E46" s="165"/>
      <c r="F46" s="165"/>
      <c r="G46" s="165"/>
    </row>
    <row r="47" spans="1:39" x14ac:dyDescent="0.25">
      <c r="A47" s="194" t="s">
        <v>237</v>
      </c>
      <c r="C47" s="284">
        <f>COUNTA(B55:B65)</f>
        <v>5</v>
      </c>
      <c r="D47" s="284"/>
      <c r="E47" s="284"/>
      <c r="F47" s="284"/>
      <c r="G47" s="284"/>
    </row>
    <row r="48" spans="1:39" x14ac:dyDescent="0.25">
      <c r="A48" s="194" t="s">
        <v>424</v>
      </c>
      <c r="C48" s="284">
        <f>COUNTA(B55:B65,B125:B135)</f>
        <v>5</v>
      </c>
      <c r="D48" s="284"/>
      <c r="E48" s="284"/>
      <c r="F48" s="284"/>
      <c r="G48" s="284"/>
    </row>
    <row r="49" spans="1:53" x14ac:dyDescent="0.25">
      <c r="A49" s="194" t="s">
        <v>425</v>
      </c>
      <c r="C49" s="284">
        <f>+C118+C83</f>
        <v>1058</v>
      </c>
      <c r="D49" s="284"/>
      <c r="E49" s="284"/>
      <c r="F49" s="284"/>
      <c r="G49" s="284"/>
      <c r="AB49" s="103"/>
      <c r="AC49" s="103"/>
      <c r="AD49" s="103"/>
    </row>
    <row r="50" spans="1:53" ht="15.75" thickBot="1" x14ac:dyDescent="0.3">
      <c r="A50" s="194"/>
      <c r="C50" s="284"/>
      <c r="D50" s="284"/>
      <c r="E50" s="284"/>
      <c r="F50" s="284"/>
      <c r="G50" s="284"/>
      <c r="I50" s="279"/>
      <c r="J50" s="279"/>
      <c r="K50" s="279"/>
      <c r="L50" s="279"/>
      <c r="M50" s="279"/>
      <c r="N50" s="279"/>
      <c r="O50" s="279"/>
      <c r="P50" s="279"/>
      <c r="Q50" s="279"/>
      <c r="R50" s="279"/>
      <c r="S50" s="279"/>
      <c r="AB50" s="103"/>
      <c r="AC50" s="103"/>
      <c r="AD50" s="103"/>
    </row>
    <row r="51" spans="1:53" ht="18.75" x14ac:dyDescent="0.3">
      <c r="A51" s="285" t="s">
        <v>428</v>
      </c>
      <c r="B51" s="286"/>
      <c r="C51" s="451"/>
      <c r="D51" s="451"/>
      <c r="E51" s="451"/>
      <c r="F51" s="451"/>
      <c r="G51" s="451"/>
      <c r="H51" s="286"/>
      <c r="I51" s="1111" t="s">
        <v>712</v>
      </c>
      <c r="J51" s="1111"/>
      <c r="K51" s="1111"/>
      <c r="L51" s="1111"/>
      <c r="M51" s="1111"/>
      <c r="N51" s="1111"/>
      <c r="O51" s="1111"/>
      <c r="P51" s="1111"/>
      <c r="Q51" s="407"/>
      <c r="R51" s="407"/>
      <c r="S51" s="286"/>
      <c r="T51" s="286"/>
      <c r="U51" s="286"/>
      <c r="V51" s="407"/>
      <c r="W51" s="407"/>
      <c r="X51" s="407"/>
      <c r="Y51" s="407"/>
      <c r="Z51" s="286"/>
      <c r="AA51" s="286"/>
      <c r="AB51" s="103"/>
      <c r="AC51" s="103"/>
      <c r="AD51" s="103"/>
      <c r="AL51" s="299" t="s">
        <v>435</v>
      </c>
      <c r="AM51" s="310"/>
      <c r="AN51" s="310"/>
      <c r="AO51" s="310"/>
      <c r="AP51" s="310"/>
      <c r="AQ51" s="286"/>
      <c r="AR51" s="286"/>
      <c r="AS51" s="286"/>
      <c r="AT51" s="287"/>
      <c r="AV51" s="301"/>
      <c r="AW51" s="286"/>
      <c r="AX51" s="286"/>
      <c r="AY51" s="286"/>
      <c r="AZ51" s="286"/>
      <c r="BA51" s="287"/>
    </row>
    <row r="52" spans="1:53" x14ac:dyDescent="0.25">
      <c r="A52" s="288"/>
      <c r="B52" s="103"/>
      <c r="C52" s="289"/>
      <c r="D52" s="289"/>
      <c r="E52" s="289"/>
      <c r="F52" s="289"/>
      <c r="G52" s="289"/>
      <c r="H52" s="103"/>
      <c r="I52" s="103"/>
      <c r="J52" s="103"/>
      <c r="K52" s="1110"/>
      <c r="L52" s="1110"/>
      <c r="M52" s="1110"/>
      <c r="N52" s="410"/>
      <c r="O52" s="410"/>
      <c r="P52" s="410"/>
      <c r="Q52" s="410"/>
      <c r="R52" s="410"/>
      <c r="S52" s="103"/>
      <c r="T52" s="573"/>
      <c r="U52" s="573"/>
      <c r="V52" s="573"/>
      <c r="W52" s="410"/>
      <c r="X52" s="410"/>
      <c r="Y52" s="410"/>
      <c r="Z52" s="103"/>
      <c r="AA52" s="103"/>
      <c r="AB52" s="103"/>
      <c r="AC52" s="103"/>
      <c r="AD52" s="103"/>
      <c r="AL52" s="288"/>
      <c r="AM52" s="179"/>
      <c r="AN52" s="179"/>
      <c r="AO52" s="179"/>
      <c r="AP52" s="179"/>
      <c r="AQ52" s="103"/>
      <c r="AR52" s="103"/>
      <c r="AS52" s="103"/>
      <c r="AT52" s="290"/>
      <c r="AV52" s="288" t="s">
        <v>393</v>
      </c>
      <c r="AW52" s="103"/>
      <c r="AX52" s="103"/>
      <c r="AY52" s="103"/>
      <c r="AZ52" s="103"/>
      <c r="BA52" s="290"/>
    </row>
    <row r="53" spans="1:53" x14ac:dyDescent="0.25">
      <c r="A53" s="288" t="s">
        <v>45</v>
      </c>
      <c r="B53" s="103"/>
      <c r="C53" s="103"/>
      <c r="D53" s="103"/>
      <c r="E53" s="103"/>
      <c r="F53" s="103"/>
      <c r="G53" s="103"/>
      <c r="H53" s="103"/>
      <c r="I53" s="459" t="s">
        <v>228</v>
      </c>
      <c r="J53" s="459" t="s">
        <v>380</v>
      </c>
      <c r="K53" s="462" t="s">
        <v>683</v>
      </c>
      <c r="L53" s="459" t="s">
        <v>229</v>
      </c>
      <c r="M53" s="459" t="s">
        <v>249</v>
      </c>
      <c r="N53" s="459" t="s">
        <v>455</v>
      </c>
      <c r="O53" s="454" t="s">
        <v>684</v>
      </c>
      <c r="P53" s="666" t="s">
        <v>684</v>
      </c>
      <c r="Q53" s="292"/>
      <c r="R53" s="459" t="s">
        <v>228</v>
      </c>
      <c r="S53" s="459" t="s">
        <v>380</v>
      </c>
      <c r="T53" s="462" t="s">
        <v>683</v>
      </c>
      <c r="U53" s="459" t="s">
        <v>229</v>
      </c>
      <c r="V53" s="459" t="s">
        <v>249</v>
      </c>
      <c r="W53" s="292" t="s">
        <v>455</v>
      </c>
      <c r="X53" s="459" t="s">
        <v>684</v>
      </c>
      <c r="Y53" s="292" t="s">
        <v>455</v>
      </c>
      <c r="Z53" s="291" t="s">
        <v>230</v>
      </c>
      <c r="AA53" s="291" t="s">
        <v>231</v>
      </c>
      <c r="AB53" s="666" t="s">
        <v>235</v>
      </c>
      <c r="AC53" s="666" t="s">
        <v>250</v>
      </c>
      <c r="AD53" s="103"/>
      <c r="AL53" s="288" t="s">
        <v>439</v>
      </c>
      <c r="AM53" s="179"/>
      <c r="AN53" s="179"/>
      <c r="AO53" s="179"/>
      <c r="AP53" s="179" t="str">
        <f>IF(S$27&gt;(AA55*1.05),"INDEX IS HIGHER THAN ANALYSIS OUTCOME","OK")</f>
        <v>INDEX IS HIGHER THAN ANALYSIS OUTCOME</v>
      </c>
      <c r="AQ53" s="103"/>
      <c r="AR53" s="103"/>
      <c r="AS53" s="103"/>
      <c r="AT53" s="290"/>
      <c r="AV53" s="288"/>
      <c r="AW53" s="103"/>
      <c r="AX53" s="103"/>
      <c r="AY53" s="103"/>
      <c r="AZ53" s="103"/>
      <c r="BA53" s="290"/>
    </row>
    <row r="54" spans="1:53" x14ac:dyDescent="0.25">
      <c r="A54" s="288"/>
      <c r="B54" s="179" t="s">
        <v>86</v>
      </c>
      <c r="C54" s="179" t="s">
        <v>87</v>
      </c>
      <c r="D54" s="179" t="s">
        <v>88</v>
      </c>
      <c r="E54" s="179"/>
      <c r="F54" s="179"/>
      <c r="G54" s="179"/>
      <c r="I54" s="555">
        <v>0.3</v>
      </c>
      <c r="J54" s="555">
        <v>0.2</v>
      </c>
      <c r="K54" s="577">
        <v>0.15</v>
      </c>
      <c r="L54" s="555">
        <v>0.25</v>
      </c>
      <c r="M54" s="555">
        <v>0.05</v>
      </c>
      <c r="N54" s="555">
        <v>0.05</v>
      </c>
      <c r="O54" s="555">
        <v>0</v>
      </c>
      <c r="P54" s="555"/>
      <c r="Q54" s="418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L54" s="288" t="s">
        <v>437</v>
      </c>
      <c r="AM54" s="179"/>
      <c r="AN54" s="179"/>
      <c r="AO54" s="179"/>
      <c r="AP54" s="179" t="str">
        <f>IF(S$27&gt;(AA98*1.05),"INDEX IS HIGHER THAN ANALYSIS OUTCOME","OK")</f>
        <v>INDEX IS HIGHER THAN ANALYSIS OUTCOME</v>
      </c>
      <c r="AQ54" s="103"/>
      <c r="AR54" s="103"/>
      <c r="AS54" s="103"/>
      <c r="AT54" s="290"/>
      <c r="AV54" s="288"/>
      <c r="AW54" s="103"/>
      <c r="AX54" s="103"/>
      <c r="AY54" s="103"/>
      <c r="AZ54" s="103"/>
      <c r="BA54" s="290"/>
    </row>
    <row r="55" spans="1:53" x14ac:dyDescent="0.25">
      <c r="A55" s="288" t="s">
        <v>1127</v>
      </c>
      <c r="B55" s="820" t="s">
        <v>1068</v>
      </c>
      <c r="C55" s="821">
        <v>125</v>
      </c>
      <c r="D55" s="821">
        <v>201610</v>
      </c>
      <c r="E55" s="575"/>
      <c r="F55" s="575"/>
      <c r="G55" s="575"/>
      <c r="H55" s="531"/>
      <c r="I55" s="822">
        <v>10</v>
      </c>
      <c r="J55" s="823">
        <v>10</v>
      </c>
      <c r="K55" s="823">
        <v>7</v>
      </c>
      <c r="L55" s="823">
        <v>9</v>
      </c>
      <c r="M55" s="823">
        <v>10</v>
      </c>
      <c r="N55" s="423">
        <f>IF(C55&gt;0,(C$66/C55),0)</f>
        <v>4.2320000000000002</v>
      </c>
      <c r="O55" s="572"/>
      <c r="P55" s="423"/>
      <c r="Q55" s="103"/>
      <c r="R55" s="181">
        <f t="shared" ref="R55:R61" si="1">+I55*I$54</f>
        <v>3</v>
      </c>
      <c r="S55" s="181">
        <f t="shared" ref="S55:S65" si="2">+J55*J$54</f>
        <v>2</v>
      </c>
      <c r="T55" s="181">
        <f t="shared" ref="T55:T65" si="3">+K55*K$54</f>
        <v>1.05</v>
      </c>
      <c r="U55" s="181">
        <f t="shared" ref="U55:U65" si="4">+L55*L$54</f>
        <v>2.25</v>
      </c>
      <c r="V55" s="181">
        <f t="shared" ref="V55:V65" si="5">+M55*M$54</f>
        <v>0.5</v>
      </c>
      <c r="W55" s="181">
        <f t="shared" ref="W55:W65" si="6">+N55*N$54</f>
        <v>0.21160000000000001</v>
      </c>
      <c r="X55" s="181">
        <f t="shared" ref="X55:X65" si="7">+O55*O$54</f>
        <v>0</v>
      </c>
      <c r="Y55" s="181">
        <f t="shared" ref="Y55:Y65" si="8">+P55*P$54</f>
        <v>0</v>
      </c>
      <c r="Z55" s="181">
        <f t="shared" ref="Z55:Z65" si="9">SUM(R55:Y55)</f>
        <v>9.0116000000000014</v>
      </c>
      <c r="AA55" s="293">
        <f t="shared" ref="AA55:AA65" si="10">+Z55/Z$66</f>
        <v>1.1056425371981053</v>
      </c>
      <c r="AB55" s="293">
        <f>L27</f>
        <v>1.3040814600642265</v>
      </c>
      <c r="AC55" s="181">
        <f>AB55/AA55</f>
        <v>1.1794783722494981</v>
      </c>
      <c r="AD55" s="103"/>
      <c r="AL55" s="288" t="s">
        <v>436</v>
      </c>
      <c r="AM55" s="179"/>
      <c r="AN55" s="179"/>
      <c r="AO55" s="179"/>
      <c r="AP55" s="179" t="str">
        <f>IF(O17&gt;T140,"OCCUPANCY IS HIGHER THAN SUPPLY ANALSYS","OK")</f>
        <v>OCCUPANCY IS HIGHER THAN SUPPLY ANALSYS</v>
      </c>
      <c r="AQ55" s="103"/>
      <c r="AR55" s="103"/>
      <c r="AS55" s="103"/>
      <c r="AT55" s="290"/>
      <c r="AV55" s="288"/>
      <c r="AW55" s="103"/>
      <c r="AX55" s="103"/>
      <c r="AY55" s="103"/>
      <c r="AZ55" s="103"/>
      <c r="BA55" s="290"/>
    </row>
    <row r="56" spans="1:53" x14ac:dyDescent="0.25">
      <c r="A56" s="305" t="s">
        <v>1128</v>
      </c>
      <c r="B56" s="820" t="s">
        <v>1121</v>
      </c>
      <c r="C56" s="821">
        <v>121</v>
      </c>
      <c r="D56" s="821">
        <v>199509</v>
      </c>
      <c r="E56" s="575"/>
      <c r="F56" s="575"/>
      <c r="G56" s="575"/>
      <c r="H56" s="531"/>
      <c r="I56" s="822">
        <v>7</v>
      </c>
      <c r="J56" s="823">
        <v>7</v>
      </c>
      <c r="K56" s="823">
        <v>7</v>
      </c>
      <c r="L56" s="823">
        <v>9</v>
      </c>
      <c r="M56" s="823">
        <v>10</v>
      </c>
      <c r="N56" s="423">
        <f t="shared" ref="N56:N65" si="11">IF(C56&gt;0,(C$66/C56),0)</f>
        <v>4.3719008264462813</v>
      </c>
      <c r="O56" s="572"/>
      <c r="P56" s="423"/>
      <c r="Q56" s="103"/>
      <c r="R56" s="181">
        <f t="shared" si="1"/>
        <v>2.1</v>
      </c>
      <c r="S56" s="181">
        <f t="shared" si="2"/>
        <v>1.4000000000000001</v>
      </c>
      <c r="T56" s="181">
        <f t="shared" si="3"/>
        <v>1.05</v>
      </c>
      <c r="U56" s="181">
        <f t="shared" si="4"/>
        <v>2.25</v>
      </c>
      <c r="V56" s="181">
        <f t="shared" si="5"/>
        <v>0.5</v>
      </c>
      <c r="W56" s="181">
        <f t="shared" si="6"/>
        <v>0.21859504132231408</v>
      </c>
      <c r="X56" s="181">
        <f t="shared" si="7"/>
        <v>0</v>
      </c>
      <c r="Y56" s="181">
        <f t="shared" si="8"/>
        <v>0</v>
      </c>
      <c r="Z56" s="181">
        <f t="shared" si="9"/>
        <v>7.5185950413223139</v>
      </c>
      <c r="AA56" s="181">
        <f t="shared" si="10"/>
        <v>0.92246421253192501</v>
      </c>
      <c r="AB56" s="181"/>
      <c r="AC56" s="181"/>
      <c r="AD56" s="103"/>
      <c r="AL56" s="288" t="s">
        <v>438</v>
      </c>
      <c r="AM56" s="179"/>
      <c r="AN56" s="179"/>
      <c r="AO56" s="179"/>
      <c r="AP56" s="179" t="str">
        <f>IF(P22&gt;M22,"PREDICTING GROWTH AGGRESSIVELY","OK")</f>
        <v>OK</v>
      </c>
      <c r="AQ56" s="103"/>
      <c r="AR56" s="103"/>
      <c r="AS56" s="103"/>
      <c r="AT56" s="290"/>
      <c r="AV56" s="628" t="s">
        <v>380</v>
      </c>
      <c r="AW56" s="179"/>
      <c r="AX56" s="179"/>
      <c r="AY56" s="179" t="s">
        <v>381</v>
      </c>
      <c r="AZ56" s="179"/>
      <c r="BA56" s="303" t="s">
        <v>382</v>
      </c>
    </row>
    <row r="57" spans="1:53" ht="15.75" thickBot="1" x14ac:dyDescent="0.3">
      <c r="A57" s="305" t="s">
        <v>1129</v>
      </c>
      <c r="B57" s="820" t="s">
        <v>1122</v>
      </c>
      <c r="C57" s="821">
        <v>84</v>
      </c>
      <c r="D57" s="821">
        <v>200703</v>
      </c>
      <c r="E57" s="575"/>
      <c r="F57" s="575"/>
      <c r="G57" s="575"/>
      <c r="H57" s="531"/>
      <c r="I57" s="822">
        <v>8</v>
      </c>
      <c r="J57" s="823">
        <v>8</v>
      </c>
      <c r="K57" s="823">
        <v>7</v>
      </c>
      <c r="L57" s="823">
        <v>7</v>
      </c>
      <c r="M57" s="823">
        <v>10</v>
      </c>
      <c r="N57" s="423">
        <f t="shared" si="11"/>
        <v>6.2976190476190474</v>
      </c>
      <c r="O57" s="572"/>
      <c r="P57" s="423"/>
      <c r="Q57" s="103"/>
      <c r="R57" s="181">
        <f t="shared" si="1"/>
        <v>2.4</v>
      </c>
      <c r="S57" s="181">
        <f t="shared" si="2"/>
        <v>1.6</v>
      </c>
      <c r="T57" s="181">
        <f t="shared" si="3"/>
        <v>1.05</v>
      </c>
      <c r="U57" s="181">
        <f t="shared" si="4"/>
        <v>1.75</v>
      </c>
      <c r="V57" s="181">
        <f t="shared" si="5"/>
        <v>0.5</v>
      </c>
      <c r="W57" s="181">
        <f t="shared" si="6"/>
        <v>0.31488095238095237</v>
      </c>
      <c r="X57" s="181">
        <f t="shared" si="7"/>
        <v>0</v>
      </c>
      <c r="Y57" s="181">
        <f t="shared" si="8"/>
        <v>0</v>
      </c>
      <c r="Z57" s="181">
        <f t="shared" si="9"/>
        <v>7.6148809523809522</v>
      </c>
      <c r="AA57" s="181">
        <f t="shared" si="10"/>
        <v>0.93427763068178782</v>
      </c>
      <c r="AB57" s="181"/>
      <c r="AC57" s="181"/>
      <c r="AD57" s="103"/>
      <c r="AL57" s="296"/>
      <c r="AM57" s="311"/>
      <c r="AN57" s="311"/>
      <c r="AO57" s="311"/>
      <c r="AP57" s="311"/>
      <c r="AQ57" s="278"/>
      <c r="AR57" s="278"/>
      <c r="AS57" s="278"/>
      <c r="AT57" s="298"/>
      <c r="AV57" s="302" t="s">
        <v>369</v>
      </c>
      <c r="AW57" s="103"/>
      <c r="AX57" s="103"/>
      <c r="AY57" s="103" t="s">
        <v>387</v>
      </c>
      <c r="AZ57" s="103"/>
      <c r="BA57" s="290">
        <v>6</v>
      </c>
    </row>
    <row r="58" spans="1:53" x14ac:dyDescent="0.25">
      <c r="A58" s="305" t="s">
        <v>1130</v>
      </c>
      <c r="B58" s="820" t="s">
        <v>1123</v>
      </c>
      <c r="C58" s="821">
        <v>78</v>
      </c>
      <c r="D58" s="821">
        <v>200711</v>
      </c>
      <c r="E58" s="575"/>
      <c r="F58" s="575"/>
      <c r="G58" s="575"/>
      <c r="H58" s="531"/>
      <c r="I58" s="822">
        <v>7</v>
      </c>
      <c r="J58" s="823">
        <v>7</v>
      </c>
      <c r="K58" s="823">
        <v>7</v>
      </c>
      <c r="L58" s="823">
        <v>9</v>
      </c>
      <c r="M58" s="823">
        <v>10</v>
      </c>
      <c r="N58" s="423">
        <f t="shared" si="11"/>
        <v>6.7820512820512819</v>
      </c>
      <c r="O58" s="572"/>
      <c r="P58" s="423"/>
      <c r="Q58" s="103"/>
      <c r="R58" s="181">
        <f t="shared" si="1"/>
        <v>2.1</v>
      </c>
      <c r="S58" s="181">
        <f t="shared" si="2"/>
        <v>1.4000000000000001</v>
      </c>
      <c r="T58" s="181">
        <f t="shared" si="3"/>
        <v>1.05</v>
      </c>
      <c r="U58" s="181">
        <f t="shared" si="4"/>
        <v>2.25</v>
      </c>
      <c r="V58" s="181">
        <f t="shared" si="5"/>
        <v>0.5</v>
      </c>
      <c r="W58" s="181">
        <f t="shared" si="6"/>
        <v>0.33910256410256412</v>
      </c>
      <c r="X58" s="181">
        <f t="shared" si="7"/>
        <v>0</v>
      </c>
      <c r="Y58" s="181">
        <f t="shared" si="8"/>
        <v>0</v>
      </c>
      <c r="Z58" s="181">
        <f t="shared" si="9"/>
        <v>7.6391025641025641</v>
      </c>
      <c r="AA58" s="181">
        <f t="shared" si="10"/>
        <v>0.93724940530992373</v>
      </c>
      <c r="AB58" s="181"/>
      <c r="AC58" s="181"/>
      <c r="AD58" s="103"/>
      <c r="AV58" s="305" t="s">
        <v>388</v>
      </c>
      <c r="AW58" s="306"/>
      <c r="AX58" s="306"/>
      <c r="AY58" s="306" t="s">
        <v>387</v>
      </c>
      <c r="AZ58" s="103"/>
      <c r="BA58" s="290">
        <v>7</v>
      </c>
    </row>
    <row r="59" spans="1:53" x14ac:dyDescent="0.25">
      <c r="A59" s="305" t="s">
        <v>1131</v>
      </c>
      <c r="B59" s="820" t="s">
        <v>1124</v>
      </c>
      <c r="C59" s="821">
        <v>121</v>
      </c>
      <c r="D59" s="821">
        <v>201501</v>
      </c>
      <c r="E59" s="575"/>
      <c r="F59" s="575"/>
      <c r="G59" s="575"/>
      <c r="H59" s="531"/>
      <c r="I59" s="822">
        <v>10</v>
      </c>
      <c r="J59" s="823">
        <v>9</v>
      </c>
      <c r="K59" s="823">
        <v>8</v>
      </c>
      <c r="L59" s="823">
        <v>9</v>
      </c>
      <c r="M59" s="823">
        <v>10</v>
      </c>
      <c r="N59" s="423">
        <f t="shared" si="11"/>
        <v>4.3719008264462813</v>
      </c>
      <c r="O59" s="572"/>
      <c r="P59" s="423"/>
      <c r="Q59" s="103"/>
      <c r="R59" s="181">
        <f t="shared" si="1"/>
        <v>3</v>
      </c>
      <c r="S59" s="181">
        <f t="shared" si="2"/>
        <v>1.8</v>
      </c>
      <c r="T59" s="181">
        <f t="shared" si="3"/>
        <v>1.2</v>
      </c>
      <c r="U59" s="181">
        <f t="shared" si="4"/>
        <v>2.25</v>
      </c>
      <c r="V59" s="181">
        <f t="shared" si="5"/>
        <v>0.5</v>
      </c>
      <c r="W59" s="181">
        <f t="shared" si="6"/>
        <v>0.21859504132231408</v>
      </c>
      <c r="X59" s="181">
        <f t="shared" si="7"/>
        <v>0</v>
      </c>
      <c r="Y59" s="181">
        <f t="shared" si="8"/>
        <v>0</v>
      </c>
      <c r="Z59" s="181">
        <f t="shared" si="9"/>
        <v>8.9685950413223132</v>
      </c>
      <c r="AA59" s="181">
        <f t="shared" si="10"/>
        <v>1.1003662142782575</v>
      </c>
      <c r="AB59" s="181"/>
      <c r="AC59" s="181"/>
      <c r="AD59" s="103"/>
      <c r="AV59" s="305" t="s">
        <v>371</v>
      </c>
      <c r="AW59" s="306"/>
      <c r="AX59" s="306"/>
      <c r="AY59" s="306" t="s">
        <v>391</v>
      </c>
      <c r="AZ59" s="103"/>
      <c r="BA59" s="290">
        <v>7</v>
      </c>
    </row>
    <row r="60" spans="1:53" x14ac:dyDescent="0.25">
      <c r="A60" s="305"/>
      <c r="B60" s="820"/>
      <c r="C60" s="821"/>
      <c r="D60" s="821"/>
      <c r="E60" s="575"/>
      <c r="F60" s="575"/>
      <c r="G60" s="575"/>
      <c r="H60" s="531"/>
      <c r="I60" s="822"/>
      <c r="J60" s="823"/>
      <c r="K60" s="823"/>
      <c r="L60" s="823"/>
      <c r="M60" s="823"/>
      <c r="N60" s="423">
        <f t="shared" si="11"/>
        <v>0</v>
      </c>
      <c r="O60" s="572"/>
      <c r="P60" s="423"/>
      <c r="Q60" s="103"/>
      <c r="R60" s="181">
        <f t="shared" si="1"/>
        <v>0</v>
      </c>
      <c r="S60" s="181">
        <f t="shared" si="2"/>
        <v>0</v>
      </c>
      <c r="T60" s="181">
        <f t="shared" si="3"/>
        <v>0</v>
      </c>
      <c r="U60" s="181">
        <f t="shared" si="4"/>
        <v>0</v>
      </c>
      <c r="V60" s="181">
        <f t="shared" si="5"/>
        <v>0</v>
      </c>
      <c r="W60" s="181">
        <f t="shared" si="6"/>
        <v>0</v>
      </c>
      <c r="X60" s="181">
        <f t="shared" si="7"/>
        <v>0</v>
      </c>
      <c r="Y60" s="181">
        <f t="shared" si="8"/>
        <v>0</v>
      </c>
      <c r="Z60" s="181">
        <f t="shared" si="9"/>
        <v>0</v>
      </c>
      <c r="AA60" s="181">
        <f t="shared" si="10"/>
        <v>0</v>
      </c>
      <c r="AB60" s="181"/>
      <c r="AC60" s="181"/>
      <c r="AD60" s="103"/>
      <c r="AV60" s="305" t="s">
        <v>422</v>
      </c>
      <c r="AW60" s="306"/>
      <c r="AX60" s="306"/>
      <c r="AY60" s="306" t="s">
        <v>391</v>
      </c>
      <c r="AZ60" s="179"/>
      <c r="BA60" s="303">
        <v>8</v>
      </c>
    </row>
    <row r="61" spans="1:53" x14ac:dyDescent="0.25">
      <c r="A61" s="305"/>
      <c r="B61" s="574"/>
      <c r="C61" s="571"/>
      <c r="D61" s="571"/>
      <c r="E61" s="575"/>
      <c r="F61" s="575"/>
      <c r="G61" s="575"/>
      <c r="H61" s="531"/>
      <c r="I61" s="576"/>
      <c r="J61" s="572"/>
      <c r="K61" s="572"/>
      <c r="L61" s="572"/>
      <c r="M61" s="572"/>
      <c r="N61" s="423">
        <f t="shared" si="11"/>
        <v>0</v>
      </c>
      <c r="O61" s="572"/>
      <c r="P61" s="423"/>
      <c r="Q61" s="103"/>
      <c r="R61" s="181">
        <f t="shared" si="1"/>
        <v>0</v>
      </c>
      <c r="S61" s="181">
        <f t="shared" si="2"/>
        <v>0</v>
      </c>
      <c r="T61" s="181">
        <f t="shared" si="3"/>
        <v>0</v>
      </c>
      <c r="U61" s="181">
        <f t="shared" si="4"/>
        <v>0</v>
      </c>
      <c r="V61" s="181">
        <f t="shared" si="5"/>
        <v>0</v>
      </c>
      <c r="W61" s="181">
        <f t="shared" si="6"/>
        <v>0</v>
      </c>
      <c r="X61" s="181">
        <f t="shared" si="7"/>
        <v>0</v>
      </c>
      <c r="Y61" s="181">
        <f t="shared" si="8"/>
        <v>0</v>
      </c>
      <c r="Z61" s="181">
        <f t="shared" si="9"/>
        <v>0</v>
      </c>
      <c r="AA61" s="181">
        <f t="shared" si="10"/>
        <v>0</v>
      </c>
      <c r="AB61" s="181"/>
      <c r="AC61" s="181"/>
      <c r="AD61" s="103"/>
      <c r="AV61" s="305" t="s">
        <v>372</v>
      </c>
      <c r="AW61" s="306"/>
      <c r="AX61" s="306"/>
      <c r="AY61" s="306" t="s">
        <v>391</v>
      </c>
      <c r="AZ61" s="103"/>
      <c r="BA61" s="290">
        <v>5</v>
      </c>
    </row>
    <row r="62" spans="1:53" x14ac:dyDescent="0.25">
      <c r="A62" s="305"/>
      <c r="B62" s="574"/>
      <c r="C62" s="571"/>
      <c r="D62" s="571"/>
      <c r="E62" s="575"/>
      <c r="F62" s="575"/>
      <c r="G62" s="575"/>
      <c r="H62" s="531"/>
      <c r="I62" s="576"/>
      <c r="J62" s="572"/>
      <c r="K62" s="572"/>
      <c r="L62" s="572"/>
      <c r="M62" s="572"/>
      <c r="N62" s="423">
        <f t="shared" si="11"/>
        <v>0</v>
      </c>
      <c r="O62" s="572"/>
      <c r="P62" s="423"/>
      <c r="Q62" s="103"/>
      <c r="R62" s="181">
        <f>+I62*I$54</f>
        <v>0</v>
      </c>
      <c r="S62" s="181">
        <f t="shared" si="2"/>
        <v>0</v>
      </c>
      <c r="T62" s="181">
        <f t="shared" si="3"/>
        <v>0</v>
      </c>
      <c r="U62" s="181">
        <f t="shared" si="4"/>
        <v>0</v>
      </c>
      <c r="V62" s="181">
        <f t="shared" si="5"/>
        <v>0</v>
      </c>
      <c r="W62" s="181">
        <f t="shared" si="6"/>
        <v>0</v>
      </c>
      <c r="X62" s="181">
        <f t="shared" si="7"/>
        <v>0</v>
      </c>
      <c r="Y62" s="181">
        <f t="shared" si="8"/>
        <v>0</v>
      </c>
      <c r="Z62" s="181">
        <f t="shared" si="9"/>
        <v>0</v>
      </c>
      <c r="AA62" s="181">
        <f t="shared" si="10"/>
        <v>0</v>
      </c>
      <c r="AB62" s="181"/>
      <c r="AC62" s="181"/>
      <c r="AD62" s="103"/>
      <c r="AV62" s="307" t="s">
        <v>373</v>
      </c>
      <c r="AW62" s="306"/>
      <c r="AX62" s="306"/>
      <c r="AY62" s="306" t="s">
        <v>391</v>
      </c>
      <c r="AZ62" s="103"/>
      <c r="BA62" s="290">
        <v>4</v>
      </c>
    </row>
    <row r="63" spans="1:53" x14ac:dyDescent="0.25">
      <c r="A63" s="305"/>
      <c r="B63" s="574"/>
      <c r="C63" s="571"/>
      <c r="D63" s="571"/>
      <c r="E63" s="575"/>
      <c r="F63" s="575"/>
      <c r="G63" s="575"/>
      <c r="H63" s="531"/>
      <c r="I63" s="576"/>
      <c r="J63" s="572"/>
      <c r="K63" s="572"/>
      <c r="L63" s="572"/>
      <c r="M63" s="572"/>
      <c r="N63" s="423">
        <f t="shared" si="11"/>
        <v>0</v>
      </c>
      <c r="O63" s="572"/>
      <c r="P63" s="423"/>
      <c r="Q63" s="103"/>
      <c r="R63" s="181">
        <f>+I63*I$54</f>
        <v>0</v>
      </c>
      <c r="S63" s="181">
        <f t="shared" si="2"/>
        <v>0</v>
      </c>
      <c r="T63" s="181">
        <f t="shared" si="3"/>
        <v>0</v>
      </c>
      <c r="U63" s="181">
        <f t="shared" si="4"/>
        <v>0</v>
      </c>
      <c r="V63" s="181">
        <f t="shared" si="5"/>
        <v>0</v>
      </c>
      <c r="W63" s="181">
        <f t="shared" si="6"/>
        <v>0</v>
      </c>
      <c r="X63" s="181">
        <f t="shared" si="7"/>
        <v>0</v>
      </c>
      <c r="Y63" s="181">
        <f t="shared" si="8"/>
        <v>0</v>
      </c>
      <c r="Z63" s="181">
        <f t="shared" si="9"/>
        <v>0</v>
      </c>
      <c r="AA63" s="181">
        <f t="shared" si="10"/>
        <v>0</v>
      </c>
      <c r="AB63" s="181"/>
      <c r="AC63" s="181"/>
      <c r="AD63" s="103"/>
      <c r="AV63" s="305" t="s">
        <v>472</v>
      </c>
      <c r="AW63" s="306"/>
      <c r="AX63" s="306"/>
      <c r="AY63" s="306" t="s">
        <v>391</v>
      </c>
      <c r="AZ63" s="103"/>
      <c r="BA63" s="290">
        <v>5</v>
      </c>
    </row>
    <row r="64" spans="1:53" x14ac:dyDescent="0.25">
      <c r="A64" s="305"/>
      <c r="B64" s="574"/>
      <c r="C64" s="571"/>
      <c r="D64" s="571"/>
      <c r="E64" s="575"/>
      <c r="F64" s="575"/>
      <c r="G64" s="575"/>
      <c r="H64" s="531"/>
      <c r="I64" s="576"/>
      <c r="J64" s="572"/>
      <c r="K64" s="572"/>
      <c r="L64" s="572"/>
      <c r="M64" s="572"/>
      <c r="N64" s="423">
        <f t="shared" si="11"/>
        <v>0</v>
      </c>
      <c r="O64" s="572"/>
      <c r="P64" s="423"/>
      <c r="Q64" s="103"/>
      <c r="R64" s="181">
        <f>+I64*I$54</f>
        <v>0</v>
      </c>
      <c r="S64" s="181">
        <f t="shared" si="2"/>
        <v>0</v>
      </c>
      <c r="T64" s="181">
        <f t="shared" si="3"/>
        <v>0</v>
      </c>
      <c r="U64" s="181">
        <f t="shared" si="4"/>
        <v>0</v>
      </c>
      <c r="V64" s="181">
        <f t="shared" si="5"/>
        <v>0</v>
      </c>
      <c r="W64" s="181">
        <f t="shared" si="6"/>
        <v>0</v>
      </c>
      <c r="X64" s="181">
        <f t="shared" si="7"/>
        <v>0</v>
      </c>
      <c r="Y64" s="181">
        <f t="shared" si="8"/>
        <v>0</v>
      </c>
      <c r="Z64" s="181">
        <f t="shared" si="9"/>
        <v>0</v>
      </c>
      <c r="AA64" s="181">
        <f t="shared" si="10"/>
        <v>0</v>
      </c>
      <c r="AB64" s="181"/>
      <c r="AC64" s="181"/>
      <c r="AD64" s="103"/>
      <c r="AV64" s="305" t="s">
        <v>374</v>
      </c>
      <c r="AW64" s="306"/>
      <c r="AX64" s="306"/>
      <c r="AY64" s="306" t="s">
        <v>391</v>
      </c>
      <c r="AZ64" s="103"/>
      <c r="BA64" s="290">
        <v>6</v>
      </c>
    </row>
    <row r="65" spans="1:53" x14ac:dyDescent="0.25">
      <c r="A65" s="305"/>
      <c r="B65" s="574"/>
      <c r="C65" s="571"/>
      <c r="D65" s="571"/>
      <c r="E65" s="575"/>
      <c r="F65" s="575"/>
      <c r="G65" s="575"/>
      <c r="H65" s="531"/>
      <c r="I65" s="576"/>
      <c r="J65" s="572"/>
      <c r="K65" s="572"/>
      <c r="L65" s="572"/>
      <c r="M65" s="572"/>
      <c r="N65" s="423">
        <f t="shared" si="11"/>
        <v>0</v>
      </c>
      <c r="O65" s="572"/>
      <c r="P65" s="569"/>
      <c r="Q65" s="103"/>
      <c r="R65" s="181">
        <f>+I65*I$54</f>
        <v>0</v>
      </c>
      <c r="S65" s="181">
        <f t="shared" si="2"/>
        <v>0</v>
      </c>
      <c r="T65" s="181">
        <f t="shared" si="3"/>
        <v>0</v>
      </c>
      <c r="U65" s="181">
        <f t="shared" si="4"/>
        <v>0</v>
      </c>
      <c r="V65" s="181">
        <f t="shared" si="5"/>
        <v>0</v>
      </c>
      <c r="W65" s="181">
        <f t="shared" si="6"/>
        <v>0</v>
      </c>
      <c r="X65" s="181">
        <f t="shared" si="7"/>
        <v>0</v>
      </c>
      <c r="Y65" s="181">
        <f t="shared" si="8"/>
        <v>0</v>
      </c>
      <c r="Z65" s="181">
        <f t="shared" si="9"/>
        <v>0</v>
      </c>
      <c r="AA65" s="181">
        <f t="shared" si="10"/>
        <v>0</v>
      </c>
      <c r="AB65" s="181"/>
      <c r="AC65" s="181"/>
      <c r="AD65" s="103"/>
      <c r="AV65" s="305" t="s">
        <v>359</v>
      </c>
      <c r="AW65" s="306"/>
      <c r="AX65" s="306"/>
      <c r="AY65" s="306" t="s">
        <v>359</v>
      </c>
      <c r="AZ65" s="103"/>
      <c r="BA65" s="290">
        <v>10</v>
      </c>
    </row>
    <row r="66" spans="1:53" ht="15.75" thickBot="1" x14ac:dyDescent="0.3">
      <c r="A66" s="419"/>
      <c r="B66" s="341"/>
      <c r="C66" s="570">
        <f>SUM(C55:C65)</f>
        <v>529</v>
      </c>
      <c r="D66" s="570"/>
      <c r="E66" s="570"/>
      <c r="F66" s="570"/>
      <c r="G66" s="570"/>
      <c r="H66" s="341"/>
      <c r="I66" s="341"/>
      <c r="J66" s="341"/>
      <c r="K66" s="341"/>
      <c r="L66" s="341"/>
      <c r="M66" s="341"/>
      <c r="N66" s="341"/>
      <c r="O66" s="341"/>
      <c r="P66" s="341"/>
      <c r="Q66" s="414"/>
      <c r="R66" s="415">
        <f t="shared" ref="R66:Z66" si="12">SUM(R55:R65)/$C47</f>
        <v>2.52</v>
      </c>
      <c r="S66" s="415">
        <f t="shared" si="12"/>
        <v>1.6400000000000001</v>
      </c>
      <c r="T66" s="415">
        <f t="shared" si="12"/>
        <v>1.08</v>
      </c>
      <c r="U66" s="415">
        <f t="shared" si="12"/>
        <v>2.15</v>
      </c>
      <c r="V66" s="415">
        <f t="shared" si="12"/>
        <v>0.5</v>
      </c>
      <c r="W66" s="415">
        <f t="shared" si="12"/>
        <v>0.26055471982562894</v>
      </c>
      <c r="X66" s="415">
        <f t="shared" si="12"/>
        <v>0</v>
      </c>
      <c r="Y66" s="415">
        <f t="shared" si="12"/>
        <v>0</v>
      </c>
      <c r="Z66" s="415">
        <f t="shared" si="12"/>
        <v>8.1505547198256298</v>
      </c>
      <c r="AA66" s="181"/>
      <c r="AB66" s="181"/>
      <c r="AC66" s="181"/>
      <c r="AD66" s="103"/>
      <c r="AV66" s="305" t="s">
        <v>420</v>
      </c>
      <c r="AW66" s="306"/>
      <c r="AX66" s="306"/>
      <c r="AY66" s="306" t="s">
        <v>359</v>
      </c>
      <c r="AZ66" s="103"/>
      <c r="BA66" s="290">
        <v>10</v>
      </c>
    </row>
    <row r="67" spans="1:53" ht="15.75" thickTop="1" x14ac:dyDescent="0.25">
      <c r="A67" s="288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V67" s="305" t="s">
        <v>404</v>
      </c>
      <c r="AW67" s="306"/>
      <c r="AX67" s="306"/>
      <c r="AY67" s="306" t="s">
        <v>359</v>
      </c>
      <c r="AZ67" s="179"/>
      <c r="BA67" s="303">
        <v>9</v>
      </c>
    </row>
    <row r="68" spans="1:53" ht="18.75" x14ac:dyDescent="0.3">
      <c r="A68" s="288"/>
      <c r="B68" s="103"/>
      <c r="C68" s="103"/>
      <c r="D68" s="103"/>
      <c r="E68" s="103"/>
      <c r="F68" s="103"/>
      <c r="G68" s="103"/>
      <c r="H68" s="103"/>
      <c r="I68" s="1109" t="s">
        <v>711</v>
      </c>
      <c r="J68" s="1109"/>
      <c r="K68" s="1109"/>
      <c r="L68" s="1109"/>
      <c r="M68" s="1109"/>
      <c r="N68" s="1109"/>
      <c r="O68" s="1109"/>
      <c r="P68" s="1109"/>
      <c r="Q68" s="411"/>
      <c r="R68" s="411"/>
      <c r="S68" s="411"/>
      <c r="T68" s="411"/>
      <c r="U68" s="411"/>
      <c r="V68" s="411"/>
      <c r="W68" s="411"/>
      <c r="X68" s="411"/>
      <c r="Y68" s="411"/>
      <c r="Z68" s="103"/>
      <c r="AA68" s="103"/>
      <c r="AB68" s="103"/>
      <c r="AC68" s="103"/>
      <c r="AD68" s="103"/>
      <c r="AV68" s="305" t="s">
        <v>362</v>
      </c>
      <c r="AW68" s="306"/>
      <c r="AX68" s="306"/>
      <c r="AY68" s="306" t="s">
        <v>359</v>
      </c>
      <c r="AZ68" s="103"/>
      <c r="BA68" s="290">
        <v>10</v>
      </c>
    </row>
    <row r="69" spans="1:53" ht="18.75" x14ac:dyDescent="0.3">
      <c r="A69" s="288"/>
      <c r="B69" s="103"/>
      <c r="C69" s="103"/>
      <c r="D69" s="103"/>
      <c r="E69" s="103"/>
      <c r="F69" s="103"/>
      <c r="G69" s="103"/>
      <c r="H69" s="103"/>
      <c r="I69" s="411"/>
      <c r="J69" s="103"/>
      <c r="K69" s="573"/>
      <c r="L69" s="573"/>
      <c r="M69" s="573"/>
      <c r="N69" s="411"/>
      <c r="O69" s="411"/>
      <c r="P69" s="411"/>
      <c r="Q69" s="411"/>
      <c r="R69" s="411"/>
      <c r="S69" s="103"/>
      <c r="T69" s="1110"/>
      <c r="U69" s="1110"/>
      <c r="V69" s="1110"/>
      <c r="W69" s="411"/>
      <c r="X69" s="411"/>
      <c r="Y69" s="411"/>
      <c r="Z69" s="103"/>
      <c r="AA69" s="103"/>
      <c r="AB69" s="103"/>
      <c r="AC69" s="103"/>
      <c r="AD69" s="103"/>
      <c r="AV69" s="305" t="s">
        <v>368</v>
      </c>
      <c r="AW69" s="306"/>
      <c r="AX69" s="306"/>
      <c r="AY69" s="306" t="s">
        <v>359</v>
      </c>
      <c r="AZ69" s="103"/>
      <c r="BA69" s="290">
        <v>8</v>
      </c>
    </row>
    <row r="70" spans="1:53" x14ac:dyDescent="0.25">
      <c r="A70" s="288" t="s">
        <v>232</v>
      </c>
      <c r="B70" s="103"/>
      <c r="C70" s="103"/>
      <c r="D70" s="103"/>
      <c r="E70" s="103"/>
      <c r="F70" s="103"/>
      <c r="G70" s="103"/>
      <c r="H70" s="179"/>
      <c r="I70" s="459" t="s">
        <v>228</v>
      </c>
      <c r="J70" s="459" t="s">
        <v>380</v>
      </c>
      <c r="K70" s="462" t="s">
        <v>683</v>
      </c>
      <c r="L70" s="459" t="s">
        <v>229</v>
      </c>
      <c r="M70" s="459" t="s">
        <v>249</v>
      </c>
      <c r="N70" s="459" t="s">
        <v>455</v>
      </c>
      <c r="O70" s="459" t="s">
        <v>684</v>
      </c>
      <c r="P70" s="666" t="s">
        <v>684</v>
      </c>
      <c r="Q70" s="292"/>
      <c r="R70" s="459" t="s">
        <v>228</v>
      </c>
      <c r="S70" s="459" t="s">
        <v>380</v>
      </c>
      <c r="T70" s="462" t="s">
        <v>683</v>
      </c>
      <c r="U70" s="459" t="s">
        <v>229</v>
      </c>
      <c r="V70" s="459" t="s">
        <v>249</v>
      </c>
      <c r="W70" s="292" t="s">
        <v>455</v>
      </c>
      <c r="X70" s="459" t="s">
        <v>684</v>
      </c>
      <c r="Y70" s="292" t="s">
        <v>455</v>
      </c>
      <c r="Z70" s="291" t="s">
        <v>230</v>
      </c>
      <c r="AA70" s="291" t="s">
        <v>231</v>
      </c>
      <c r="AB70" s="666" t="s">
        <v>236</v>
      </c>
      <c r="AC70" s="666" t="s">
        <v>250</v>
      </c>
      <c r="AD70" s="103"/>
      <c r="AV70" s="305" t="s">
        <v>383</v>
      </c>
      <c r="AW70" s="306"/>
      <c r="AX70" s="306"/>
      <c r="AY70" s="306" t="s">
        <v>359</v>
      </c>
      <c r="AZ70" s="103"/>
      <c r="BA70" s="290">
        <v>10</v>
      </c>
    </row>
    <row r="71" spans="1:53" x14ac:dyDescent="0.25">
      <c r="A71" s="288"/>
      <c r="B71" s="179" t="s">
        <v>86</v>
      </c>
      <c r="C71" s="179" t="s">
        <v>87</v>
      </c>
      <c r="D71" s="179" t="s">
        <v>88</v>
      </c>
      <c r="E71" s="179"/>
      <c r="F71" s="179"/>
      <c r="G71" s="179"/>
      <c r="I71" s="555">
        <f>+I54</f>
        <v>0.3</v>
      </c>
      <c r="J71" s="555">
        <f t="shared" ref="J71:P71" si="13">+J54</f>
        <v>0.2</v>
      </c>
      <c r="K71" s="555">
        <f t="shared" si="13"/>
        <v>0.15</v>
      </c>
      <c r="L71" s="555">
        <f t="shared" si="13"/>
        <v>0.25</v>
      </c>
      <c r="M71" s="555">
        <f t="shared" si="13"/>
        <v>0.05</v>
      </c>
      <c r="N71" s="555">
        <f t="shared" si="13"/>
        <v>0.05</v>
      </c>
      <c r="O71" s="555">
        <f t="shared" si="13"/>
        <v>0</v>
      </c>
      <c r="P71" s="555">
        <f t="shared" si="13"/>
        <v>0</v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V71" s="305" t="s">
        <v>384</v>
      </c>
      <c r="AW71" s="306"/>
      <c r="AX71" s="306"/>
      <c r="AY71" s="306" t="s">
        <v>392</v>
      </c>
      <c r="AZ71" s="103"/>
      <c r="BA71" s="290">
        <v>9</v>
      </c>
    </row>
    <row r="72" spans="1:53" x14ac:dyDescent="0.25">
      <c r="A72" s="288"/>
      <c r="B72" s="281" t="str">
        <f t="shared" ref="B72:B82" si="14">IF(B55&lt;1," ",B55)</f>
        <v>Hampton Inn &amp; Suites Wichita Airport</v>
      </c>
      <c r="C72" s="281">
        <f t="shared" ref="C72:D82" si="15">IF(C55&lt;1," ",C55)</f>
        <v>125</v>
      </c>
      <c r="D72" s="281">
        <f t="shared" si="15"/>
        <v>201610</v>
      </c>
      <c r="E72" s="281"/>
      <c r="F72" s="281"/>
      <c r="G72" s="281"/>
      <c r="I72" s="423">
        <f t="shared" ref="I72:J78" si="16">I55</f>
        <v>10</v>
      </c>
      <c r="J72" s="423">
        <f t="shared" si="16"/>
        <v>10</v>
      </c>
      <c r="K72" s="423">
        <f t="shared" ref="K72:K82" si="17">K55</f>
        <v>7</v>
      </c>
      <c r="L72" s="572">
        <v>10</v>
      </c>
      <c r="M72" s="423">
        <f>M55</f>
        <v>10</v>
      </c>
      <c r="N72" s="423">
        <f>N55</f>
        <v>4.2320000000000002</v>
      </c>
      <c r="O72" s="423">
        <f>O55</f>
        <v>0</v>
      </c>
      <c r="P72" s="423">
        <f>P55</f>
        <v>0</v>
      </c>
      <c r="Q72" s="103"/>
      <c r="R72" s="181">
        <f t="shared" ref="R72:R82" si="18">+I72*I$54</f>
        <v>3</v>
      </c>
      <c r="S72" s="181">
        <f t="shared" ref="S72:S82" si="19">+J72*J$54</f>
        <v>2</v>
      </c>
      <c r="T72" s="181">
        <f t="shared" ref="T72:T82" si="20">+K72*K$54</f>
        <v>1.05</v>
      </c>
      <c r="U72" s="181">
        <f t="shared" ref="U72:U82" si="21">+L72*L$54</f>
        <v>2.5</v>
      </c>
      <c r="V72" s="181">
        <f t="shared" ref="V72:V82" si="22">+M72*M$54</f>
        <v>0.5</v>
      </c>
      <c r="W72" s="181">
        <f t="shared" ref="W72:W82" si="23">+N72*N$54</f>
        <v>0.21160000000000001</v>
      </c>
      <c r="X72" s="181">
        <f t="shared" ref="X72:X82" si="24">+O72*O$54</f>
        <v>0</v>
      </c>
      <c r="Y72" s="181">
        <f t="shared" ref="Y72:Y82" si="25">+P72*P$54</f>
        <v>0</v>
      </c>
      <c r="Z72" s="181">
        <f t="shared" ref="Z72:Z82" si="26">SUM(R72:Y72)</f>
        <v>9.2616000000000014</v>
      </c>
      <c r="AA72" s="293">
        <f t="shared" ref="AA72:AA82" si="27">+Z72/Z$83</f>
        <v>1.1293870130040342</v>
      </c>
      <c r="AB72" s="293">
        <f>W$27</f>
        <v>1.3098000000000001</v>
      </c>
      <c r="AC72" s="181">
        <f>AB72/AA72</f>
        <v>1.159744166453702</v>
      </c>
      <c r="AD72" s="171"/>
      <c r="AV72" s="305" t="s">
        <v>360</v>
      </c>
      <c r="AW72" s="306"/>
      <c r="AX72" s="306"/>
      <c r="AY72" s="306" t="s">
        <v>386</v>
      </c>
      <c r="AZ72" s="103"/>
      <c r="BA72" s="290">
        <v>6</v>
      </c>
    </row>
    <row r="73" spans="1:53" x14ac:dyDescent="0.25">
      <c r="A73" s="288"/>
      <c r="B73" s="281" t="str">
        <f t="shared" si="14"/>
        <v>Best Western Plus Wichita West Airport Inn</v>
      </c>
      <c r="C73" s="281">
        <f t="shared" si="15"/>
        <v>121</v>
      </c>
      <c r="D73" s="281">
        <f t="shared" si="15"/>
        <v>199509</v>
      </c>
      <c r="E73" s="281"/>
      <c r="F73" s="281"/>
      <c r="G73" s="281"/>
      <c r="H73" s="281">
        <f t="shared" ref="H73:H82" si="28">IF(D56&lt;1," ",D56)</f>
        <v>199509</v>
      </c>
      <c r="I73" s="423">
        <f t="shared" si="16"/>
        <v>7</v>
      </c>
      <c r="J73" s="423">
        <f t="shared" si="16"/>
        <v>7</v>
      </c>
      <c r="K73" s="423">
        <f t="shared" si="17"/>
        <v>7</v>
      </c>
      <c r="L73" s="423">
        <f t="shared" ref="L73:L82" si="29">L56</f>
        <v>9</v>
      </c>
      <c r="M73" s="423">
        <f t="shared" ref="M73:P74" si="30">M56</f>
        <v>10</v>
      </c>
      <c r="N73" s="423">
        <f t="shared" si="30"/>
        <v>4.3719008264462813</v>
      </c>
      <c r="O73" s="423">
        <f t="shared" si="30"/>
        <v>0</v>
      </c>
      <c r="P73" s="423">
        <f t="shared" si="30"/>
        <v>0</v>
      </c>
      <c r="Q73" s="103"/>
      <c r="R73" s="181">
        <f t="shared" si="18"/>
        <v>2.1</v>
      </c>
      <c r="S73" s="181">
        <f t="shared" si="19"/>
        <v>1.4000000000000001</v>
      </c>
      <c r="T73" s="181">
        <f t="shared" si="20"/>
        <v>1.05</v>
      </c>
      <c r="U73" s="181">
        <f t="shared" si="21"/>
        <v>2.25</v>
      </c>
      <c r="V73" s="181">
        <f t="shared" si="22"/>
        <v>0.5</v>
      </c>
      <c r="W73" s="181">
        <f t="shared" si="23"/>
        <v>0.21859504132231408</v>
      </c>
      <c r="X73" s="181">
        <f t="shared" si="24"/>
        <v>0</v>
      </c>
      <c r="Y73" s="181">
        <f t="shared" si="25"/>
        <v>0</v>
      </c>
      <c r="Z73" s="181">
        <f t="shared" si="26"/>
        <v>7.5185950413223139</v>
      </c>
      <c r="AA73" s="309">
        <f t="shared" si="27"/>
        <v>0.91683981123196312</v>
      </c>
      <c r="AB73" s="181"/>
      <c r="AC73" s="181"/>
      <c r="AD73" s="103"/>
      <c r="AV73" s="305" t="s">
        <v>364</v>
      </c>
      <c r="AW73" s="306"/>
      <c r="AX73" s="306"/>
      <c r="AY73" s="306" t="s">
        <v>386</v>
      </c>
      <c r="AZ73" s="103"/>
      <c r="BA73" s="290">
        <v>9</v>
      </c>
    </row>
    <row r="74" spans="1:53" x14ac:dyDescent="0.25">
      <c r="A74" s="288"/>
      <c r="B74" s="281" t="str">
        <f t="shared" si="14"/>
        <v>Holiday Inn Express &amp; Suites Wichita Airport</v>
      </c>
      <c r="C74" s="281">
        <f t="shared" si="15"/>
        <v>84</v>
      </c>
      <c r="D74" s="281">
        <f t="shared" si="15"/>
        <v>200703</v>
      </c>
      <c r="E74" s="281"/>
      <c r="F74" s="281"/>
      <c r="G74" s="281"/>
      <c r="H74" s="281">
        <f t="shared" si="28"/>
        <v>200703</v>
      </c>
      <c r="I74" s="423">
        <f t="shared" si="16"/>
        <v>8</v>
      </c>
      <c r="J74" s="423">
        <f t="shared" si="16"/>
        <v>8</v>
      </c>
      <c r="K74" s="423">
        <f t="shared" si="17"/>
        <v>7</v>
      </c>
      <c r="L74" s="423">
        <f t="shared" si="29"/>
        <v>7</v>
      </c>
      <c r="M74" s="423">
        <f t="shared" si="30"/>
        <v>10</v>
      </c>
      <c r="N74" s="423">
        <f t="shared" si="30"/>
        <v>6.2976190476190474</v>
      </c>
      <c r="O74" s="423">
        <f t="shared" si="30"/>
        <v>0</v>
      </c>
      <c r="P74" s="423">
        <f t="shared" si="30"/>
        <v>0</v>
      </c>
      <c r="Q74" s="103"/>
      <c r="R74" s="181">
        <f t="shared" si="18"/>
        <v>2.4</v>
      </c>
      <c r="S74" s="181">
        <f t="shared" si="19"/>
        <v>1.6</v>
      </c>
      <c r="T74" s="181">
        <f t="shared" si="20"/>
        <v>1.05</v>
      </c>
      <c r="U74" s="181">
        <f t="shared" si="21"/>
        <v>1.75</v>
      </c>
      <c r="V74" s="181">
        <f t="shared" si="22"/>
        <v>0.5</v>
      </c>
      <c r="W74" s="181">
        <f t="shared" si="23"/>
        <v>0.31488095238095237</v>
      </c>
      <c r="X74" s="181">
        <f t="shared" si="24"/>
        <v>0</v>
      </c>
      <c r="Y74" s="181">
        <f t="shared" si="25"/>
        <v>0</v>
      </c>
      <c r="Z74" s="181">
        <f t="shared" si="26"/>
        <v>7.6148809523809522</v>
      </c>
      <c r="AA74" s="309">
        <f t="shared" si="27"/>
        <v>0.92858120121694276</v>
      </c>
      <c r="AB74" s="181"/>
      <c r="AC74" s="181"/>
      <c r="AD74" s="103"/>
      <c r="AV74" s="305" t="s">
        <v>365</v>
      </c>
      <c r="AW74" s="306"/>
      <c r="AX74" s="306"/>
      <c r="AY74" s="306" t="s">
        <v>386</v>
      </c>
      <c r="AZ74" s="103"/>
      <c r="BA74" s="290">
        <v>7</v>
      </c>
    </row>
    <row r="75" spans="1:53" x14ac:dyDescent="0.25">
      <c r="A75" s="288"/>
      <c r="B75" s="281" t="str">
        <f t="shared" si="14"/>
        <v>Comfort Suites Airport Wichita</v>
      </c>
      <c r="C75" s="281">
        <f t="shared" si="15"/>
        <v>78</v>
      </c>
      <c r="D75" s="281">
        <f t="shared" si="15"/>
        <v>200711</v>
      </c>
      <c r="E75" s="281"/>
      <c r="F75" s="281"/>
      <c r="G75" s="281"/>
      <c r="H75" s="281">
        <f t="shared" si="28"/>
        <v>200711</v>
      </c>
      <c r="I75" s="423">
        <f t="shared" si="16"/>
        <v>7</v>
      </c>
      <c r="J75" s="423">
        <f t="shared" si="16"/>
        <v>7</v>
      </c>
      <c r="K75" s="423">
        <f t="shared" si="17"/>
        <v>7</v>
      </c>
      <c r="L75" s="423">
        <f t="shared" si="29"/>
        <v>9</v>
      </c>
      <c r="M75" s="423">
        <f t="shared" ref="M75:O82" si="31">M58</f>
        <v>10</v>
      </c>
      <c r="N75" s="423">
        <f t="shared" si="31"/>
        <v>6.7820512820512819</v>
      </c>
      <c r="O75" s="423">
        <f t="shared" si="31"/>
        <v>0</v>
      </c>
      <c r="P75" s="423">
        <f t="shared" ref="P75:P82" si="32">P58</f>
        <v>0</v>
      </c>
      <c r="Q75" s="103"/>
      <c r="R75" s="181">
        <f t="shared" si="18"/>
        <v>2.1</v>
      </c>
      <c r="S75" s="181">
        <f t="shared" si="19"/>
        <v>1.4000000000000001</v>
      </c>
      <c r="T75" s="181">
        <f t="shared" si="20"/>
        <v>1.05</v>
      </c>
      <c r="U75" s="181">
        <f t="shared" si="21"/>
        <v>2.25</v>
      </c>
      <c r="V75" s="181">
        <f t="shared" si="22"/>
        <v>0.5</v>
      </c>
      <c r="W75" s="181">
        <f t="shared" si="23"/>
        <v>0.33910256410256412</v>
      </c>
      <c r="X75" s="181">
        <f t="shared" si="24"/>
        <v>0</v>
      </c>
      <c r="Y75" s="181">
        <f t="shared" si="25"/>
        <v>0</v>
      </c>
      <c r="Z75" s="181">
        <f t="shared" si="26"/>
        <v>7.6391025641025641</v>
      </c>
      <c r="AA75" s="309">
        <f t="shared" si="27"/>
        <v>0.93153485649382961</v>
      </c>
      <c r="AB75" s="181"/>
      <c r="AC75" s="181"/>
      <c r="AD75" s="103"/>
      <c r="AV75" s="305" t="s">
        <v>375</v>
      </c>
      <c r="AW75" s="306"/>
      <c r="AX75" s="306"/>
      <c r="AY75" s="306" t="s">
        <v>386</v>
      </c>
      <c r="AZ75" s="103"/>
      <c r="BA75" s="290">
        <v>7</v>
      </c>
    </row>
    <row r="76" spans="1:53" x14ac:dyDescent="0.25">
      <c r="A76" s="288"/>
      <c r="B76" s="281" t="str">
        <f t="shared" si="14"/>
        <v xml:space="preserve">Springhill Suites Wichita Airport </v>
      </c>
      <c r="C76" s="281">
        <f t="shared" si="15"/>
        <v>121</v>
      </c>
      <c r="D76" s="281">
        <f t="shared" si="15"/>
        <v>201501</v>
      </c>
      <c r="E76" s="281"/>
      <c r="F76" s="281"/>
      <c r="G76" s="281"/>
      <c r="H76" s="281">
        <f t="shared" si="28"/>
        <v>201501</v>
      </c>
      <c r="I76" s="423">
        <f t="shared" si="16"/>
        <v>10</v>
      </c>
      <c r="J76" s="423">
        <f t="shared" si="16"/>
        <v>9</v>
      </c>
      <c r="K76" s="423">
        <f t="shared" si="17"/>
        <v>8</v>
      </c>
      <c r="L76" s="423">
        <f t="shared" si="29"/>
        <v>9</v>
      </c>
      <c r="M76" s="423">
        <f t="shared" si="31"/>
        <v>10</v>
      </c>
      <c r="N76" s="423">
        <f t="shared" si="31"/>
        <v>4.3719008264462813</v>
      </c>
      <c r="O76" s="423">
        <f t="shared" si="31"/>
        <v>0</v>
      </c>
      <c r="P76" s="423">
        <f t="shared" si="32"/>
        <v>0</v>
      </c>
      <c r="Q76" s="103"/>
      <c r="R76" s="181">
        <f t="shared" si="18"/>
        <v>3</v>
      </c>
      <c r="S76" s="181">
        <f t="shared" si="19"/>
        <v>1.8</v>
      </c>
      <c r="T76" s="181">
        <f t="shared" si="20"/>
        <v>1.2</v>
      </c>
      <c r="U76" s="181">
        <f t="shared" si="21"/>
        <v>2.25</v>
      </c>
      <c r="V76" s="181">
        <f t="shared" si="22"/>
        <v>0.5</v>
      </c>
      <c r="W76" s="181">
        <f t="shared" si="23"/>
        <v>0.21859504132231408</v>
      </c>
      <c r="X76" s="181">
        <f t="shared" si="24"/>
        <v>0</v>
      </c>
      <c r="Y76" s="181">
        <f t="shared" si="25"/>
        <v>0</v>
      </c>
      <c r="Z76" s="181">
        <f t="shared" si="26"/>
        <v>8.9685950413223132</v>
      </c>
      <c r="AA76" s="309">
        <f t="shared" si="27"/>
        <v>1.0936571180532304</v>
      </c>
      <c r="AB76" s="181"/>
      <c r="AC76" s="181"/>
      <c r="AD76" s="103"/>
      <c r="AV76" s="305" t="s">
        <v>376</v>
      </c>
      <c r="AW76" s="306"/>
      <c r="AX76" s="306"/>
      <c r="AY76" s="306" t="s">
        <v>386</v>
      </c>
      <c r="AZ76" s="103"/>
      <c r="BA76" s="290">
        <v>8</v>
      </c>
    </row>
    <row r="77" spans="1:53" x14ac:dyDescent="0.25">
      <c r="A77" s="288"/>
      <c r="B77" s="281" t="str">
        <f t="shared" si="14"/>
        <v xml:space="preserve"> </v>
      </c>
      <c r="C77" s="281" t="str">
        <f t="shared" si="15"/>
        <v xml:space="preserve"> </v>
      </c>
      <c r="D77" s="281" t="str">
        <f t="shared" si="15"/>
        <v xml:space="preserve"> </v>
      </c>
      <c r="E77" s="281"/>
      <c r="F77" s="281"/>
      <c r="G77" s="281"/>
      <c r="H77" s="281" t="str">
        <f t="shared" si="28"/>
        <v xml:space="preserve"> </v>
      </c>
      <c r="I77" s="423">
        <f t="shared" si="16"/>
        <v>0</v>
      </c>
      <c r="J77" s="423">
        <f t="shared" si="16"/>
        <v>0</v>
      </c>
      <c r="K77" s="423">
        <f t="shared" si="17"/>
        <v>0</v>
      </c>
      <c r="L77" s="423">
        <f t="shared" si="29"/>
        <v>0</v>
      </c>
      <c r="M77" s="423">
        <f t="shared" si="31"/>
        <v>0</v>
      </c>
      <c r="N77" s="423">
        <f t="shared" si="31"/>
        <v>0</v>
      </c>
      <c r="O77" s="423">
        <f t="shared" si="31"/>
        <v>0</v>
      </c>
      <c r="P77" s="423">
        <f t="shared" si="32"/>
        <v>0</v>
      </c>
      <c r="Q77" s="103"/>
      <c r="R77" s="181">
        <f t="shared" si="18"/>
        <v>0</v>
      </c>
      <c r="S77" s="181">
        <f t="shared" si="19"/>
        <v>0</v>
      </c>
      <c r="T77" s="181">
        <f t="shared" si="20"/>
        <v>0</v>
      </c>
      <c r="U77" s="181">
        <f t="shared" si="21"/>
        <v>0</v>
      </c>
      <c r="V77" s="181">
        <f t="shared" si="22"/>
        <v>0</v>
      </c>
      <c r="W77" s="181">
        <f t="shared" si="23"/>
        <v>0</v>
      </c>
      <c r="X77" s="181">
        <f t="shared" si="24"/>
        <v>0</v>
      </c>
      <c r="Y77" s="181">
        <f t="shared" si="25"/>
        <v>0</v>
      </c>
      <c r="Z77" s="181">
        <f t="shared" si="26"/>
        <v>0</v>
      </c>
      <c r="AA77" s="309">
        <f t="shared" si="27"/>
        <v>0</v>
      </c>
      <c r="AB77" s="181"/>
      <c r="AC77" s="181"/>
      <c r="AD77" s="103"/>
      <c r="AV77" s="305" t="s">
        <v>358</v>
      </c>
      <c r="AW77" s="306"/>
      <c r="AX77" s="306"/>
      <c r="AY77" s="306" t="s">
        <v>358</v>
      </c>
      <c r="AZ77" s="103"/>
      <c r="BA77" s="290">
        <v>10</v>
      </c>
    </row>
    <row r="78" spans="1:53" x14ac:dyDescent="0.25">
      <c r="A78" s="288"/>
      <c r="B78" s="281" t="str">
        <f t="shared" si="14"/>
        <v xml:space="preserve"> </v>
      </c>
      <c r="C78" s="281" t="str">
        <f t="shared" si="15"/>
        <v xml:space="preserve"> </v>
      </c>
      <c r="D78" s="281" t="str">
        <f t="shared" si="15"/>
        <v xml:space="preserve"> </v>
      </c>
      <c r="E78" s="281"/>
      <c r="F78" s="281"/>
      <c r="G78" s="281"/>
      <c r="H78" s="281" t="str">
        <f t="shared" si="28"/>
        <v xml:space="preserve"> </v>
      </c>
      <c r="I78" s="423">
        <f t="shared" si="16"/>
        <v>0</v>
      </c>
      <c r="J78" s="423">
        <f t="shared" si="16"/>
        <v>0</v>
      </c>
      <c r="K78" s="423">
        <f t="shared" si="17"/>
        <v>0</v>
      </c>
      <c r="L78" s="423">
        <f t="shared" si="29"/>
        <v>0</v>
      </c>
      <c r="M78" s="423">
        <f t="shared" si="31"/>
        <v>0</v>
      </c>
      <c r="N78" s="423">
        <f t="shared" si="31"/>
        <v>0</v>
      </c>
      <c r="O78" s="423">
        <f t="shared" si="31"/>
        <v>0</v>
      </c>
      <c r="P78" s="423">
        <f t="shared" si="32"/>
        <v>0</v>
      </c>
      <c r="Q78" s="103"/>
      <c r="R78" s="181">
        <f t="shared" si="18"/>
        <v>0</v>
      </c>
      <c r="S78" s="181">
        <f t="shared" si="19"/>
        <v>0</v>
      </c>
      <c r="T78" s="181">
        <f t="shared" si="20"/>
        <v>0</v>
      </c>
      <c r="U78" s="181">
        <f t="shared" si="21"/>
        <v>0</v>
      </c>
      <c r="V78" s="181">
        <f t="shared" si="22"/>
        <v>0</v>
      </c>
      <c r="W78" s="181">
        <f t="shared" si="23"/>
        <v>0</v>
      </c>
      <c r="X78" s="181">
        <f t="shared" si="24"/>
        <v>0</v>
      </c>
      <c r="Y78" s="181">
        <f t="shared" si="25"/>
        <v>0</v>
      </c>
      <c r="Z78" s="181">
        <f t="shared" si="26"/>
        <v>0</v>
      </c>
      <c r="AA78" s="309">
        <f t="shared" si="27"/>
        <v>0</v>
      </c>
      <c r="AB78" s="181"/>
      <c r="AC78" s="181"/>
      <c r="AD78" s="103"/>
      <c r="AV78" s="305" t="s">
        <v>405</v>
      </c>
      <c r="AW78" s="306"/>
      <c r="AX78" s="306"/>
      <c r="AY78" s="306" t="s">
        <v>358</v>
      </c>
      <c r="AZ78" s="179"/>
      <c r="BA78" s="303">
        <v>10</v>
      </c>
    </row>
    <row r="79" spans="1:53" x14ac:dyDescent="0.25">
      <c r="A79" s="288"/>
      <c r="B79" s="281" t="str">
        <f t="shared" si="14"/>
        <v xml:space="preserve"> </v>
      </c>
      <c r="C79" s="281" t="str">
        <f t="shared" si="15"/>
        <v xml:space="preserve"> </v>
      </c>
      <c r="D79" s="281" t="str">
        <f t="shared" si="15"/>
        <v xml:space="preserve"> </v>
      </c>
      <c r="E79" s="281"/>
      <c r="F79" s="281"/>
      <c r="G79" s="281"/>
      <c r="H79" s="281" t="str">
        <f t="shared" si="28"/>
        <v xml:space="preserve"> </v>
      </c>
      <c r="I79" s="423">
        <f t="shared" ref="I79:J82" si="33">I62</f>
        <v>0</v>
      </c>
      <c r="J79" s="423">
        <f t="shared" si="33"/>
        <v>0</v>
      </c>
      <c r="K79" s="423">
        <f t="shared" si="17"/>
        <v>0</v>
      </c>
      <c r="L79" s="423">
        <f t="shared" si="29"/>
        <v>0</v>
      </c>
      <c r="M79" s="423">
        <f t="shared" si="31"/>
        <v>0</v>
      </c>
      <c r="N79" s="423">
        <f t="shared" si="31"/>
        <v>0</v>
      </c>
      <c r="O79" s="423">
        <f t="shared" si="31"/>
        <v>0</v>
      </c>
      <c r="P79" s="423">
        <f t="shared" si="32"/>
        <v>0</v>
      </c>
      <c r="Q79" s="103"/>
      <c r="R79" s="181">
        <f t="shared" si="18"/>
        <v>0</v>
      </c>
      <c r="S79" s="181">
        <f t="shared" si="19"/>
        <v>0</v>
      </c>
      <c r="T79" s="181">
        <f t="shared" si="20"/>
        <v>0</v>
      </c>
      <c r="U79" s="181">
        <f t="shared" si="21"/>
        <v>0</v>
      </c>
      <c r="V79" s="181">
        <f t="shared" si="22"/>
        <v>0</v>
      </c>
      <c r="W79" s="181">
        <f t="shared" si="23"/>
        <v>0</v>
      </c>
      <c r="X79" s="181">
        <f t="shared" si="24"/>
        <v>0</v>
      </c>
      <c r="Y79" s="181">
        <f t="shared" si="25"/>
        <v>0</v>
      </c>
      <c r="Z79" s="181">
        <f t="shared" si="26"/>
        <v>0</v>
      </c>
      <c r="AA79" s="309">
        <f t="shared" si="27"/>
        <v>0</v>
      </c>
      <c r="AB79" s="181"/>
      <c r="AC79" s="181"/>
      <c r="AD79" s="103"/>
      <c r="AV79" s="305" t="s">
        <v>363</v>
      </c>
      <c r="AW79" s="306"/>
      <c r="AX79" s="306"/>
      <c r="AY79" s="306" t="s">
        <v>358</v>
      </c>
      <c r="AZ79" s="103"/>
      <c r="BA79" s="290">
        <v>10</v>
      </c>
    </row>
    <row r="80" spans="1:53" x14ac:dyDescent="0.25">
      <c r="A80" s="288"/>
      <c r="B80" s="281" t="str">
        <f t="shared" si="14"/>
        <v xml:space="preserve"> </v>
      </c>
      <c r="C80" s="281" t="str">
        <f t="shared" si="15"/>
        <v xml:space="preserve"> </v>
      </c>
      <c r="D80" s="281" t="str">
        <f t="shared" si="15"/>
        <v xml:space="preserve"> </v>
      </c>
      <c r="E80" s="281"/>
      <c r="F80" s="281"/>
      <c r="G80" s="281"/>
      <c r="H80" s="281" t="str">
        <f t="shared" si="28"/>
        <v xml:space="preserve"> </v>
      </c>
      <c r="I80" s="423">
        <f t="shared" si="33"/>
        <v>0</v>
      </c>
      <c r="J80" s="423">
        <f t="shared" si="33"/>
        <v>0</v>
      </c>
      <c r="K80" s="423">
        <f t="shared" si="17"/>
        <v>0</v>
      </c>
      <c r="L80" s="423">
        <f t="shared" si="29"/>
        <v>0</v>
      </c>
      <c r="M80" s="423">
        <f t="shared" si="31"/>
        <v>0</v>
      </c>
      <c r="N80" s="423">
        <f t="shared" si="31"/>
        <v>0</v>
      </c>
      <c r="O80" s="423">
        <f t="shared" si="31"/>
        <v>0</v>
      </c>
      <c r="P80" s="423">
        <f t="shared" si="32"/>
        <v>0</v>
      </c>
      <c r="Q80" s="103"/>
      <c r="R80" s="181">
        <f t="shared" si="18"/>
        <v>0</v>
      </c>
      <c r="S80" s="181">
        <f t="shared" si="19"/>
        <v>0</v>
      </c>
      <c r="T80" s="181">
        <f t="shared" si="20"/>
        <v>0</v>
      </c>
      <c r="U80" s="181">
        <f t="shared" si="21"/>
        <v>0</v>
      </c>
      <c r="V80" s="181">
        <f t="shared" si="22"/>
        <v>0</v>
      </c>
      <c r="W80" s="181">
        <f t="shared" si="23"/>
        <v>0</v>
      </c>
      <c r="X80" s="181">
        <f t="shared" si="24"/>
        <v>0</v>
      </c>
      <c r="Y80" s="181">
        <f t="shared" si="25"/>
        <v>0</v>
      </c>
      <c r="Z80" s="181">
        <f t="shared" si="26"/>
        <v>0</v>
      </c>
      <c r="AA80" s="309">
        <f t="shared" si="27"/>
        <v>0</v>
      </c>
      <c r="AB80" s="181"/>
      <c r="AC80" s="181"/>
      <c r="AD80" s="103"/>
      <c r="AV80" s="305" t="s">
        <v>367</v>
      </c>
      <c r="AW80" s="306"/>
      <c r="AX80" s="306"/>
      <c r="AY80" s="306" t="s">
        <v>358</v>
      </c>
      <c r="AZ80" s="103"/>
      <c r="BA80" s="290">
        <v>8</v>
      </c>
    </row>
    <row r="81" spans="1:53" x14ac:dyDescent="0.25">
      <c r="A81" s="288"/>
      <c r="B81" s="281" t="str">
        <f t="shared" si="14"/>
        <v xml:space="preserve"> </v>
      </c>
      <c r="C81" s="281" t="str">
        <f t="shared" si="15"/>
        <v xml:space="preserve"> </v>
      </c>
      <c r="D81" s="281" t="str">
        <f t="shared" si="15"/>
        <v xml:space="preserve"> </v>
      </c>
      <c r="E81" s="281"/>
      <c r="F81" s="281"/>
      <c r="G81" s="281"/>
      <c r="H81" s="281" t="str">
        <f t="shared" si="28"/>
        <v xml:space="preserve"> </v>
      </c>
      <c r="I81" s="423">
        <f t="shared" si="33"/>
        <v>0</v>
      </c>
      <c r="J81" s="423">
        <f t="shared" si="33"/>
        <v>0</v>
      </c>
      <c r="K81" s="423">
        <f t="shared" si="17"/>
        <v>0</v>
      </c>
      <c r="L81" s="423">
        <f t="shared" si="29"/>
        <v>0</v>
      </c>
      <c r="M81" s="423">
        <f t="shared" si="31"/>
        <v>0</v>
      </c>
      <c r="N81" s="423">
        <f t="shared" si="31"/>
        <v>0</v>
      </c>
      <c r="O81" s="423">
        <f t="shared" si="31"/>
        <v>0</v>
      </c>
      <c r="P81" s="423">
        <f t="shared" si="32"/>
        <v>0</v>
      </c>
      <c r="Q81" s="103"/>
      <c r="R81" s="181">
        <f t="shared" si="18"/>
        <v>0</v>
      </c>
      <c r="S81" s="181">
        <f t="shared" si="19"/>
        <v>0</v>
      </c>
      <c r="T81" s="181">
        <f t="shared" si="20"/>
        <v>0</v>
      </c>
      <c r="U81" s="181">
        <f t="shared" si="21"/>
        <v>0</v>
      </c>
      <c r="V81" s="181">
        <f t="shared" si="22"/>
        <v>0</v>
      </c>
      <c r="W81" s="181">
        <f t="shared" si="23"/>
        <v>0</v>
      </c>
      <c r="X81" s="181">
        <f t="shared" si="24"/>
        <v>0</v>
      </c>
      <c r="Y81" s="181">
        <f t="shared" si="25"/>
        <v>0</v>
      </c>
      <c r="Z81" s="181">
        <f t="shared" si="26"/>
        <v>0</v>
      </c>
      <c r="AA81" s="309">
        <f t="shared" si="27"/>
        <v>0</v>
      </c>
      <c r="AB81" s="181"/>
      <c r="AC81" s="181"/>
      <c r="AD81" s="103"/>
      <c r="AV81" s="305" t="s">
        <v>377</v>
      </c>
      <c r="AW81" s="306"/>
      <c r="AX81" s="306"/>
      <c r="AY81" s="306" t="s">
        <v>358</v>
      </c>
      <c r="AZ81" s="103"/>
      <c r="BA81" s="290">
        <v>10</v>
      </c>
    </row>
    <row r="82" spans="1:53" x14ac:dyDescent="0.25">
      <c r="A82" s="294"/>
      <c r="B82" s="281" t="str">
        <f t="shared" si="14"/>
        <v xml:space="preserve"> </v>
      </c>
      <c r="C82" s="281" t="str">
        <f t="shared" si="15"/>
        <v xml:space="preserve"> </v>
      </c>
      <c r="D82" s="281" t="str">
        <f t="shared" si="15"/>
        <v xml:space="preserve"> </v>
      </c>
      <c r="E82" s="281"/>
      <c r="F82" s="281"/>
      <c r="G82" s="281"/>
      <c r="H82" s="281" t="str">
        <f t="shared" si="28"/>
        <v xml:space="preserve"> </v>
      </c>
      <c r="I82" s="424">
        <f t="shared" si="33"/>
        <v>0</v>
      </c>
      <c r="J82" s="424">
        <f t="shared" si="33"/>
        <v>0</v>
      </c>
      <c r="K82" s="424">
        <f t="shared" si="17"/>
        <v>0</v>
      </c>
      <c r="L82" s="424">
        <f t="shared" si="29"/>
        <v>0</v>
      </c>
      <c r="M82" s="424">
        <f t="shared" si="31"/>
        <v>0</v>
      </c>
      <c r="N82" s="424">
        <f t="shared" si="31"/>
        <v>0</v>
      </c>
      <c r="O82" s="424">
        <f t="shared" si="31"/>
        <v>0</v>
      </c>
      <c r="P82" s="424">
        <f t="shared" si="32"/>
        <v>0</v>
      </c>
      <c r="Q82" s="416"/>
      <c r="R82" s="181">
        <f t="shared" si="18"/>
        <v>0</v>
      </c>
      <c r="S82" s="181">
        <f t="shared" si="19"/>
        <v>0</v>
      </c>
      <c r="T82" s="181">
        <f t="shared" si="20"/>
        <v>0</v>
      </c>
      <c r="U82" s="181">
        <f t="shared" si="21"/>
        <v>0</v>
      </c>
      <c r="V82" s="181">
        <f t="shared" si="22"/>
        <v>0</v>
      </c>
      <c r="W82" s="181">
        <f t="shared" si="23"/>
        <v>0</v>
      </c>
      <c r="X82" s="181">
        <f t="shared" si="24"/>
        <v>0</v>
      </c>
      <c r="Y82" s="181">
        <f t="shared" si="25"/>
        <v>0</v>
      </c>
      <c r="Z82" s="421">
        <f t="shared" si="26"/>
        <v>0</v>
      </c>
      <c r="AA82" s="309">
        <f t="shared" si="27"/>
        <v>0</v>
      </c>
      <c r="AB82" s="181"/>
      <c r="AC82" s="181"/>
      <c r="AD82" s="103"/>
      <c r="AV82" s="305" t="s">
        <v>402</v>
      </c>
      <c r="AW82" s="306"/>
      <c r="AX82" s="306"/>
      <c r="AY82" s="306" t="s">
        <v>358</v>
      </c>
      <c r="AZ82" s="103"/>
      <c r="BA82" s="290">
        <v>9</v>
      </c>
    </row>
    <row r="83" spans="1:53" ht="15.75" thickBot="1" x14ac:dyDescent="0.3">
      <c r="A83" s="419"/>
      <c r="B83" s="420"/>
      <c r="C83" s="420">
        <f>SUM(C72:C82)</f>
        <v>529</v>
      </c>
      <c r="D83" s="552"/>
      <c r="E83" s="552"/>
      <c r="F83" s="552"/>
      <c r="G83" s="552"/>
      <c r="H83" s="414"/>
      <c r="I83" s="414"/>
      <c r="J83" s="414"/>
      <c r="K83" s="414"/>
      <c r="L83" s="414"/>
      <c r="M83" s="414"/>
      <c r="N83" s="414"/>
      <c r="O83" s="341"/>
      <c r="P83" s="341"/>
      <c r="Q83" s="414"/>
      <c r="R83" s="415">
        <f t="shared" ref="R83:Z83" si="34">SUM(R72:R82)/$C$47</f>
        <v>2.52</v>
      </c>
      <c r="S83" s="415">
        <f t="shared" si="34"/>
        <v>1.6400000000000001</v>
      </c>
      <c r="T83" s="415">
        <f t="shared" si="34"/>
        <v>1.08</v>
      </c>
      <c r="U83" s="415">
        <f t="shared" si="34"/>
        <v>2.2000000000000002</v>
      </c>
      <c r="V83" s="415">
        <f t="shared" si="34"/>
        <v>0.5</v>
      </c>
      <c r="W83" s="415">
        <f t="shared" si="34"/>
        <v>0.26055471982562894</v>
      </c>
      <c r="X83" s="415">
        <f t="shared" si="34"/>
        <v>0</v>
      </c>
      <c r="Y83" s="415">
        <f t="shared" si="34"/>
        <v>0</v>
      </c>
      <c r="Z83" s="415">
        <f t="shared" si="34"/>
        <v>8.2005547198256288</v>
      </c>
      <c r="AA83" s="181"/>
      <c r="AB83" s="181"/>
      <c r="AC83" s="181"/>
      <c r="AD83" s="103"/>
      <c r="AV83" s="305" t="s">
        <v>361</v>
      </c>
      <c r="AW83" s="306"/>
      <c r="AX83" s="306"/>
      <c r="AY83" s="306" t="s">
        <v>394</v>
      </c>
      <c r="AZ83" s="103"/>
      <c r="BA83" s="290">
        <v>8</v>
      </c>
    </row>
    <row r="84" spans="1:53" ht="15.75" thickTop="1" x14ac:dyDescent="0.25">
      <c r="A84" s="288"/>
      <c r="B84" s="417"/>
      <c r="C84" s="417"/>
      <c r="D84" s="417"/>
      <c r="E84" s="417"/>
      <c r="F84" s="417"/>
      <c r="G84" s="417"/>
      <c r="H84" s="179"/>
      <c r="I84" s="179"/>
      <c r="J84" s="103"/>
      <c r="K84" s="103"/>
      <c r="L84" s="103"/>
      <c r="M84" s="179"/>
      <c r="N84" s="179"/>
      <c r="O84" s="179"/>
      <c r="P84" s="179"/>
      <c r="Q84" s="179"/>
      <c r="R84" s="184"/>
      <c r="S84" s="184"/>
      <c r="T84" s="184"/>
      <c r="U84" s="184"/>
      <c r="V84" s="184"/>
      <c r="W84" s="184"/>
      <c r="X84" s="184"/>
      <c r="Y84" s="184"/>
      <c r="Z84" s="184"/>
      <c r="AA84" s="283"/>
      <c r="AB84" s="103"/>
      <c r="AC84" s="103"/>
      <c r="AD84" s="103"/>
      <c r="AV84" s="305" t="s">
        <v>421</v>
      </c>
      <c r="AW84" s="306"/>
      <c r="AX84" s="306"/>
      <c r="AY84" s="306" t="s">
        <v>394</v>
      </c>
      <c r="AZ84" s="179"/>
      <c r="BA84" s="303">
        <v>7</v>
      </c>
    </row>
    <row r="85" spans="1:53" ht="18.75" x14ac:dyDescent="0.3">
      <c r="A85" s="288"/>
      <c r="B85" s="281"/>
      <c r="C85" s="281"/>
      <c r="D85" s="281"/>
      <c r="E85" s="281"/>
      <c r="F85" s="281"/>
      <c r="G85" s="281"/>
      <c r="H85" s="282"/>
      <c r="I85" s="1109" t="s">
        <v>715</v>
      </c>
      <c r="J85" s="1109"/>
      <c r="K85" s="1109"/>
      <c r="L85" s="1109"/>
      <c r="M85" s="1109"/>
      <c r="N85" s="1109"/>
      <c r="O85" s="1109"/>
      <c r="P85" s="1109"/>
      <c r="Q85" s="411"/>
      <c r="R85" s="411"/>
      <c r="S85" s="411"/>
      <c r="T85" s="411"/>
      <c r="U85" s="411"/>
      <c r="V85" s="411"/>
      <c r="W85" s="411"/>
      <c r="X85" s="411"/>
      <c r="Y85" s="411"/>
      <c r="Z85" s="103"/>
      <c r="AB85" s="283"/>
      <c r="AC85" s="666" t="s">
        <v>772</v>
      </c>
      <c r="AD85" s="666"/>
      <c r="AV85" s="305" t="s">
        <v>385</v>
      </c>
      <c r="AW85" s="306"/>
      <c r="AX85" s="306"/>
      <c r="AY85" s="306" t="s">
        <v>394</v>
      </c>
      <c r="AZ85" s="103"/>
      <c r="BA85" s="290">
        <v>10</v>
      </c>
    </row>
    <row r="86" spans="1:53" s="427" customFormat="1" ht="18.75" x14ac:dyDescent="0.3">
      <c r="A86" s="288"/>
      <c r="B86" s="281"/>
      <c r="C86" s="281"/>
      <c r="D86" s="281"/>
      <c r="E86" s="281"/>
      <c r="F86" s="281"/>
      <c r="G86" s="281"/>
      <c r="H86" s="282"/>
      <c r="I86" s="507" t="str">
        <f t="shared" ref="I86:P86" si="35">I70</f>
        <v>Fran</v>
      </c>
      <c r="J86" s="507" t="str">
        <f t="shared" si="35"/>
        <v>Brand</v>
      </c>
      <c r="K86" s="507" t="str">
        <f t="shared" si="35"/>
        <v>Tier/Segment</v>
      </c>
      <c r="L86" s="507" t="str">
        <f t="shared" si="35"/>
        <v>Cond</v>
      </c>
      <c r="M86" s="507" t="str">
        <f t="shared" si="35"/>
        <v>Location</v>
      </c>
      <c r="N86" s="507" t="str">
        <f t="shared" si="35"/>
        <v>Room Count</v>
      </c>
      <c r="O86" s="507" t="str">
        <f t="shared" si="35"/>
        <v>Future Use</v>
      </c>
      <c r="P86" s="507" t="str">
        <f t="shared" si="35"/>
        <v>Future Use</v>
      </c>
      <c r="Q86" s="411"/>
      <c r="R86" s="411"/>
      <c r="S86" s="411"/>
      <c r="T86" s="411"/>
      <c r="U86" s="411"/>
      <c r="V86" s="411"/>
      <c r="W86" s="411"/>
      <c r="X86" s="411"/>
      <c r="Y86" s="411"/>
      <c r="Z86" s="103"/>
      <c r="AA86" s="283"/>
      <c r="AB86" s="573">
        <v>2018</v>
      </c>
      <c r="AC86" s="573">
        <v>2019</v>
      </c>
      <c r="AD86" s="573">
        <v>2020</v>
      </c>
      <c r="AE86" s="668"/>
      <c r="AF86" s="668"/>
      <c r="AV86" s="305" t="s">
        <v>406</v>
      </c>
      <c r="AW86" s="306"/>
      <c r="AX86" s="306"/>
      <c r="AY86" s="306" t="s">
        <v>406</v>
      </c>
      <c r="AZ86" s="179"/>
      <c r="BA86" s="303">
        <v>7</v>
      </c>
    </row>
    <row r="87" spans="1:53" x14ac:dyDescent="0.25">
      <c r="A87" s="288"/>
      <c r="B87" s="179" t="s">
        <v>86</v>
      </c>
      <c r="C87" s="179" t="s">
        <v>87</v>
      </c>
      <c r="D87" s="179"/>
      <c r="E87" s="179"/>
      <c r="F87" s="179"/>
      <c r="G87" s="179"/>
      <c r="I87" s="555">
        <f t="shared" ref="I87:N88" si="36">+I71</f>
        <v>0.3</v>
      </c>
      <c r="J87" s="555">
        <f t="shared" si="36"/>
        <v>0.2</v>
      </c>
      <c r="K87" s="555">
        <f t="shared" si="36"/>
        <v>0.15</v>
      </c>
      <c r="L87" s="555">
        <f t="shared" si="36"/>
        <v>0.25</v>
      </c>
      <c r="M87" s="555">
        <f t="shared" si="36"/>
        <v>0.05</v>
      </c>
      <c r="N87" s="555">
        <f t="shared" si="36"/>
        <v>0.05</v>
      </c>
      <c r="O87" s="555"/>
      <c r="P87" s="555"/>
      <c r="Q87" s="408"/>
      <c r="R87" s="408"/>
      <c r="S87" s="408"/>
      <c r="T87" s="408"/>
      <c r="U87" s="408"/>
      <c r="V87" s="408"/>
      <c r="W87" s="408"/>
      <c r="X87" s="408"/>
      <c r="Y87" s="408"/>
      <c r="Z87" s="103"/>
      <c r="AA87" s="283"/>
      <c r="AB87" s="666"/>
      <c r="AC87" s="666"/>
      <c r="AD87" s="103"/>
      <c r="AV87" s="305" t="s">
        <v>366</v>
      </c>
      <c r="AW87" s="306"/>
      <c r="AX87" s="306"/>
      <c r="AY87" s="306" t="s">
        <v>390</v>
      </c>
      <c r="AZ87" s="103"/>
      <c r="BA87" s="290">
        <v>6</v>
      </c>
    </row>
    <row r="88" spans="1:53" s="427" customFormat="1" x14ac:dyDescent="0.25">
      <c r="A88" s="288"/>
      <c r="B88" s="281" t="str">
        <f>IF(B55&lt;1," ",B55)</f>
        <v>Hampton Inn &amp; Suites Wichita Airport</v>
      </c>
      <c r="C88" s="281">
        <f>IF(C72&lt;1," ",C72)</f>
        <v>125</v>
      </c>
      <c r="D88" s="281"/>
      <c r="E88" s="281"/>
      <c r="F88" s="281"/>
      <c r="G88" s="281"/>
      <c r="H88" s="281">
        <f>IF(D72&lt;1," ",D72)</f>
        <v>201610</v>
      </c>
      <c r="I88" s="409">
        <f t="shared" si="36"/>
        <v>10</v>
      </c>
      <c r="J88" s="409">
        <f t="shared" si="36"/>
        <v>10</v>
      </c>
      <c r="K88" s="409">
        <f t="shared" si="36"/>
        <v>7</v>
      </c>
      <c r="L88" s="409">
        <f t="shared" si="36"/>
        <v>10</v>
      </c>
      <c r="M88" s="409">
        <f t="shared" si="36"/>
        <v>10</v>
      </c>
      <c r="N88" s="423">
        <f t="shared" si="36"/>
        <v>4.2320000000000002</v>
      </c>
      <c r="O88" s="409"/>
      <c r="P88" s="409"/>
      <c r="Q88" s="408"/>
      <c r="R88" s="181">
        <f t="shared" ref="R88:R116" si="37">+I88*I$54</f>
        <v>3</v>
      </c>
      <c r="S88" s="181">
        <f t="shared" ref="S88:Y88" si="38">+J88*J$54</f>
        <v>2</v>
      </c>
      <c r="T88" s="181">
        <f t="shared" si="38"/>
        <v>1.05</v>
      </c>
      <c r="U88" s="181">
        <f t="shared" si="38"/>
        <v>2.5</v>
      </c>
      <c r="V88" s="181">
        <f t="shared" si="38"/>
        <v>0.5</v>
      </c>
      <c r="W88" s="181">
        <f t="shared" si="38"/>
        <v>0.21160000000000001</v>
      </c>
      <c r="X88" s="181">
        <f t="shared" si="38"/>
        <v>0</v>
      </c>
      <c r="Y88" s="181">
        <f t="shared" si="38"/>
        <v>0</v>
      </c>
      <c r="Z88" s="181">
        <f>SUM(R88:Y88)</f>
        <v>9.2616000000000014</v>
      </c>
      <c r="AA88" s="309">
        <f>+Z88/Z$102</f>
        <v>1.1293870130040342</v>
      </c>
      <c r="AB88" s="309">
        <f>+AA88</f>
        <v>1.1293870130040342</v>
      </c>
      <c r="AC88" s="309">
        <f>+Z88/Z107</f>
        <v>1.1293870130040342</v>
      </c>
      <c r="AD88" s="309">
        <f>+Z88/Z111</f>
        <v>1.1293870130040342</v>
      </c>
      <c r="AE88" s="669"/>
      <c r="AV88" s="305" t="s">
        <v>401</v>
      </c>
      <c r="AW88" s="306"/>
      <c r="AX88" s="306"/>
      <c r="AY88" s="306" t="s">
        <v>390</v>
      </c>
      <c r="AZ88" s="103"/>
      <c r="BA88" s="290">
        <v>7</v>
      </c>
    </row>
    <row r="89" spans="1:53" s="427" customFormat="1" x14ac:dyDescent="0.25">
      <c r="A89" s="288"/>
      <c r="B89" s="281" t="str">
        <f t="shared" ref="B89:B97" si="39">IF(B56&lt;1," ",B56)</f>
        <v>Best Western Plus Wichita West Airport Inn</v>
      </c>
      <c r="C89" s="281">
        <f t="shared" ref="C89:C98" si="40">IF(C73&lt;1," ",C73)</f>
        <v>121</v>
      </c>
      <c r="D89" s="281"/>
      <c r="E89" s="281"/>
      <c r="F89" s="281"/>
      <c r="G89" s="281"/>
      <c r="H89" s="281">
        <f t="shared" ref="H89:H98" si="41">IF(D73&lt;1," ",D73)</f>
        <v>199509</v>
      </c>
      <c r="I89" s="409">
        <f t="shared" ref="I89:N89" si="42">+I73</f>
        <v>7</v>
      </c>
      <c r="J89" s="409">
        <f t="shared" si="42"/>
        <v>7</v>
      </c>
      <c r="K89" s="409">
        <f t="shared" si="42"/>
        <v>7</v>
      </c>
      <c r="L89" s="409">
        <f t="shared" si="42"/>
        <v>9</v>
      </c>
      <c r="M89" s="409">
        <f t="shared" si="42"/>
        <v>10</v>
      </c>
      <c r="N89" s="423">
        <f t="shared" si="42"/>
        <v>4.3719008264462813</v>
      </c>
      <c r="O89" s="409"/>
      <c r="P89" s="409"/>
      <c r="Q89" s="408"/>
      <c r="R89" s="181">
        <f t="shared" si="37"/>
        <v>2.1</v>
      </c>
      <c r="S89" s="181">
        <f t="shared" ref="S89:S116" si="43">+J89*J$54</f>
        <v>1.4000000000000001</v>
      </c>
      <c r="T89" s="181">
        <f t="shared" ref="T89:T116" si="44">+K89*K$54</f>
        <v>1.05</v>
      </c>
      <c r="U89" s="181">
        <f t="shared" ref="U89:U116" si="45">+L89*L$54</f>
        <v>2.25</v>
      </c>
      <c r="V89" s="181">
        <f t="shared" ref="V89:V116" si="46">+M89*M$54</f>
        <v>0.5</v>
      </c>
      <c r="W89" s="181">
        <f t="shared" ref="W89:W98" si="47">+N89*N$54</f>
        <v>0.21859504132231408</v>
      </c>
      <c r="X89" s="181">
        <f t="shared" ref="X89:X116" si="48">+O89*O$54</f>
        <v>0</v>
      </c>
      <c r="Y89" s="181">
        <f t="shared" ref="Y89:Y116" si="49">+P89*P$54</f>
        <v>0</v>
      </c>
      <c r="Z89" s="181">
        <f t="shared" ref="Z89:Z113" si="50">SUM(R89:Y89)</f>
        <v>7.5185950413223139</v>
      </c>
      <c r="AA89" s="309">
        <f t="shared" ref="AA89:AA101" si="51">+Z89/Z$102</f>
        <v>0.91683981123196312</v>
      </c>
      <c r="AB89" s="677"/>
      <c r="AC89" s="677"/>
      <c r="AD89" s="181"/>
      <c r="AV89" s="305" t="s">
        <v>370</v>
      </c>
      <c r="AW89" s="306"/>
      <c r="AX89" s="306"/>
      <c r="AY89" s="306" t="s">
        <v>390</v>
      </c>
      <c r="AZ89" s="103"/>
      <c r="BA89" s="290">
        <v>5</v>
      </c>
    </row>
    <row r="90" spans="1:53" s="427" customFormat="1" x14ac:dyDescent="0.25">
      <c r="A90" s="288"/>
      <c r="B90" s="281" t="str">
        <f t="shared" si="39"/>
        <v>Holiday Inn Express &amp; Suites Wichita Airport</v>
      </c>
      <c r="C90" s="281">
        <f t="shared" si="40"/>
        <v>84</v>
      </c>
      <c r="D90" s="281"/>
      <c r="E90" s="281"/>
      <c r="F90" s="281"/>
      <c r="G90" s="281"/>
      <c r="H90" s="281">
        <f t="shared" si="41"/>
        <v>200703</v>
      </c>
      <c r="I90" s="409">
        <f t="shared" ref="I90:N90" si="52">+I74</f>
        <v>8</v>
      </c>
      <c r="J90" s="409">
        <f t="shared" si="52"/>
        <v>8</v>
      </c>
      <c r="K90" s="409">
        <f t="shared" si="52"/>
        <v>7</v>
      </c>
      <c r="L90" s="409">
        <f t="shared" si="52"/>
        <v>7</v>
      </c>
      <c r="M90" s="409">
        <f t="shared" si="52"/>
        <v>10</v>
      </c>
      <c r="N90" s="423">
        <f t="shared" si="52"/>
        <v>6.2976190476190474</v>
      </c>
      <c r="O90" s="409"/>
      <c r="P90" s="409"/>
      <c r="Q90" s="408"/>
      <c r="R90" s="181">
        <f t="shared" si="37"/>
        <v>2.4</v>
      </c>
      <c r="S90" s="181">
        <f t="shared" si="43"/>
        <v>1.6</v>
      </c>
      <c r="T90" s="181">
        <f t="shared" si="44"/>
        <v>1.05</v>
      </c>
      <c r="U90" s="181">
        <f t="shared" si="45"/>
        <v>1.75</v>
      </c>
      <c r="V90" s="181">
        <f t="shared" si="46"/>
        <v>0.5</v>
      </c>
      <c r="W90" s="181">
        <f t="shared" si="47"/>
        <v>0.31488095238095237</v>
      </c>
      <c r="X90" s="181">
        <f t="shared" si="48"/>
        <v>0</v>
      </c>
      <c r="Y90" s="181">
        <f t="shared" si="49"/>
        <v>0</v>
      </c>
      <c r="Z90" s="181">
        <f t="shared" si="50"/>
        <v>7.6148809523809522</v>
      </c>
      <c r="AA90" s="309">
        <f t="shared" si="51"/>
        <v>0.92858120121694276</v>
      </c>
      <c r="AB90" s="677"/>
      <c r="AC90" s="677"/>
      <c r="AD90" s="181"/>
      <c r="AV90" s="305" t="s">
        <v>378</v>
      </c>
      <c r="AW90" s="306"/>
      <c r="AX90" s="306"/>
      <c r="AY90" s="306" t="s">
        <v>390</v>
      </c>
      <c r="AZ90" s="103"/>
      <c r="BA90" s="290">
        <v>5</v>
      </c>
    </row>
    <row r="91" spans="1:53" s="427" customFormat="1" x14ac:dyDescent="0.25">
      <c r="A91" s="288"/>
      <c r="B91" s="281" t="str">
        <f t="shared" si="39"/>
        <v>Comfort Suites Airport Wichita</v>
      </c>
      <c r="C91" s="281">
        <f t="shared" si="40"/>
        <v>78</v>
      </c>
      <c r="D91" s="281"/>
      <c r="E91" s="281"/>
      <c r="F91" s="281"/>
      <c r="G91" s="281"/>
      <c r="H91" s="281">
        <f t="shared" si="41"/>
        <v>200711</v>
      </c>
      <c r="I91" s="409">
        <f t="shared" ref="I91:N91" si="53">+I75</f>
        <v>7</v>
      </c>
      <c r="J91" s="409">
        <f t="shared" si="53"/>
        <v>7</v>
      </c>
      <c r="K91" s="409">
        <f t="shared" si="53"/>
        <v>7</v>
      </c>
      <c r="L91" s="409">
        <f t="shared" si="53"/>
        <v>9</v>
      </c>
      <c r="M91" s="409">
        <f t="shared" si="53"/>
        <v>10</v>
      </c>
      <c r="N91" s="423">
        <f t="shared" si="53"/>
        <v>6.7820512820512819</v>
      </c>
      <c r="O91" s="409"/>
      <c r="P91" s="409"/>
      <c r="Q91" s="408"/>
      <c r="R91" s="181">
        <f t="shared" si="37"/>
        <v>2.1</v>
      </c>
      <c r="S91" s="181">
        <f t="shared" si="43"/>
        <v>1.4000000000000001</v>
      </c>
      <c r="T91" s="181">
        <f t="shared" si="44"/>
        <v>1.05</v>
      </c>
      <c r="U91" s="181">
        <f t="shared" si="45"/>
        <v>2.25</v>
      </c>
      <c r="V91" s="181">
        <f t="shared" si="46"/>
        <v>0.5</v>
      </c>
      <c r="W91" s="181">
        <f t="shared" si="47"/>
        <v>0.33910256410256412</v>
      </c>
      <c r="X91" s="181">
        <f t="shared" si="48"/>
        <v>0</v>
      </c>
      <c r="Y91" s="181">
        <f t="shared" si="49"/>
        <v>0</v>
      </c>
      <c r="Z91" s="181">
        <f t="shared" si="50"/>
        <v>7.6391025641025641</v>
      </c>
      <c r="AA91" s="309">
        <f t="shared" si="51"/>
        <v>0.93153485649382961</v>
      </c>
      <c r="AB91" s="677"/>
      <c r="AC91" s="677"/>
      <c r="AD91" s="181"/>
      <c r="AV91" s="305" t="s">
        <v>379</v>
      </c>
      <c r="AW91" s="306"/>
      <c r="AX91" s="306"/>
      <c r="AY91" s="306" t="s">
        <v>390</v>
      </c>
      <c r="AZ91" s="103"/>
      <c r="BA91" s="290">
        <v>5</v>
      </c>
    </row>
    <row r="92" spans="1:53" s="427" customFormat="1" x14ac:dyDescent="0.25">
      <c r="A92" s="288"/>
      <c r="B92" s="281" t="str">
        <f t="shared" si="39"/>
        <v xml:space="preserve">Springhill Suites Wichita Airport </v>
      </c>
      <c r="C92" s="281">
        <f t="shared" si="40"/>
        <v>121</v>
      </c>
      <c r="D92" s="281"/>
      <c r="E92" s="281"/>
      <c r="F92" s="281"/>
      <c r="G92" s="281"/>
      <c r="H92" s="281">
        <f t="shared" si="41"/>
        <v>201501</v>
      </c>
      <c r="I92" s="409">
        <f t="shared" ref="I92:N92" si="54">+I76</f>
        <v>10</v>
      </c>
      <c r="J92" s="409">
        <f t="shared" si="54"/>
        <v>9</v>
      </c>
      <c r="K92" s="409">
        <f t="shared" si="54"/>
        <v>8</v>
      </c>
      <c r="L92" s="409">
        <f t="shared" si="54"/>
        <v>9</v>
      </c>
      <c r="M92" s="409">
        <f t="shared" si="54"/>
        <v>10</v>
      </c>
      <c r="N92" s="423">
        <f t="shared" si="54"/>
        <v>4.3719008264462813</v>
      </c>
      <c r="O92" s="409"/>
      <c r="P92" s="409"/>
      <c r="Q92" s="408"/>
      <c r="R92" s="181">
        <f t="shared" si="37"/>
        <v>3</v>
      </c>
      <c r="S92" s="181">
        <f t="shared" si="43"/>
        <v>1.8</v>
      </c>
      <c r="T92" s="181">
        <f t="shared" si="44"/>
        <v>1.2</v>
      </c>
      <c r="U92" s="181">
        <f t="shared" si="45"/>
        <v>2.25</v>
      </c>
      <c r="V92" s="181">
        <f t="shared" si="46"/>
        <v>0.5</v>
      </c>
      <c r="W92" s="181">
        <f t="shared" si="47"/>
        <v>0.21859504132231408</v>
      </c>
      <c r="X92" s="181">
        <f t="shared" si="48"/>
        <v>0</v>
      </c>
      <c r="Y92" s="181">
        <f t="shared" si="49"/>
        <v>0</v>
      </c>
      <c r="Z92" s="181">
        <f t="shared" si="50"/>
        <v>8.9685950413223132</v>
      </c>
      <c r="AA92" s="309">
        <f t="shared" si="51"/>
        <v>1.0936571180532304</v>
      </c>
      <c r="AB92" s="677"/>
      <c r="AC92" s="677"/>
      <c r="AD92" s="181"/>
      <c r="AV92" s="305" t="s">
        <v>389</v>
      </c>
      <c r="AW92" s="306"/>
      <c r="AX92" s="306"/>
      <c r="AY92" s="306" t="s">
        <v>390</v>
      </c>
      <c r="AZ92" s="103"/>
      <c r="BA92" s="290">
        <v>6</v>
      </c>
    </row>
    <row r="93" spans="1:53" s="427" customFormat="1" x14ac:dyDescent="0.25">
      <c r="A93" s="288"/>
      <c r="B93" s="281" t="str">
        <f t="shared" si="39"/>
        <v xml:space="preserve"> </v>
      </c>
      <c r="C93" s="281" t="str">
        <f t="shared" si="40"/>
        <v xml:space="preserve"> </v>
      </c>
      <c r="D93" s="281"/>
      <c r="E93" s="281"/>
      <c r="F93" s="281"/>
      <c r="G93" s="281"/>
      <c r="H93" s="281" t="str">
        <f t="shared" si="41"/>
        <v xml:space="preserve"> </v>
      </c>
      <c r="I93" s="409">
        <f t="shared" ref="I93:N93" si="55">+I77</f>
        <v>0</v>
      </c>
      <c r="J93" s="409">
        <f t="shared" si="55"/>
        <v>0</v>
      </c>
      <c r="K93" s="409">
        <f t="shared" si="55"/>
        <v>0</v>
      </c>
      <c r="L93" s="409">
        <f t="shared" si="55"/>
        <v>0</v>
      </c>
      <c r="M93" s="409">
        <f t="shared" si="55"/>
        <v>0</v>
      </c>
      <c r="N93" s="423">
        <f t="shared" si="55"/>
        <v>0</v>
      </c>
      <c r="O93" s="409"/>
      <c r="P93" s="409"/>
      <c r="Q93" s="408"/>
      <c r="R93" s="181">
        <f t="shared" si="37"/>
        <v>0</v>
      </c>
      <c r="S93" s="181">
        <f t="shared" si="43"/>
        <v>0</v>
      </c>
      <c r="T93" s="181">
        <f t="shared" si="44"/>
        <v>0</v>
      </c>
      <c r="U93" s="181">
        <f t="shared" si="45"/>
        <v>0</v>
      </c>
      <c r="V93" s="181">
        <f t="shared" si="46"/>
        <v>0</v>
      </c>
      <c r="W93" s="181">
        <f t="shared" si="47"/>
        <v>0</v>
      </c>
      <c r="X93" s="181">
        <f t="shared" si="48"/>
        <v>0</v>
      </c>
      <c r="Y93" s="181">
        <f t="shared" si="49"/>
        <v>0</v>
      </c>
      <c r="Z93" s="181">
        <f t="shared" si="50"/>
        <v>0</v>
      </c>
      <c r="AA93" s="309">
        <f t="shared" si="51"/>
        <v>0</v>
      </c>
      <c r="AB93" s="677"/>
      <c r="AC93" s="677"/>
      <c r="AD93" s="181"/>
      <c r="AV93" s="629" t="s">
        <v>418</v>
      </c>
      <c r="AW93" s="306"/>
      <c r="AX93" s="306"/>
      <c r="AY93" s="306" t="s">
        <v>419</v>
      </c>
      <c r="AZ93" s="179"/>
      <c r="BA93" s="303">
        <v>7</v>
      </c>
    </row>
    <row r="94" spans="1:53" s="427" customFormat="1" x14ac:dyDescent="0.25">
      <c r="A94" s="288"/>
      <c r="B94" s="281" t="str">
        <f t="shared" si="39"/>
        <v xml:space="preserve"> </v>
      </c>
      <c r="C94" s="281" t="str">
        <f t="shared" si="40"/>
        <v xml:space="preserve"> </v>
      </c>
      <c r="D94" s="281"/>
      <c r="E94" s="281"/>
      <c r="F94" s="281"/>
      <c r="G94" s="281"/>
      <c r="H94" s="281" t="str">
        <f t="shared" si="41"/>
        <v xml:space="preserve"> </v>
      </c>
      <c r="I94" s="409">
        <f t="shared" ref="I94:N94" si="56">+I78</f>
        <v>0</v>
      </c>
      <c r="J94" s="409">
        <f t="shared" si="56"/>
        <v>0</v>
      </c>
      <c r="K94" s="409">
        <f t="shared" si="56"/>
        <v>0</v>
      </c>
      <c r="L94" s="409">
        <f t="shared" si="56"/>
        <v>0</v>
      </c>
      <c r="M94" s="409">
        <f t="shared" si="56"/>
        <v>0</v>
      </c>
      <c r="N94" s="423">
        <f t="shared" si="56"/>
        <v>0</v>
      </c>
      <c r="O94" s="409"/>
      <c r="P94" s="409"/>
      <c r="Q94" s="408"/>
      <c r="R94" s="181">
        <f t="shared" si="37"/>
        <v>0</v>
      </c>
      <c r="S94" s="181">
        <f t="shared" si="43"/>
        <v>0</v>
      </c>
      <c r="T94" s="181">
        <f t="shared" si="44"/>
        <v>0</v>
      </c>
      <c r="U94" s="181">
        <f t="shared" si="45"/>
        <v>0</v>
      </c>
      <c r="V94" s="181">
        <f t="shared" si="46"/>
        <v>0</v>
      </c>
      <c r="W94" s="181">
        <f t="shared" si="47"/>
        <v>0</v>
      </c>
      <c r="X94" s="181">
        <f t="shared" si="48"/>
        <v>0</v>
      </c>
      <c r="Y94" s="181">
        <f t="shared" si="49"/>
        <v>0</v>
      </c>
      <c r="Z94" s="181">
        <f t="shared" si="50"/>
        <v>0</v>
      </c>
      <c r="AA94" s="309">
        <f t="shared" si="51"/>
        <v>0</v>
      </c>
      <c r="AB94" s="677"/>
      <c r="AC94" s="677"/>
      <c r="AD94" s="181"/>
      <c r="AV94" s="305"/>
      <c r="AW94" s="306"/>
      <c r="AX94" s="306"/>
      <c r="AY94" s="306"/>
      <c r="AZ94" s="179"/>
      <c r="BA94" s="303"/>
    </row>
    <row r="95" spans="1:53" s="427" customFormat="1" x14ac:dyDescent="0.25">
      <c r="A95" s="288"/>
      <c r="B95" s="281" t="str">
        <f t="shared" si="39"/>
        <v xml:space="preserve"> </v>
      </c>
      <c r="C95" s="281" t="str">
        <f t="shared" si="40"/>
        <v xml:space="preserve"> </v>
      </c>
      <c r="D95" s="281"/>
      <c r="E95" s="281"/>
      <c r="F95" s="281"/>
      <c r="G95" s="281"/>
      <c r="H95" s="281" t="str">
        <f t="shared" si="41"/>
        <v xml:space="preserve"> </v>
      </c>
      <c r="I95" s="409">
        <f t="shared" ref="I95:N95" si="57">+I79</f>
        <v>0</v>
      </c>
      <c r="J95" s="409">
        <f t="shared" si="57"/>
        <v>0</v>
      </c>
      <c r="K95" s="409">
        <f t="shared" si="57"/>
        <v>0</v>
      </c>
      <c r="L95" s="409">
        <f t="shared" si="57"/>
        <v>0</v>
      </c>
      <c r="M95" s="409">
        <f t="shared" si="57"/>
        <v>0</v>
      </c>
      <c r="N95" s="423">
        <f t="shared" si="57"/>
        <v>0</v>
      </c>
      <c r="O95" s="409"/>
      <c r="P95" s="409"/>
      <c r="Q95" s="408"/>
      <c r="R95" s="181">
        <f t="shared" si="37"/>
        <v>0</v>
      </c>
      <c r="S95" s="181">
        <f t="shared" si="43"/>
        <v>0</v>
      </c>
      <c r="T95" s="181">
        <f t="shared" si="44"/>
        <v>0</v>
      </c>
      <c r="U95" s="181">
        <f t="shared" si="45"/>
        <v>0</v>
      </c>
      <c r="V95" s="181">
        <f t="shared" si="46"/>
        <v>0</v>
      </c>
      <c r="W95" s="181">
        <f t="shared" si="47"/>
        <v>0</v>
      </c>
      <c r="X95" s="181">
        <f t="shared" si="48"/>
        <v>0</v>
      </c>
      <c r="Y95" s="181">
        <f t="shared" si="49"/>
        <v>0</v>
      </c>
      <c r="Z95" s="181">
        <f t="shared" si="50"/>
        <v>0</v>
      </c>
      <c r="AA95" s="309">
        <f t="shared" si="51"/>
        <v>0</v>
      </c>
      <c r="AB95" s="677"/>
      <c r="AC95" s="677"/>
      <c r="AD95" s="181"/>
      <c r="AV95" s="305"/>
      <c r="AW95" s="306"/>
      <c r="AX95" s="306"/>
      <c r="AY95" s="306"/>
      <c r="AZ95" s="179"/>
      <c r="BA95" s="303"/>
    </row>
    <row r="96" spans="1:53" s="427" customFormat="1" x14ac:dyDescent="0.25">
      <c r="A96" s="288"/>
      <c r="B96" s="281" t="str">
        <f t="shared" si="39"/>
        <v xml:space="preserve"> </v>
      </c>
      <c r="C96" s="281" t="str">
        <f t="shared" si="40"/>
        <v xml:space="preserve"> </v>
      </c>
      <c r="D96" s="281"/>
      <c r="E96" s="281"/>
      <c r="F96" s="281"/>
      <c r="G96" s="281"/>
      <c r="H96" s="281" t="str">
        <f t="shared" si="41"/>
        <v xml:space="preserve"> </v>
      </c>
      <c r="I96" s="409">
        <f t="shared" ref="I96:N96" si="58">+I80</f>
        <v>0</v>
      </c>
      <c r="J96" s="409">
        <f t="shared" si="58"/>
        <v>0</v>
      </c>
      <c r="K96" s="409">
        <f t="shared" si="58"/>
        <v>0</v>
      </c>
      <c r="L96" s="409">
        <f t="shared" si="58"/>
        <v>0</v>
      </c>
      <c r="M96" s="409">
        <f t="shared" si="58"/>
        <v>0</v>
      </c>
      <c r="N96" s="423">
        <f t="shared" si="58"/>
        <v>0</v>
      </c>
      <c r="O96" s="409"/>
      <c r="P96" s="409"/>
      <c r="Q96" s="408"/>
      <c r="R96" s="181">
        <f t="shared" si="37"/>
        <v>0</v>
      </c>
      <c r="S96" s="181">
        <f t="shared" si="43"/>
        <v>0</v>
      </c>
      <c r="T96" s="181">
        <f t="shared" si="44"/>
        <v>0</v>
      </c>
      <c r="U96" s="181">
        <f t="shared" si="45"/>
        <v>0</v>
      </c>
      <c r="V96" s="181">
        <f t="shared" si="46"/>
        <v>0</v>
      </c>
      <c r="W96" s="181">
        <f t="shared" si="47"/>
        <v>0</v>
      </c>
      <c r="X96" s="181">
        <f t="shared" si="48"/>
        <v>0</v>
      </c>
      <c r="Y96" s="181">
        <f t="shared" si="49"/>
        <v>0</v>
      </c>
      <c r="Z96" s="181">
        <f t="shared" si="50"/>
        <v>0</v>
      </c>
      <c r="AA96" s="309">
        <f t="shared" si="51"/>
        <v>0</v>
      </c>
      <c r="AB96" s="677"/>
      <c r="AC96" s="677"/>
      <c r="AD96" s="181"/>
      <c r="AV96" s="305"/>
      <c r="AW96" s="306"/>
      <c r="AX96" s="306"/>
      <c r="AY96" s="306"/>
      <c r="AZ96" s="179"/>
      <c r="BA96" s="303"/>
    </row>
    <row r="97" spans="1:53" s="427" customFormat="1" ht="15.75" thickBot="1" x14ac:dyDescent="0.3">
      <c r="A97" s="288"/>
      <c r="B97" s="281" t="str">
        <f t="shared" si="39"/>
        <v xml:space="preserve"> </v>
      </c>
      <c r="C97" s="281" t="str">
        <f t="shared" si="40"/>
        <v xml:space="preserve"> </v>
      </c>
      <c r="D97" s="281"/>
      <c r="E97" s="281"/>
      <c r="F97" s="281"/>
      <c r="G97" s="281"/>
      <c r="H97" s="281" t="str">
        <f t="shared" si="41"/>
        <v xml:space="preserve"> </v>
      </c>
      <c r="I97" s="409">
        <f t="shared" ref="I97:N97" si="59">+I81</f>
        <v>0</v>
      </c>
      <c r="J97" s="409">
        <f t="shared" si="59"/>
        <v>0</v>
      </c>
      <c r="K97" s="409">
        <f t="shared" si="59"/>
        <v>0</v>
      </c>
      <c r="L97" s="409">
        <f t="shared" si="59"/>
        <v>0</v>
      </c>
      <c r="M97" s="409">
        <f t="shared" si="59"/>
        <v>0</v>
      </c>
      <c r="N97" s="423">
        <f t="shared" si="59"/>
        <v>0</v>
      </c>
      <c r="O97" s="409"/>
      <c r="P97" s="409"/>
      <c r="Q97" s="408"/>
      <c r="R97" s="181">
        <f t="shared" si="37"/>
        <v>0</v>
      </c>
      <c r="S97" s="181">
        <f t="shared" si="43"/>
        <v>0</v>
      </c>
      <c r="T97" s="181">
        <f t="shared" si="44"/>
        <v>0</v>
      </c>
      <c r="U97" s="181">
        <f t="shared" si="45"/>
        <v>0</v>
      </c>
      <c r="V97" s="181">
        <f t="shared" si="46"/>
        <v>0</v>
      </c>
      <c r="W97" s="181">
        <f t="shared" si="47"/>
        <v>0</v>
      </c>
      <c r="X97" s="181">
        <f t="shared" si="48"/>
        <v>0</v>
      </c>
      <c r="Y97" s="181">
        <f t="shared" si="49"/>
        <v>0</v>
      </c>
      <c r="Z97" s="181">
        <f t="shared" si="50"/>
        <v>0</v>
      </c>
      <c r="AA97" s="309">
        <f t="shared" si="51"/>
        <v>0</v>
      </c>
      <c r="AB97" s="678"/>
      <c r="AC97" s="678"/>
      <c r="AD97" s="181"/>
      <c r="AV97" s="630"/>
      <c r="AW97" s="353"/>
      <c r="AX97" s="353"/>
      <c r="AY97" s="353"/>
      <c r="AZ97" s="311"/>
      <c r="BA97" s="354"/>
    </row>
    <row r="98" spans="1:53" x14ac:dyDescent="0.25">
      <c r="A98" s="288"/>
      <c r="B98" s="281" t="str">
        <f>IF(B65&lt;1," ",B80)</f>
        <v xml:space="preserve"> </v>
      </c>
      <c r="C98" s="281" t="str">
        <f t="shared" si="40"/>
        <v xml:space="preserve"> </v>
      </c>
      <c r="D98" s="281"/>
      <c r="E98" s="281"/>
      <c r="F98" s="281"/>
      <c r="G98" s="281"/>
      <c r="H98" s="281" t="str">
        <f t="shared" si="41"/>
        <v xml:space="preserve"> </v>
      </c>
      <c r="I98" s="409">
        <f t="shared" ref="I98:N98" si="60">+I82</f>
        <v>0</v>
      </c>
      <c r="J98" s="409">
        <f t="shared" si="60"/>
        <v>0</v>
      </c>
      <c r="K98" s="409">
        <f t="shared" si="60"/>
        <v>0</v>
      </c>
      <c r="L98" s="409">
        <f t="shared" si="60"/>
        <v>0</v>
      </c>
      <c r="M98" s="409">
        <f t="shared" si="60"/>
        <v>0</v>
      </c>
      <c r="N98" s="409">
        <f t="shared" si="60"/>
        <v>0</v>
      </c>
      <c r="O98" s="409"/>
      <c r="P98" s="409"/>
      <c r="Q98" s="408"/>
      <c r="R98" s="181">
        <f t="shared" si="37"/>
        <v>0</v>
      </c>
      <c r="S98" s="181">
        <f t="shared" si="43"/>
        <v>0</v>
      </c>
      <c r="T98" s="181">
        <f t="shared" si="44"/>
        <v>0</v>
      </c>
      <c r="U98" s="181">
        <f t="shared" si="45"/>
        <v>0</v>
      </c>
      <c r="V98" s="181">
        <f t="shared" si="46"/>
        <v>0</v>
      </c>
      <c r="W98" s="181">
        <f t="shared" si="47"/>
        <v>0</v>
      </c>
      <c r="X98" s="181">
        <f t="shared" si="48"/>
        <v>0</v>
      </c>
      <c r="Y98" s="181">
        <f t="shared" si="49"/>
        <v>0</v>
      </c>
      <c r="Z98" s="181">
        <f t="shared" si="50"/>
        <v>0</v>
      </c>
      <c r="AA98" s="309">
        <f t="shared" si="51"/>
        <v>0</v>
      </c>
      <c r="AB98" s="309"/>
      <c r="AC98" s="309"/>
      <c r="AD98" s="181"/>
    </row>
    <row r="99" spans="1:53" x14ac:dyDescent="0.25">
      <c r="A99" s="288"/>
      <c r="B99" s="281" t="str">
        <f t="shared" ref="B99:C101" si="61">IF(B126&lt;1," ",B126)</f>
        <v xml:space="preserve"> </v>
      </c>
      <c r="C99" s="281" t="str">
        <f t="shared" si="61"/>
        <v xml:space="preserve"> </v>
      </c>
      <c r="D99" s="281"/>
      <c r="E99" s="281"/>
      <c r="F99" s="281"/>
      <c r="G99" s="281"/>
      <c r="H99" s="281">
        <f>IF(H126&lt;1," ",H126)</f>
        <v>2018</v>
      </c>
      <c r="I99" s="423">
        <f t="shared" ref="I99:N99" si="62">+I126*$P126</f>
        <v>0</v>
      </c>
      <c r="J99" s="423">
        <f t="shared" si="62"/>
        <v>0</v>
      </c>
      <c r="K99" s="423">
        <f t="shared" si="62"/>
        <v>0</v>
      </c>
      <c r="L99" s="423">
        <f t="shared" si="62"/>
        <v>0</v>
      </c>
      <c r="M99" s="423">
        <f t="shared" si="62"/>
        <v>0</v>
      </c>
      <c r="N99" s="423">
        <f t="shared" si="62"/>
        <v>0</v>
      </c>
      <c r="O99" s="423"/>
      <c r="P99" s="423"/>
      <c r="Q99" s="103"/>
      <c r="R99" s="181">
        <f t="shared" si="37"/>
        <v>0</v>
      </c>
      <c r="S99" s="181">
        <f t="shared" si="43"/>
        <v>0</v>
      </c>
      <c r="T99" s="181">
        <f t="shared" si="44"/>
        <v>0</v>
      </c>
      <c r="U99" s="181">
        <f t="shared" si="45"/>
        <v>0</v>
      </c>
      <c r="V99" s="181">
        <f t="shared" si="46"/>
        <v>0</v>
      </c>
      <c r="W99" s="181">
        <f>IF(I99&gt;0,+N99*N$54,0)</f>
        <v>0</v>
      </c>
      <c r="X99" s="181">
        <f t="shared" si="48"/>
        <v>0</v>
      </c>
      <c r="Y99" s="181">
        <f t="shared" si="49"/>
        <v>0</v>
      </c>
      <c r="Z99" s="181">
        <f t="shared" si="50"/>
        <v>0</v>
      </c>
      <c r="AA99" s="309">
        <f t="shared" si="51"/>
        <v>0</v>
      </c>
      <c r="AB99" s="309"/>
      <c r="AC99" s="309"/>
      <c r="AD99" s="181"/>
    </row>
    <row r="100" spans="1:53" x14ac:dyDescent="0.25">
      <c r="A100" s="288"/>
      <c r="B100" s="281" t="str">
        <f t="shared" si="61"/>
        <v xml:space="preserve"> </v>
      </c>
      <c r="C100" s="281" t="str">
        <f t="shared" si="61"/>
        <v xml:space="preserve"> </v>
      </c>
      <c r="D100" s="281"/>
      <c r="E100" s="281"/>
      <c r="F100" s="281"/>
      <c r="G100" s="281"/>
      <c r="H100" s="281">
        <f>IF(H127&lt;1," ",H127)</f>
        <v>2018</v>
      </c>
      <c r="I100" s="423">
        <f t="shared" ref="I100:N100" si="63">+I127*$P127</f>
        <v>0</v>
      </c>
      <c r="J100" s="423">
        <f t="shared" si="63"/>
        <v>0</v>
      </c>
      <c r="K100" s="423">
        <f t="shared" si="63"/>
        <v>0</v>
      </c>
      <c r="L100" s="423">
        <f t="shared" si="63"/>
        <v>0</v>
      </c>
      <c r="M100" s="423">
        <f t="shared" si="63"/>
        <v>0</v>
      </c>
      <c r="N100" s="423">
        <f t="shared" si="63"/>
        <v>0</v>
      </c>
      <c r="O100" s="423"/>
      <c r="P100" s="423"/>
      <c r="Q100" s="103"/>
      <c r="R100" s="181">
        <f t="shared" si="37"/>
        <v>0</v>
      </c>
      <c r="S100" s="181">
        <f t="shared" si="43"/>
        <v>0</v>
      </c>
      <c r="T100" s="181">
        <f t="shared" si="44"/>
        <v>0</v>
      </c>
      <c r="U100" s="181">
        <f t="shared" si="45"/>
        <v>0</v>
      </c>
      <c r="V100" s="181">
        <f t="shared" si="46"/>
        <v>0</v>
      </c>
      <c r="W100" s="181">
        <f>IF(I100&gt;0,+N100*N$54,0)</f>
        <v>0</v>
      </c>
      <c r="X100" s="181">
        <f t="shared" si="48"/>
        <v>0</v>
      </c>
      <c r="Y100" s="181">
        <f t="shared" si="49"/>
        <v>0</v>
      </c>
      <c r="Z100" s="181">
        <f t="shared" si="50"/>
        <v>0</v>
      </c>
      <c r="AA100" s="309">
        <f t="shared" si="51"/>
        <v>0</v>
      </c>
      <c r="AB100" s="181"/>
      <c r="AC100" s="181"/>
      <c r="AD100" s="181"/>
    </row>
    <row r="101" spans="1:53" x14ac:dyDescent="0.25">
      <c r="A101" s="288"/>
      <c r="B101" s="281" t="str">
        <f t="shared" si="61"/>
        <v xml:space="preserve"> </v>
      </c>
      <c r="C101" s="281" t="str">
        <f t="shared" si="61"/>
        <v xml:space="preserve"> </v>
      </c>
      <c r="D101" s="281"/>
      <c r="E101" s="281"/>
      <c r="F101" s="281"/>
      <c r="G101" s="281"/>
      <c r="H101" s="281">
        <f>IF(H128&lt;1," ",H128)</f>
        <v>2018</v>
      </c>
      <c r="I101" s="423">
        <f t="shared" ref="I101:N101" si="64">+I128*$P128</f>
        <v>0</v>
      </c>
      <c r="J101" s="423">
        <f t="shared" si="64"/>
        <v>0</v>
      </c>
      <c r="K101" s="423">
        <f t="shared" si="64"/>
        <v>0</v>
      </c>
      <c r="L101" s="423">
        <f t="shared" si="64"/>
        <v>0</v>
      </c>
      <c r="M101" s="423">
        <f t="shared" si="64"/>
        <v>0</v>
      </c>
      <c r="N101" s="423">
        <f t="shared" si="64"/>
        <v>0</v>
      </c>
      <c r="O101" s="423"/>
      <c r="P101" s="423"/>
      <c r="Q101" s="103"/>
      <c r="R101" s="181">
        <f t="shared" si="37"/>
        <v>0</v>
      </c>
      <c r="S101" s="181">
        <f t="shared" si="43"/>
        <v>0</v>
      </c>
      <c r="T101" s="181">
        <f t="shared" si="44"/>
        <v>0</v>
      </c>
      <c r="U101" s="181">
        <f t="shared" si="45"/>
        <v>0</v>
      </c>
      <c r="V101" s="181">
        <f t="shared" si="46"/>
        <v>0</v>
      </c>
      <c r="W101" s="181">
        <f>IF(I101&gt;0,+N101*N$54,0)</f>
        <v>0</v>
      </c>
      <c r="X101" s="181">
        <f t="shared" si="48"/>
        <v>0</v>
      </c>
      <c r="Y101" s="181">
        <f t="shared" si="49"/>
        <v>0</v>
      </c>
      <c r="Z101" s="181">
        <f>SUM(R101:Y101)</f>
        <v>0</v>
      </c>
      <c r="AA101" s="309">
        <f t="shared" si="51"/>
        <v>0</v>
      </c>
      <c r="AB101" s="181"/>
      <c r="AC101" s="181"/>
      <c r="AD101" s="181"/>
    </row>
    <row r="102" spans="1:53" s="427" customFormat="1" ht="15.75" thickBot="1" x14ac:dyDescent="0.3">
      <c r="A102" s="288"/>
      <c r="B102" s="281"/>
      <c r="C102" s="281">
        <f>SUM(C88:C101)</f>
        <v>529</v>
      </c>
      <c r="D102" s="281"/>
      <c r="E102" s="281"/>
      <c r="F102" s="281"/>
      <c r="G102" s="281"/>
      <c r="H102" s="281"/>
      <c r="I102" s="423"/>
      <c r="J102" s="423"/>
      <c r="K102" s="423"/>
      <c r="L102" s="423"/>
      <c r="M102" s="423"/>
      <c r="N102" s="423"/>
      <c r="O102" s="423"/>
      <c r="P102" s="423"/>
      <c r="Q102" s="103"/>
      <c r="R102" s="415">
        <f>SUM(R88:R100)</f>
        <v>12.6</v>
      </c>
      <c r="S102" s="415">
        <f t="shared" ref="S102:Y102" si="65">SUM(S88:S100)</f>
        <v>8.2000000000000011</v>
      </c>
      <c r="T102" s="415">
        <f t="shared" si="65"/>
        <v>5.4</v>
      </c>
      <c r="U102" s="415">
        <f t="shared" si="65"/>
        <v>11</v>
      </c>
      <c r="V102" s="415">
        <f t="shared" si="65"/>
        <v>2.5</v>
      </c>
      <c r="W102" s="415">
        <f t="shared" si="65"/>
        <v>1.3027735991281446</v>
      </c>
      <c r="X102" s="415">
        <f t="shared" si="65"/>
        <v>0</v>
      </c>
      <c r="Y102" s="415">
        <f t="shared" si="65"/>
        <v>0</v>
      </c>
      <c r="Z102" s="667">
        <f>SUM(Z88:Z101)/COUNTIF(Z88:Z101,"&gt;0")</f>
        <v>8.2005547198256288</v>
      </c>
      <c r="AA102" s="679"/>
      <c r="AB102" s="181"/>
      <c r="AC102" s="181"/>
      <c r="AD102" s="181"/>
    </row>
    <row r="103" spans="1:53" s="427" customFormat="1" ht="15.75" thickTop="1" x14ac:dyDescent="0.25">
      <c r="A103" s="288"/>
      <c r="B103" s="281"/>
      <c r="C103" s="281"/>
      <c r="D103" s="281"/>
      <c r="E103" s="281"/>
      <c r="F103" s="281"/>
      <c r="G103" s="281"/>
      <c r="H103" s="281"/>
      <c r="I103" s="423"/>
      <c r="J103" s="423"/>
      <c r="K103" s="423"/>
      <c r="L103" s="423"/>
      <c r="M103" s="423"/>
      <c r="N103" s="423"/>
      <c r="O103" s="423"/>
      <c r="P103" s="423"/>
      <c r="Q103" s="103"/>
      <c r="R103" s="181"/>
      <c r="S103" s="181"/>
      <c r="T103" s="181"/>
      <c r="U103" s="181"/>
      <c r="V103" s="181"/>
      <c r="W103" s="181"/>
      <c r="X103" s="181"/>
      <c r="Y103" s="181"/>
      <c r="Z103" s="181"/>
      <c r="AA103" s="309"/>
      <c r="AB103" s="181"/>
      <c r="AC103" s="181"/>
      <c r="AD103" s="181"/>
    </row>
    <row r="104" spans="1:53" x14ac:dyDescent="0.25">
      <c r="A104" s="288"/>
      <c r="B104" s="281" t="str">
        <f t="shared" ref="B104:C106" si="66">IF(B129&lt;1," ",B129)</f>
        <v xml:space="preserve"> </v>
      </c>
      <c r="C104" s="281" t="str">
        <f t="shared" si="66"/>
        <v xml:space="preserve"> </v>
      </c>
      <c r="D104" s="281"/>
      <c r="E104" s="281"/>
      <c r="F104" s="281"/>
      <c r="G104" s="281"/>
      <c r="H104" s="281">
        <f>IF(H129&lt;1," ",H129)</f>
        <v>2019</v>
      </c>
      <c r="I104" s="423">
        <f t="shared" ref="I104:N104" si="67">+I129*$P129</f>
        <v>0</v>
      </c>
      <c r="J104" s="423">
        <f t="shared" si="67"/>
        <v>0</v>
      </c>
      <c r="K104" s="423">
        <f t="shared" si="67"/>
        <v>0</v>
      </c>
      <c r="L104" s="423">
        <f t="shared" si="67"/>
        <v>0</v>
      </c>
      <c r="M104" s="423">
        <f t="shared" si="67"/>
        <v>0</v>
      </c>
      <c r="N104" s="423">
        <f t="shared" si="67"/>
        <v>0</v>
      </c>
      <c r="O104" s="423"/>
      <c r="P104" s="423"/>
      <c r="Q104" s="103"/>
      <c r="R104" s="181">
        <f t="shared" si="37"/>
        <v>0</v>
      </c>
      <c r="S104" s="181">
        <f t="shared" si="43"/>
        <v>0</v>
      </c>
      <c r="T104" s="181">
        <f t="shared" si="44"/>
        <v>0</v>
      </c>
      <c r="U104" s="181">
        <f t="shared" si="45"/>
        <v>0</v>
      </c>
      <c r="V104" s="181">
        <f t="shared" si="46"/>
        <v>0</v>
      </c>
      <c r="W104" s="181">
        <f>IF(I104&gt;0,+N104*N$54,0)</f>
        <v>0</v>
      </c>
      <c r="X104" s="181">
        <f t="shared" si="48"/>
        <v>0</v>
      </c>
      <c r="Y104" s="181">
        <f t="shared" si="49"/>
        <v>0</v>
      </c>
      <c r="Z104" s="5">
        <f t="shared" ref="Z104:Z110" si="68">SUM(R104:Y104)</f>
        <v>0</v>
      </c>
      <c r="AA104" s="40">
        <f>+Z104/Z$107</f>
        <v>0</v>
      </c>
      <c r="AB104" s="181"/>
      <c r="AC104" s="181"/>
      <c r="AD104" s="181"/>
    </row>
    <row r="105" spans="1:53" x14ac:dyDescent="0.25">
      <c r="A105" s="288"/>
      <c r="B105" s="281" t="str">
        <f t="shared" si="66"/>
        <v xml:space="preserve"> </v>
      </c>
      <c r="C105" s="281" t="str">
        <f t="shared" si="66"/>
        <v xml:space="preserve"> </v>
      </c>
      <c r="D105" s="281"/>
      <c r="E105" s="281"/>
      <c r="F105" s="281"/>
      <c r="G105" s="281"/>
      <c r="H105" s="281">
        <f>IF(H130&lt;1," ",H130)</f>
        <v>2019</v>
      </c>
      <c r="I105" s="423">
        <f t="shared" ref="I105:N105" si="69">+I130*$P130</f>
        <v>0</v>
      </c>
      <c r="J105" s="423">
        <f t="shared" si="69"/>
        <v>0</v>
      </c>
      <c r="K105" s="423">
        <f t="shared" si="69"/>
        <v>0</v>
      </c>
      <c r="L105" s="423">
        <f t="shared" si="69"/>
        <v>0</v>
      </c>
      <c r="M105" s="423">
        <f t="shared" si="69"/>
        <v>0</v>
      </c>
      <c r="N105" s="423">
        <f t="shared" si="69"/>
        <v>0</v>
      </c>
      <c r="O105" s="423"/>
      <c r="P105" s="423"/>
      <c r="Q105" s="103"/>
      <c r="R105" s="181">
        <f t="shared" si="37"/>
        <v>0</v>
      </c>
      <c r="S105" s="181">
        <f t="shared" si="43"/>
        <v>0</v>
      </c>
      <c r="T105" s="181">
        <f t="shared" si="44"/>
        <v>0</v>
      </c>
      <c r="U105" s="181">
        <f t="shared" si="45"/>
        <v>0</v>
      </c>
      <c r="V105" s="181">
        <f t="shared" si="46"/>
        <v>0</v>
      </c>
      <c r="W105" s="181">
        <f>IF(I105&gt;0,+N105*N$54,0)</f>
        <v>0</v>
      </c>
      <c r="X105" s="181">
        <f t="shared" si="48"/>
        <v>0</v>
      </c>
      <c r="Y105" s="181">
        <f t="shared" si="49"/>
        <v>0</v>
      </c>
      <c r="Z105" s="5">
        <f t="shared" si="68"/>
        <v>0</v>
      </c>
      <c r="AA105" s="40">
        <f>+Z105/Z$107</f>
        <v>0</v>
      </c>
      <c r="AB105" s="181"/>
      <c r="AC105" s="181"/>
      <c r="AD105" s="181"/>
    </row>
    <row r="106" spans="1:53" x14ac:dyDescent="0.25">
      <c r="A106" s="288"/>
      <c r="B106" s="281" t="str">
        <f t="shared" si="66"/>
        <v xml:space="preserve"> </v>
      </c>
      <c r="C106" s="281" t="str">
        <f t="shared" si="66"/>
        <v xml:space="preserve"> </v>
      </c>
      <c r="D106" s="281"/>
      <c r="E106" s="281"/>
      <c r="F106" s="281"/>
      <c r="G106" s="281"/>
      <c r="H106" s="281">
        <f>IF(H131&lt;1," ",H131)</f>
        <v>2019</v>
      </c>
      <c r="I106" s="423">
        <f t="shared" ref="I106:N106" si="70">+I131*$P131</f>
        <v>0</v>
      </c>
      <c r="J106" s="423">
        <f t="shared" si="70"/>
        <v>0</v>
      </c>
      <c r="K106" s="423">
        <f t="shared" si="70"/>
        <v>0</v>
      </c>
      <c r="L106" s="423">
        <f t="shared" si="70"/>
        <v>0</v>
      </c>
      <c r="M106" s="423">
        <f t="shared" si="70"/>
        <v>0</v>
      </c>
      <c r="N106" s="423">
        <f t="shared" si="70"/>
        <v>0</v>
      </c>
      <c r="O106" s="423"/>
      <c r="P106" s="423"/>
      <c r="Q106" s="103"/>
      <c r="R106" s="181">
        <f t="shared" si="37"/>
        <v>0</v>
      </c>
      <c r="S106" s="181">
        <f t="shared" si="43"/>
        <v>0</v>
      </c>
      <c r="T106" s="181">
        <f t="shared" si="44"/>
        <v>0</v>
      </c>
      <c r="U106" s="181">
        <f t="shared" si="45"/>
        <v>0</v>
      </c>
      <c r="V106" s="181">
        <f t="shared" si="46"/>
        <v>0</v>
      </c>
      <c r="W106" s="181">
        <f>IF(I106&gt;0,+N106*N$54,0)</f>
        <v>0</v>
      </c>
      <c r="X106" s="181">
        <f t="shared" si="48"/>
        <v>0</v>
      </c>
      <c r="Y106" s="181">
        <f t="shared" si="49"/>
        <v>0</v>
      </c>
      <c r="Z106" s="5">
        <f t="shared" si="68"/>
        <v>0</v>
      </c>
      <c r="AA106" s="40">
        <f>+Z106/Z$107</f>
        <v>0</v>
      </c>
      <c r="AB106" s="181"/>
      <c r="AC106" s="181"/>
      <c r="AD106" s="181"/>
    </row>
    <row r="107" spans="1:53" s="427" customFormat="1" ht="15.75" thickBot="1" x14ac:dyDescent="0.3">
      <c r="A107" s="288"/>
      <c r="B107" s="281"/>
      <c r="C107" s="281">
        <f>SUM(C104:C106)+C102</f>
        <v>529</v>
      </c>
      <c r="D107" s="281"/>
      <c r="E107" s="281"/>
      <c r="F107" s="281"/>
      <c r="G107" s="281"/>
      <c r="H107" s="281"/>
      <c r="I107" s="423"/>
      <c r="J107" s="423"/>
      <c r="K107" s="423"/>
      <c r="L107" s="423"/>
      <c r="M107" s="423"/>
      <c r="N107" s="423"/>
      <c r="O107" s="423"/>
      <c r="P107" s="423"/>
      <c r="Q107" s="103"/>
      <c r="R107" s="415">
        <f>SUM(R104:R106)</f>
        <v>0</v>
      </c>
      <c r="S107" s="415">
        <f t="shared" ref="S107:Y107" si="71">SUM(S104:S106)</f>
        <v>0</v>
      </c>
      <c r="T107" s="415">
        <f t="shared" si="71"/>
        <v>0</v>
      </c>
      <c r="U107" s="415">
        <f t="shared" si="71"/>
        <v>0</v>
      </c>
      <c r="V107" s="415">
        <f t="shared" si="71"/>
        <v>0</v>
      </c>
      <c r="W107" s="415">
        <f t="shared" si="71"/>
        <v>0</v>
      </c>
      <c r="X107" s="415">
        <f t="shared" si="71"/>
        <v>0</v>
      </c>
      <c r="Y107" s="415">
        <f t="shared" si="71"/>
        <v>0</v>
      </c>
      <c r="Z107" s="667">
        <f>Z102+SUM(Z$104:Z$106)/(COUNTIF(Z$104:Z$106,"&gt;0")+COUNTIF(Z$88:Z$101,"&gt;0"))</f>
        <v>8.2005547198256288</v>
      </c>
      <c r="AA107" s="40"/>
      <c r="AB107" s="181"/>
      <c r="AC107" s="181"/>
      <c r="AD107" s="181"/>
    </row>
    <row r="108" spans="1:53" s="427" customFormat="1" ht="15.75" thickTop="1" x14ac:dyDescent="0.25">
      <c r="A108" s="288"/>
      <c r="B108" s="281"/>
      <c r="C108" s="281"/>
      <c r="D108" s="281"/>
      <c r="E108" s="281"/>
      <c r="F108" s="281"/>
      <c r="G108" s="281"/>
      <c r="H108" s="281"/>
      <c r="I108" s="423"/>
      <c r="J108" s="423"/>
      <c r="K108" s="423"/>
      <c r="L108" s="423"/>
      <c r="M108" s="423"/>
      <c r="N108" s="423"/>
      <c r="O108" s="423"/>
      <c r="P108" s="423"/>
      <c r="Q108" s="103"/>
      <c r="R108" s="181"/>
      <c r="S108" s="181"/>
      <c r="T108" s="181"/>
      <c r="U108" s="181"/>
      <c r="V108" s="181"/>
      <c r="W108" s="181"/>
      <c r="X108" s="181"/>
      <c r="Y108" s="181"/>
      <c r="Z108" s="5"/>
      <c r="AA108" s="40"/>
      <c r="AB108" s="181"/>
      <c r="AC108" s="181"/>
      <c r="AD108" s="181"/>
    </row>
    <row r="109" spans="1:53" x14ac:dyDescent="0.25">
      <c r="A109" s="288"/>
      <c r="B109" s="281" t="str">
        <f>IF(B132&lt;1," ",B132)</f>
        <v xml:space="preserve"> </v>
      </c>
      <c r="C109" s="281" t="str">
        <f>IF(C132&lt;1," ",C132)</f>
        <v xml:space="preserve"> </v>
      </c>
      <c r="D109" s="281"/>
      <c r="E109" s="281"/>
      <c r="F109" s="281"/>
      <c r="G109" s="281"/>
      <c r="H109" s="281">
        <f>IF(H132&lt;1," ",H132)</f>
        <v>2020</v>
      </c>
      <c r="I109" s="423">
        <f t="shared" ref="I109:N109" si="72">+I132*$P132</f>
        <v>0</v>
      </c>
      <c r="J109" s="423">
        <f t="shared" si="72"/>
        <v>0</v>
      </c>
      <c r="K109" s="423">
        <f t="shared" si="72"/>
        <v>0</v>
      </c>
      <c r="L109" s="423">
        <f t="shared" si="72"/>
        <v>0</v>
      </c>
      <c r="M109" s="423">
        <f t="shared" si="72"/>
        <v>0</v>
      </c>
      <c r="N109" s="423">
        <f t="shared" si="72"/>
        <v>0</v>
      </c>
      <c r="O109" s="423"/>
      <c r="P109" s="423"/>
      <c r="Q109" s="103"/>
      <c r="R109" s="181">
        <f t="shared" si="37"/>
        <v>0</v>
      </c>
      <c r="S109" s="181">
        <f t="shared" si="43"/>
        <v>0</v>
      </c>
      <c r="T109" s="181">
        <f t="shared" si="44"/>
        <v>0</v>
      </c>
      <c r="U109" s="181">
        <f t="shared" si="45"/>
        <v>0</v>
      </c>
      <c r="V109" s="181">
        <f t="shared" si="46"/>
        <v>0</v>
      </c>
      <c r="W109" s="181">
        <f>IF(I109&gt;0,+N109*N$54,0)</f>
        <v>0</v>
      </c>
      <c r="X109" s="181">
        <f t="shared" si="48"/>
        <v>0</v>
      </c>
      <c r="Y109" s="181">
        <f t="shared" si="49"/>
        <v>0</v>
      </c>
      <c r="Z109" s="181">
        <f t="shared" si="68"/>
        <v>0</v>
      </c>
      <c r="AA109" s="309">
        <f>+Z109/Z$111</f>
        <v>0</v>
      </c>
      <c r="AB109" s="181"/>
      <c r="AC109" s="181"/>
      <c r="AD109" s="181"/>
    </row>
    <row r="110" spans="1:53" x14ac:dyDescent="0.25">
      <c r="A110" s="288"/>
      <c r="B110" s="281" t="str">
        <f>IF(B133&lt;1," ",B133)</f>
        <v xml:space="preserve"> </v>
      </c>
      <c r="C110" s="281" t="str">
        <f>IF(C133&lt;1," ",C133)</f>
        <v xml:space="preserve"> </v>
      </c>
      <c r="D110" s="281"/>
      <c r="E110" s="281"/>
      <c r="F110" s="281"/>
      <c r="G110" s="281"/>
      <c r="H110" s="281">
        <f>IF(H133&lt;1," ",H133)</f>
        <v>2020</v>
      </c>
      <c r="I110" s="423">
        <f t="shared" ref="I110:N110" si="73">+I133*$P133</f>
        <v>0</v>
      </c>
      <c r="J110" s="423">
        <f t="shared" si="73"/>
        <v>0</v>
      </c>
      <c r="K110" s="423">
        <f t="shared" si="73"/>
        <v>0</v>
      </c>
      <c r="L110" s="423">
        <f t="shared" si="73"/>
        <v>0</v>
      </c>
      <c r="M110" s="423">
        <f t="shared" si="73"/>
        <v>0</v>
      </c>
      <c r="N110" s="423">
        <f t="shared" si="73"/>
        <v>0</v>
      </c>
      <c r="O110" s="423"/>
      <c r="P110" s="423"/>
      <c r="Q110" s="103"/>
      <c r="R110" s="181">
        <f t="shared" si="37"/>
        <v>0</v>
      </c>
      <c r="S110" s="181">
        <f t="shared" si="43"/>
        <v>0</v>
      </c>
      <c r="T110" s="181">
        <f t="shared" si="44"/>
        <v>0</v>
      </c>
      <c r="U110" s="181">
        <f t="shared" si="45"/>
        <v>0</v>
      </c>
      <c r="V110" s="181">
        <f t="shared" si="46"/>
        <v>0</v>
      </c>
      <c r="W110" s="181">
        <f>IF(I110&gt;0,+N110*N$54,0)</f>
        <v>0</v>
      </c>
      <c r="X110" s="181">
        <f t="shared" si="48"/>
        <v>0</v>
      </c>
      <c r="Y110" s="181">
        <f t="shared" si="49"/>
        <v>0</v>
      </c>
      <c r="Z110" s="181">
        <f t="shared" si="68"/>
        <v>0</v>
      </c>
      <c r="AA110" s="309">
        <f>+Z110/Z$111</f>
        <v>0</v>
      </c>
      <c r="AB110" s="181"/>
      <c r="AC110" s="181"/>
      <c r="AD110" s="181"/>
    </row>
    <row r="111" spans="1:53" s="427" customFormat="1" ht="15.75" thickBot="1" x14ac:dyDescent="0.3">
      <c r="A111" s="288"/>
      <c r="B111" s="281"/>
      <c r="C111" s="281">
        <f>+C107+SUM(C109:C110)</f>
        <v>529</v>
      </c>
      <c r="D111" s="281"/>
      <c r="E111" s="281"/>
      <c r="F111" s="281"/>
      <c r="G111" s="281"/>
      <c r="H111" s="281"/>
      <c r="I111" s="423"/>
      <c r="J111" s="423"/>
      <c r="K111" s="423"/>
      <c r="L111" s="423"/>
      <c r="M111" s="423"/>
      <c r="N111" s="423"/>
      <c r="O111" s="423"/>
      <c r="P111" s="423"/>
      <c r="Q111" s="103"/>
      <c r="R111" s="415">
        <f>SUM(R109:R110)</f>
        <v>0</v>
      </c>
      <c r="S111" s="415">
        <f t="shared" ref="S111:Y111" si="74">SUM(S109:S110)</f>
        <v>0</v>
      </c>
      <c r="T111" s="415">
        <f t="shared" si="74"/>
        <v>0</v>
      </c>
      <c r="U111" s="415">
        <f t="shared" si="74"/>
        <v>0</v>
      </c>
      <c r="V111" s="415">
        <f t="shared" si="74"/>
        <v>0</v>
      </c>
      <c r="W111" s="415">
        <f t="shared" si="74"/>
        <v>0</v>
      </c>
      <c r="X111" s="415">
        <f t="shared" si="74"/>
        <v>0</v>
      </c>
      <c r="Y111" s="415">
        <f t="shared" si="74"/>
        <v>0</v>
      </c>
      <c r="Z111" s="667">
        <f>+Z102+SUM(Z$104:Z$106)/(COUNTIF(Z88:Z101,"&gt;0")+COUNTIF(Z104:Z106,"&gt;0")+COUNTIF(Z109:Z110,"&gt;0"))</f>
        <v>8.2005547198256288</v>
      </c>
      <c r="AA111" s="181"/>
      <c r="AB111" s="181"/>
      <c r="AC111" s="181"/>
      <c r="AD111" s="103"/>
    </row>
    <row r="112" spans="1:53" s="427" customFormat="1" ht="15.75" thickTop="1" x14ac:dyDescent="0.25">
      <c r="A112" s="288"/>
      <c r="B112" s="281"/>
      <c r="C112" s="281"/>
      <c r="D112" s="281"/>
      <c r="E112" s="281"/>
      <c r="F112" s="281"/>
      <c r="G112" s="281"/>
      <c r="H112" s="281"/>
      <c r="I112" s="423"/>
      <c r="J112" s="423"/>
      <c r="K112" s="423"/>
      <c r="L112" s="423"/>
      <c r="M112" s="423"/>
      <c r="N112" s="423"/>
      <c r="O112" s="423"/>
      <c r="P112" s="423"/>
      <c r="Q112" s="103"/>
      <c r="R112" s="181"/>
      <c r="S112" s="181"/>
      <c r="T112" s="181"/>
      <c r="U112" s="181"/>
      <c r="V112" s="181"/>
      <c r="W112" s="181"/>
      <c r="X112" s="181"/>
      <c r="Y112" s="181"/>
      <c r="Z112" s="181"/>
      <c r="AA112" s="676"/>
      <c r="AB112" s="181"/>
      <c r="AC112" s="181"/>
      <c r="AD112" s="103"/>
    </row>
    <row r="113" spans="1:53" x14ac:dyDescent="0.25">
      <c r="A113" s="288"/>
      <c r="B113" s="281" t="str">
        <f>IF(B134&lt;1," ",B134)</f>
        <v xml:space="preserve"> </v>
      </c>
      <c r="C113" s="281" t="str">
        <f>IF(C134&lt;1," ",C134)</f>
        <v xml:space="preserve"> </v>
      </c>
      <c r="D113" s="281"/>
      <c r="E113" s="281"/>
      <c r="F113" s="281"/>
      <c r="G113" s="281"/>
      <c r="H113" s="281">
        <f>IF(H134&lt;1," ",H134)</f>
        <v>2021</v>
      </c>
      <c r="I113" s="423">
        <f t="shared" ref="I113:N113" si="75">+I134*$P134</f>
        <v>0</v>
      </c>
      <c r="J113" s="423">
        <f t="shared" si="75"/>
        <v>0</v>
      </c>
      <c r="K113" s="423">
        <f t="shared" si="75"/>
        <v>0</v>
      </c>
      <c r="L113" s="423">
        <f t="shared" si="75"/>
        <v>0</v>
      </c>
      <c r="M113" s="423">
        <f t="shared" si="75"/>
        <v>0</v>
      </c>
      <c r="N113" s="423">
        <f t="shared" si="75"/>
        <v>0</v>
      </c>
      <c r="O113" s="423"/>
      <c r="P113" s="423"/>
      <c r="Q113" s="103"/>
      <c r="R113" s="181">
        <f t="shared" si="37"/>
        <v>0</v>
      </c>
      <c r="S113" s="181">
        <f t="shared" si="43"/>
        <v>0</v>
      </c>
      <c r="T113" s="181">
        <f t="shared" si="44"/>
        <v>0</v>
      </c>
      <c r="U113" s="181">
        <f t="shared" si="45"/>
        <v>0</v>
      </c>
      <c r="V113" s="181">
        <f t="shared" si="46"/>
        <v>0</v>
      </c>
      <c r="W113" s="181">
        <f>IF(I113&gt;0,+N113*N$54,0)</f>
        <v>0</v>
      </c>
      <c r="X113" s="181">
        <f t="shared" si="48"/>
        <v>0</v>
      </c>
      <c r="Y113" s="181">
        <f t="shared" si="49"/>
        <v>0</v>
      </c>
      <c r="Z113" s="181">
        <f t="shared" si="50"/>
        <v>0</v>
      </c>
      <c r="AA113" s="676"/>
      <c r="AB113" s="181"/>
      <c r="AC113" s="181"/>
      <c r="AD113" s="103"/>
    </row>
    <row r="114" spans="1:53" s="427" customFormat="1" x14ac:dyDescent="0.25">
      <c r="A114" s="288"/>
      <c r="B114" s="281"/>
      <c r="C114" s="281"/>
      <c r="D114" s="281"/>
      <c r="E114" s="281"/>
      <c r="F114" s="281"/>
      <c r="G114" s="281"/>
      <c r="H114" s="281"/>
      <c r="I114" s="423"/>
      <c r="J114" s="423"/>
      <c r="K114" s="423"/>
      <c r="L114" s="423"/>
      <c r="M114" s="423"/>
      <c r="N114" s="423"/>
      <c r="O114" s="423"/>
      <c r="P114" s="423"/>
      <c r="Q114" s="103"/>
      <c r="R114" s="181"/>
      <c r="S114" s="181"/>
      <c r="T114" s="181"/>
      <c r="U114" s="181"/>
      <c r="V114" s="181"/>
      <c r="W114" s="181"/>
      <c r="X114" s="181"/>
      <c r="Y114" s="181"/>
      <c r="Z114" s="181"/>
      <c r="AA114" s="676"/>
      <c r="AB114" s="181"/>
      <c r="AC114" s="181"/>
      <c r="AD114" s="103"/>
    </row>
    <row r="115" spans="1:53" s="427" customFormat="1" x14ac:dyDescent="0.25">
      <c r="A115" s="288"/>
      <c r="B115" s="281"/>
      <c r="C115" s="281"/>
      <c r="D115" s="281"/>
      <c r="E115" s="281"/>
      <c r="F115" s="281"/>
      <c r="G115" s="281"/>
      <c r="H115" s="281"/>
      <c r="I115" s="423"/>
      <c r="J115" s="423"/>
      <c r="K115" s="423"/>
      <c r="L115" s="423"/>
      <c r="M115" s="423"/>
      <c r="N115" s="423"/>
      <c r="O115" s="423"/>
      <c r="P115" s="423"/>
      <c r="Q115" s="103"/>
      <c r="R115" s="181"/>
      <c r="S115" s="181"/>
      <c r="T115" s="181"/>
      <c r="U115" s="181"/>
      <c r="V115" s="181"/>
      <c r="W115" s="181"/>
      <c r="X115" s="181"/>
      <c r="Y115" s="181"/>
      <c r="Z115" s="181"/>
      <c r="AA115" s="676"/>
      <c r="AB115" s="181"/>
      <c r="AC115" s="181"/>
      <c r="AD115" s="103"/>
    </row>
    <row r="116" spans="1:53" s="427" customFormat="1" x14ac:dyDescent="0.25">
      <c r="A116" s="288"/>
      <c r="B116" s="281" t="str">
        <f>IF(B135&lt;1," ",B135)</f>
        <v xml:space="preserve"> </v>
      </c>
      <c r="C116" s="281" t="str">
        <f>IF(C135&lt;1," ",C135)</f>
        <v xml:space="preserve"> </v>
      </c>
      <c r="D116" s="281"/>
      <c r="E116" s="281"/>
      <c r="F116" s="281"/>
      <c r="G116" s="281"/>
      <c r="H116" s="281">
        <f>IF(H135&lt;1," ",H135)</f>
        <v>2022</v>
      </c>
      <c r="I116" s="423">
        <f t="shared" ref="I116:N116" si="76">+I135*$P135</f>
        <v>0</v>
      </c>
      <c r="J116" s="423">
        <f t="shared" si="76"/>
        <v>0</v>
      </c>
      <c r="K116" s="423">
        <f t="shared" si="76"/>
        <v>0</v>
      </c>
      <c r="L116" s="423">
        <f t="shared" si="76"/>
        <v>0</v>
      </c>
      <c r="M116" s="423">
        <f t="shared" si="76"/>
        <v>0</v>
      </c>
      <c r="N116" s="423">
        <f t="shared" si="76"/>
        <v>0</v>
      </c>
      <c r="O116" s="423"/>
      <c r="P116" s="423"/>
      <c r="Q116" s="103"/>
      <c r="R116" s="181">
        <f t="shared" si="37"/>
        <v>0</v>
      </c>
      <c r="S116" s="181">
        <f t="shared" si="43"/>
        <v>0</v>
      </c>
      <c r="T116" s="181">
        <f t="shared" si="44"/>
        <v>0</v>
      </c>
      <c r="U116" s="181">
        <f t="shared" si="45"/>
        <v>0</v>
      </c>
      <c r="V116" s="181">
        <f t="shared" si="46"/>
        <v>0</v>
      </c>
      <c r="W116" s="181">
        <f>IF(I116&gt;0,+N116*N$54,0)</f>
        <v>0</v>
      </c>
      <c r="X116" s="181">
        <f t="shared" si="48"/>
        <v>0</v>
      </c>
      <c r="Y116" s="181">
        <f t="shared" si="49"/>
        <v>0</v>
      </c>
      <c r="Z116" s="181">
        <f>+Q116*Q$54</f>
        <v>0</v>
      </c>
      <c r="AA116" s="676"/>
      <c r="AB116" s="181"/>
      <c r="AC116" s="181"/>
      <c r="AD116" s="103"/>
    </row>
    <row r="117" spans="1:53" ht="15.75" thickBot="1" x14ac:dyDescent="0.3">
      <c r="A117" s="288"/>
      <c r="B117" s="281"/>
      <c r="C117" s="281"/>
      <c r="D117" s="281"/>
      <c r="E117" s="281"/>
      <c r="F117" s="281"/>
      <c r="G117" s="281"/>
      <c r="H117" s="282"/>
      <c r="I117" s="281"/>
      <c r="J117" s="281"/>
      <c r="K117" s="281"/>
      <c r="L117" s="281"/>
      <c r="M117" s="281"/>
      <c r="N117" s="281"/>
      <c r="O117" s="281"/>
      <c r="P117" s="281"/>
      <c r="Q117" s="103"/>
      <c r="R117" s="181"/>
      <c r="S117" s="181"/>
      <c r="T117" s="181"/>
      <c r="U117" s="181"/>
      <c r="V117" s="181"/>
      <c r="W117" s="181"/>
      <c r="X117" s="181"/>
      <c r="Y117" s="181"/>
      <c r="Z117" s="181"/>
      <c r="AA117" s="676"/>
      <c r="AB117" s="181"/>
      <c r="AC117" s="181"/>
      <c r="AD117" s="103"/>
    </row>
    <row r="118" spans="1:53" ht="15.75" thickBot="1" x14ac:dyDescent="0.3">
      <c r="A118" s="419"/>
      <c r="B118" s="420"/>
      <c r="C118" s="420">
        <f>+C111+SUM(C113:C116)</f>
        <v>529</v>
      </c>
      <c r="D118" s="552"/>
      <c r="E118" s="552"/>
      <c r="F118" s="552"/>
      <c r="G118" s="552"/>
      <c r="H118" s="414"/>
      <c r="I118" s="414"/>
      <c r="J118" s="414"/>
      <c r="K118" s="414"/>
      <c r="L118" s="414"/>
      <c r="M118" s="414"/>
      <c r="N118" s="414"/>
      <c r="O118" s="414"/>
      <c r="P118" s="414"/>
      <c r="Q118" s="414"/>
      <c r="R118" s="415">
        <f>SUM(R88:R116)</f>
        <v>25.2</v>
      </c>
      <c r="S118" s="415">
        <f t="shared" ref="S118:Y118" si="77">SUM(S88:S116)</f>
        <v>16.400000000000002</v>
      </c>
      <c r="T118" s="415">
        <f t="shared" si="77"/>
        <v>10.8</v>
      </c>
      <c r="U118" s="415">
        <f t="shared" si="77"/>
        <v>22</v>
      </c>
      <c r="V118" s="415">
        <f t="shared" si="77"/>
        <v>5</v>
      </c>
      <c r="W118" s="415">
        <f t="shared" si="77"/>
        <v>2.6055471982562892</v>
      </c>
      <c r="X118" s="415">
        <f t="shared" si="77"/>
        <v>0</v>
      </c>
      <c r="Y118" s="415">
        <f t="shared" si="77"/>
        <v>0</v>
      </c>
      <c r="Z118" s="667">
        <f>SUM(Z88:Z116)/COUNTIF(Z88:Z116,"&gt;0")</f>
        <v>8.2005547198256306</v>
      </c>
      <c r="AA118" s="676"/>
      <c r="AB118" s="181"/>
      <c r="AC118" s="181"/>
      <c r="AD118" s="103"/>
      <c r="AV118" s="301"/>
      <c r="AW118" s="286"/>
      <c r="AX118" s="286"/>
      <c r="AY118" s="286"/>
      <c r="AZ118" s="286"/>
      <c r="BA118" s="287"/>
    </row>
    <row r="119" spans="1:53" ht="16.5" thickTop="1" x14ac:dyDescent="0.25">
      <c r="A119" s="288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V119" s="315" t="s">
        <v>447</v>
      </c>
      <c r="AW119" s="103"/>
      <c r="AX119" s="103"/>
      <c r="AY119" s="103"/>
      <c r="AZ119" s="103"/>
      <c r="BA119" s="290"/>
    </row>
    <row r="120" spans="1:53" x14ac:dyDescent="0.25">
      <c r="A120" s="288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V120" s="302"/>
      <c r="AW120" s="103"/>
      <c r="AX120" s="103"/>
      <c r="AY120" s="103"/>
      <c r="AZ120" s="103"/>
      <c r="BA120" s="290"/>
    </row>
    <row r="121" spans="1:53" x14ac:dyDescent="0.25">
      <c r="A121" s="288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V121" s="302"/>
      <c r="AW121" s="103"/>
      <c r="AX121" s="103"/>
      <c r="AY121" s="103"/>
      <c r="AZ121" s="103"/>
      <c r="BA121" s="290"/>
    </row>
    <row r="122" spans="1:53" ht="18.75" x14ac:dyDescent="0.3">
      <c r="A122" s="288"/>
      <c r="B122" s="281"/>
      <c r="C122" s="103"/>
      <c r="D122" s="103"/>
      <c r="E122" s="103"/>
      <c r="F122" s="103"/>
      <c r="G122" s="103"/>
      <c r="H122" s="103"/>
      <c r="I122" s="411" t="s">
        <v>521</v>
      </c>
      <c r="J122" s="103"/>
      <c r="K122" s="103"/>
      <c r="L122" s="103"/>
      <c r="M122" s="411"/>
      <c r="N122" s="411"/>
      <c r="O122" s="411"/>
      <c r="P122" s="411"/>
      <c r="Q122" s="411"/>
      <c r="R122" s="411"/>
      <c r="S122" s="411"/>
      <c r="T122" s="411"/>
      <c r="U122" s="411"/>
      <c r="V122" s="411"/>
      <c r="W122" s="411"/>
      <c r="X122" s="411"/>
      <c r="Y122" s="411"/>
      <c r="Z122" s="103"/>
      <c r="AA122" s="103"/>
      <c r="AB122" s="103"/>
      <c r="AC122" s="103"/>
      <c r="AD122" s="103"/>
      <c r="AV122" s="302"/>
      <c r="AW122" s="103"/>
      <c r="AX122" s="103"/>
      <c r="AY122" s="103"/>
      <c r="AZ122" s="103"/>
      <c r="BA122" s="290"/>
    </row>
    <row r="123" spans="1:53" ht="18.75" x14ac:dyDescent="0.3">
      <c r="A123" s="288"/>
      <c r="B123" s="281"/>
      <c r="C123" s="103"/>
      <c r="D123" s="103"/>
      <c r="E123" s="103"/>
      <c r="F123" s="103"/>
      <c r="G123" s="103"/>
      <c r="H123" s="103"/>
      <c r="I123" s="411"/>
      <c r="J123" s="103"/>
      <c r="K123" s="573"/>
      <c r="L123" s="573"/>
      <c r="M123" s="573"/>
      <c r="N123" s="411"/>
      <c r="O123" s="411"/>
      <c r="P123" s="411"/>
      <c r="Q123" s="411"/>
      <c r="R123" s="411"/>
      <c r="S123" s="411"/>
      <c r="T123" s="411"/>
      <c r="U123" s="411"/>
      <c r="V123" s="411"/>
      <c r="W123" s="411"/>
      <c r="X123" s="411"/>
      <c r="Y123" s="411"/>
      <c r="Z123" s="103"/>
      <c r="AA123" s="103"/>
      <c r="AB123" s="103"/>
      <c r="AC123" s="103"/>
      <c r="AD123" s="103"/>
      <c r="AV123" s="302"/>
      <c r="AW123" s="103"/>
      <c r="AX123" s="103"/>
      <c r="AY123" s="103"/>
      <c r="AZ123" s="103"/>
      <c r="BA123" s="290"/>
    </row>
    <row r="124" spans="1:53" x14ac:dyDescent="0.25">
      <c r="A124" s="288"/>
      <c r="B124" s="179" t="s">
        <v>86</v>
      </c>
      <c r="C124" s="179" t="s">
        <v>87</v>
      </c>
      <c r="D124" s="179"/>
      <c r="E124" s="179"/>
      <c r="F124" s="179"/>
      <c r="G124" s="179"/>
      <c r="H124" s="179" t="s">
        <v>403</v>
      </c>
      <c r="I124" s="459" t="s">
        <v>228</v>
      </c>
      <c r="J124" s="459" t="s">
        <v>380</v>
      </c>
      <c r="K124" s="462" t="s">
        <v>683</v>
      </c>
      <c r="L124" s="459" t="s">
        <v>229</v>
      </c>
      <c r="M124" s="459" t="s">
        <v>249</v>
      </c>
      <c r="N124" s="292" t="s">
        <v>455</v>
      </c>
      <c r="O124" s="459" t="s">
        <v>684</v>
      </c>
      <c r="P124" s="292" t="s">
        <v>751</v>
      </c>
      <c r="Q124" s="292"/>
      <c r="R124" s="291"/>
      <c r="S124" s="291"/>
      <c r="T124" s="291"/>
      <c r="U124" s="291"/>
      <c r="V124" s="291"/>
      <c r="W124" s="291"/>
      <c r="X124" s="292"/>
      <c r="Y124" s="292"/>
      <c r="Z124" s="291"/>
      <c r="AA124" s="291"/>
      <c r="AB124" s="103"/>
      <c r="AC124" s="103"/>
      <c r="AD124" s="103"/>
      <c r="AV124" s="302"/>
      <c r="AW124" s="103"/>
      <c r="AX124" s="103"/>
      <c r="AY124" s="103"/>
      <c r="AZ124" s="103"/>
      <c r="BA124" s="290"/>
    </row>
    <row r="125" spans="1:53" x14ac:dyDescent="0.25">
      <c r="A125" s="288"/>
      <c r="B125" s="103"/>
      <c r="C125" s="281"/>
      <c r="D125" s="281"/>
      <c r="E125" s="281"/>
      <c r="F125" s="281"/>
      <c r="G125" s="281"/>
      <c r="H125" s="103"/>
      <c r="I125" s="295"/>
      <c r="J125" s="103"/>
      <c r="K125" s="103"/>
      <c r="L125" s="103"/>
      <c r="M125" s="295"/>
      <c r="N125" s="295"/>
      <c r="O125" s="295"/>
      <c r="P125" s="295"/>
      <c r="Q125" s="281"/>
      <c r="R125" s="103"/>
      <c r="S125" s="103"/>
      <c r="T125" s="103"/>
      <c r="U125" s="103"/>
      <c r="V125" s="103"/>
      <c r="W125" s="103"/>
      <c r="X125" s="103"/>
      <c r="Y125" s="103"/>
      <c r="Z125" s="103"/>
      <c r="AA125" s="283"/>
      <c r="AB125" s="103"/>
      <c r="AC125" s="103"/>
      <c r="AD125" s="103"/>
      <c r="AV125" s="302"/>
      <c r="AW125" s="103"/>
      <c r="AX125" s="103"/>
      <c r="AY125" s="103"/>
      <c r="AZ125" s="103"/>
      <c r="BA125" s="290"/>
    </row>
    <row r="126" spans="1:53" x14ac:dyDescent="0.25">
      <c r="A126" s="288"/>
      <c r="B126" s="450"/>
      <c r="C126" s="571"/>
      <c r="D126" s="281"/>
      <c r="E126" s="281"/>
      <c r="F126" s="281"/>
      <c r="G126" s="281"/>
      <c r="H126" s="179">
        <v>2018</v>
      </c>
      <c r="I126" s="645"/>
      <c r="J126" s="645"/>
      <c r="K126" s="645"/>
      <c r="L126" s="670"/>
      <c r="M126" s="673"/>
      <c r="N126" s="423">
        <f>IF(C126&gt;0,(C$102/C126),0)</f>
        <v>0</v>
      </c>
      <c r="O126" s="673"/>
      <c r="P126" s="680">
        <v>0.75</v>
      </c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283"/>
      <c r="AB126" s="103"/>
      <c r="AC126" s="103"/>
      <c r="AD126" s="103"/>
      <c r="AV126" s="302"/>
      <c r="AW126" s="103"/>
      <c r="AX126" s="103"/>
      <c r="AY126" s="103"/>
      <c r="AZ126" s="103"/>
      <c r="BA126" s="290"/>
    </row>
    <row r="127" spans="1:53" x14ac:dyDescent="0.25">
      <c r="A127" s="288"/>
      <c r="B127" s="450"/>
      <c r="C127" s="450"/>
      <c r="D127" s="281"/>
      <c r="E127" s="281"/>
      <c r="F127" s="281"/>
      <c r="G127" s="281"/>
      <c r="H127" s="179">
        <v>2018</v>
      </c>
      <c r="I127" s="645"/>
      <c r="J127" s="645"/>
      <c r="K127" s="645"/>
      <c r="L127" s="670"/>
      <c r="M127" s="673"/>
      <c r="N127" s="423">
        <f>IF(C127&gt;0,(C$102/C127),0)</f>
        <v>0</v>
      </c>
      <c r="O127" s="673"/>
      <c r="P127" s="680">
        <v>0.75</v>
      </c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283"/>
      <c r="AB127" s="103"/>
      <c r="AC127" s="103"/>
      <c r="AD127" s="103"/>
      <c r="AV127" s="302"/>
      <c r="AW127" s="103"/>
      <c r="AX127" s="103"/>
      <c r="AY127" s="103"/>
      <c r="AZ127" s="103"/>
      <c r="BA127" s="290"/>
    </row>
    <row r="128" spans="1:53" x14ac:dyDescent="0.25">
      <c r="A128" s="288"/>
      <c r="B128" s="450"/>
      <c r="C128" s="450"/>
      <c r="D128" s="281"/>
      <c r="E128" s="281"/>
      <c r="F128" s="281"/>
      <c r="G128" s="281"/>
      <c r="H128" s="179">
        <v>2018</v>
      </c>
      <c r="I128" s="645"/>
      <c r="J128" s="645"/>
      <c r="K128" s="645"/>
      <c r="L128" s="670"/>
      <c r="M128" s="673"/>
      <c r="N128" s="423">
        <f>IF(C128&gt;0,(C$102/C128),0)</f>
        <v>0</v>
      </c>
      <c r="O128" s="673"/>
      <c r="P128" s="680">
        <v>0.75</v>
      </c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283"/>
      <c r="AB128" s="103"/>
      <c r="AC128" s="103"/>
      <c r="AD128" s="103"/>
      <c r="AV128" s="302"/>
      <c r="AW128" s="103"/>
      <c r="AX128" s="103"/>
      <c r="AY128" s="103"/>
      <c r="AZ128" s="103"/>
      <c r="BA128" s="290"/>
    </row>
    <row r="129" spans="1:53" x14ac:dyDescent="0.25">
      <c r="A129" s="288"/>
      <c r="B129" s="450"/>
      <c r="C129" s="450"/>
      <c r="D129" s="281"/>
      <c r="E129" s="281"/>
      <c r="F129" s="281"/>
      <c r="G129" s="281"/>
      <c r="H129" s="179">
        <v>2019</v>
      </c>
      <c r="I129" s="646"/>
      <c r="J129" s="646"/>
      <c r="K129" s="646"/>
      <c r="L129" s="671"/>
      <c r="M129" s="674"/>
      <c r="N129" s="423">
        <f>IF(C129&gt;0,(C$107/C129),0)</f>
        <v>0</v>
      </c>
      <c r="O129" s="674"/>
      <c r="P129" s="681">
        <v>0.75</v>
      </c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283"/>
      <c r="AB129" s="103"/>
      <c r="AC129" s="103"/>
      <c r="AD129" s="103"/>
      <c r="AV129" s="302"/>
      <c r="AW129" s="103"/>
      <c r="AX129" s="103"/>
      <c r="AY129" s="103"/>
      <c r="AZ129" s="103"/>
      <c r="BA129" s="290"/>
    </row>
    <row r="130" spans="1:53" x14ac:dyDescent="0.25">
      <c r="A130" s="288"/>
      <c r="B130" s="450"/>
      <c r="C130" s="450"/>
      <c r="D130" s="281"/>
      <c r="E130" s="281"/>
      <c r="F130" s="281"/>
      <c r="G130" s="281"/>
      <c r="H130" s="179">
        <v>2019</v>
      </c>
      <c r="I130" s="646"/>
      <c r="J130" s="646"/>
      <c r="K130" s="646"/>
      <c r="L130" s="671"/>
      <c r="M130" s="674"/>
      <c r="N130" s="423">
        <f>IF(C130&gt;0,(C$107/C130),0)</f>
        <v>0</v>
      </c>
      <c r="O130" s="674"/>
      <c r="P130" s="681">
        <v>0.75</v>
      </c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283"/>
      <c r="AB130" s="103"/>
      <c r="AC130" s="103"/>
      <c r="AD130" s="103"/>
      <c r="AV130" s="302"/>
      <c r="AW130" s="103"/>
      <c r="AX130" s="103"/>
      <c r="AY130" s="103"/>
      <c r="AZ130" s="103"/>
      <c r="BA130" s="290"/>
    </row>
    <row r="131" spans="1:53" x14ac:dyDescent="0.25">
      <c r="A131" s="288"/>
      <c r="B131" s="450"/>
      <c r="C131" s="450"/>
      <c r="D131" s="281"/>
      <c r="E131" s="281"/>
      <c r="F131" s="281"/>
      <c r="G131" s="281"/>
      <c r="H131" s="179">
        <v>2019</v>
      </c>
      <c r="I131" s="646"/>
      <c r="J131" s="646"/>
      <c r="K131" s="646"/>
      <c r="L131" s="671"/>
      <c r="M131" s="674"/>
      <c r="N131" s="423">
        <f>IF(C131&gt;0,(C$107/C131),0)</f>
        <v>0</v>
      </c>
      <c r="O131" s="674"/>
      <c r="P131" s="681">
        <v>0.75</v>
      </c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283"/>
      <c r="AB131" s="103"/>
      <c r="AC131" s="103"/>
      <c r="AD131" s="103"/>
      <c r="AV131" s="302"/>
      <c r="AW131" s="103"/>
      <c r="AX131" s="103"/>
      <c r="AY131" s="103"/>
      <c r="AZ131" s="103"/>
      <c r="BA131" s="290"/>
    </row>
    <row r="132" spans="1:53" x14ac:dyDescent="0.25">
      <c r="A132" s="288"/>
      <c r="B132" s="450"/>
      <c r="C132" s="450"/>
      <c r="D132" s="281"/>
      <c r="E132" s="281"/>
      <c r="F132" s="281"/>
      <c r="G132" s="281"/>
      <c r="H132" s="179">
        <v>2020</v>
      </c>
      <c r="I132" s="687"/>
      <c r="J132" s="687"/>
      <c r="K132" s="687"/>
      <c r="L132" s="688"/>
      <c r="M132" s="689"/>
      <c r="N132" s="423">
        <f>IF(C132&gt;0,(C$111/C132),0)</f>
        <v>0</v>
      </c>
      <c r="O132" s="689"/>
      <c r="P132" s="690">
        <v>0.75</v>
      </c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283"/>
      <c r="AB132" s="103"/>
      <c r="AC132" s="103"/>
      <c r="AD132" s="103"/>
      <c r="AV132" s="302"/>
      <c r="AW132" s="103"/>
      <c r="AX132" s="103"/>
      <c r="AY132" s="103"/>
      <c r="AZ132" s="103"/>
      <c r="BA132" s="290"/>
    </row>
    <row r="133" spans="1:53" x14ac:dyDescent="0.25">
      <c r="A133" s="288"/>
      <c r="B133" s="413"/>
      <c r="C133" s="413"/>
      <c r="D133" s="281"/>
      <c r="E133" s="281"/>
      <c r="F133" s="281"/>
      <c r="G133" s="281"/>
      <c r="H133" s="179">
        <v>2020</v>
      </c>
      <c r="I133" s="687"/>
      <c r="J133" s="687"/>
      <c r="K133" s="687"/>
      <c r="L133" s="688"/>
      <c r="M133" s="689"/>
      <c r="N133" s="423">
        <f>IF(C133&gt;0,(C$111/C133),0)</f>
        <v>0</v>
      </c>
      <c r="O133" s="689"/>
      <c r="P133" s="690">
        <v>0.75</v>
      </c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283"/>
      <c r="AB133" s="103"/>
      <c r="AC133" s="103"/>
      <c r="AD133" s="103"/>
      <c r="AV133" s="302"/>
      <c r="AW133" s="103"/>
      <c r="AX133" s="103"/>
      <c r="AY133" s="103"/>
      <c r="AZ133" s="103"/>
      <c r="BA133" s="290"/>
    </row>
    <row r="134" spans="1:53" s="427" customFormat="1" x14ac:dyDescent="0.25">
      <c r="A134" s="288"/>
      <c r="B134" s="571"/>
      <c r="C134" s="571"/>
      <c r="D134" s="281"/>
      <c r="E134" s="281"/>
      <c r="F134" s="281"/>
      <c r="G134" s="281"/>
      <c r="H134" s="179">
        <v>2021</v>
      </c>
      <c r="I134" s="647"/>
      <c r="J134" s="647"/>
      <c r="K134" s="647"/>
      <c r="L134" s="672"/>
      <c r="M134" s="675"/>
      <c r="N134" s="423">
        <f>IF(C134&gt;0,(C$118/C134),0)</f>
        <v>0</v>
      </c>
      <c r="O134" s="675"/>
      <c r="P134" s="682">
        <v>0.75</v>
      </c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283"/>
      <c r="AB134" s="103"/>
      <c r="AC134" s="103"/>
      <c r="AD134" s="103"/>
      <c r="AV134" s="302"/>
      <c r="AW134" s="103"/>
      <c r="AX134" s="103"/>
      <c r="AY134" s="103"/>
      <c r="AZ134" s="103"/>
      <c r="BA134" s="290"/>
    </row>
    <row r="135" spans="1:53" x14ac:dyDescent="0.25">
      <c r="A135" s="288"/>
      <c r="B135" s="413"/>
      <c r="C135" s="413"/>
      <c r="D135" s="281"/>
      <c r="E135" s="281"/>
      <c r="F135" s="281"/>
      <c r="G135" s="281"/>
      <c r="H135" s="179">
        <v>2022</v>
      </c>
      <c r="I135" s="683"/>
      <c r="J135" s="683"/>
      <c r="K135" s="683"/>
      <c r="L135" s="684"/>
      <c r="M135" s="685"/>
      <c r="N135" s="423">
        <f>IF(C135&gt;0,(C$118/C135),0)</f>
        <v>0</v>
      </c>
      <c r="O135" s="685"/>
      <c r="P135" s="686">
        <v>0.75</v>
      </c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V135" s="302"/>
      <c r="AW135" s="103"/>
      <c r="AX135" s="103"/>
      <c r="AY135" s="103"/>
      <c r="AZ135" s="103"/>
      <c r="BA135" s="290"/>
    </row>
    <row r="136" spans="1:53" ht="15.75" thickBot="1" x14ac:dyDescent="0.3">
      <c r="A136" s="296"/>
      <c r="B136" s="278">
        <f>COUNTA(B126:B135)</f>
        <v>0</v>
      </c>
      <c r="C136" s="278">
        <f>SUM(C126:C135)</f>
        <v>0</v>
      </c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691"/>
      <c r="O136" s="278"/>
      <c r="P136" s="278"/>
      <c r="Q136" s="278"/>
      <c r="R136" s="278"/>
      <c r="S136" s="278"/>
      <c r="T136" s="278"/>
      <c r="U136" s="278"/>
      <c r="V136" s="278"/>
      <c r="W136" s="278"/>
      <c r="X136" s="278"/>
      <c r="Y136" s="278"/>
      <c r="Z136" s="278"/>
      <c r="AA136" s="297"/>
      <c r="AB136" s="103"/>
      <c r="AC136" s="103"/>
      <c r="AD136" s="103"/>
      <c r="AV136" s="304"/>
      <c r="AW136" s="278"/>
      <c r="AX136" s="278"/>
      <c r="AY136" s="278"/>
      <c r="AZ136" s="278"/>
      <c r="BA136" s="298"/>
    </row>
    <row r="137" spans="1:53" ht="15.75" thickBot="1" x14ac:dyDescent="0.3">
      <c r="AB137" s="103"/>
      <c r="AC137" s="103"/>
      <c r="AD137" s="103"/>
    </row>
    <row r="138" spans="1:53" x14ac:dyDescent="0.25">
      <c r="A138" s="299"/>
      <c r="B138" s="286"/>
      <c r="C138" s="286"/>
      <c r="D138" s="286"/>
      <c r="E138" s="286"/>
      <c r="F138" s="286"/>
      <c r="G138" s="286"/>
      <c r="H138" s="286"/>
      <c r="I138" s="412" t="s">
        <v>423</v>
      </c>
      <c r="J138" s="412"/>
      <c r="K138" s="412"/>
      <c r="L138" s="412"/>
      <c r="M138" s="412"/>
      <c r="N138" s="412" t="s">
        <v>506</v>
      </c>
      <c r="O138" s="412"/>
      <c r="P138" s="412"/>
      <c r="Q138" s="412"/>
      <c r="R138" s="422"/>
      <c r="S138" s="412"/>
      <c r="T138" s="286"/>
      <c r="U138" s="286"/>
      <c r="V138" s="286"/>
      <c r="W138" s="287"/>
    </row>
    <row r="139" spans="1:53" ht="58.5" customHeight="1" x14ac:dyDescent="0.25">
      <c r="A139" s="288"/>
      <c r="B139" s="103"/>
      <c r="C139" s="103"/>
      <c r="D139" s="103"/>
      <c r="E139" s="103"/>
      <c r="F139" s="103"/>
      <c r="G139" s="103"/>
      <c r="H139" s="103"/>
      <c r="I139" s="300" t="s">
        <v>448</v>
      </c>
      <c r="J139" s="300" t="s">
        <v>717</v>
      </c>
      <c r="K139" s="300" t="s">
        <v>433</v>
      </c>
      <c r="L139" s="300" t="s">
        <v>429</v>
      </c>
      <c r="M139" s="300" t="s">
        <v>430</v>
      </c>
      <c r="N139" s="308" t="s">
        <v>431</v>
      </c>
      <c r="O139" s="308"/>
      <c r="P139" s="308" t="s">
        <v>432</v>
      </c>
      <c r="Q139" s="308" t="s">
        <v>433</v>
      </c>
      <c r="R139" s="308" t="s">
        <v>718</v>
      </c>
      <c r="S139" s="308" t="s">
        <v>434</v>
      </c>
      <c r="T139" s="308" t="s">
        <v>49</v>
      </c>
      <c r="V139" s="308" t="s">
        <v>714</v>
      </c>
      <c r="W139" s="290"/>
    </row>
    <row r="140" spans="1:53" x14ac:dyDescent="0.25">
      <c r="A140" s="288"/>
      <c r="B140" s="103"/>
      <c r="C140" s="103"/>
      <c r="D140" s="103"/>
      <c r="E140" s="103"/>
      <c r="F140" s="103"/>
      <c r="G140" s="103"/>
      <c r="H140" s="607" t="s">
        <v>713</v>
      </c>
      <c r="I140" s="765"/>
      <c r="J140" s="103">
        <f>+C83</f>
        <v>529</v>
      </c>
      <c r="K140" s="428">
        <f>+(J140-C83)/C83</f>
        <v>0</v>
      </c>
      <c r="L140" s="219">
        <f>+C66*365*L17</f>
        <v>133035.565</v>
      </c>
      <c r="M140" s="219">
        <f t="shared" ref="M140:M145" si="78">+I140*C$66*365</f>
        <v>0</v>
      </c>
      <c r="N140" s="219">
        <f t="shared" ref="N140:N145" si="79">+L140+M140</f>
        <v>133035.565</v>
      </c>
      <c r="O140" s="219"/>
      <c r="P140" s="219">
        <f>+J140*365</f>
        <v>193085</v>
      </c>
      <c r="Q140" s="103"/>
      <c r="R140" s="219">
        <f t="shared" ref="R140:R145" si="80">+P140+(Q140)</f>
        <v>193085</v>
      </c>
      <c r="S140" s="428">
        <f t="shared" ref="S140:S145" si="81">+L140/P140</f>
        <v>0.68900000000000006</v>
      </c>
      <c r="T140" s="428">
        <f t="shared" ref="T140:T145" si="82">+N140/R140</f>
        <v>0.68900000000000006</v>
      </c>
      <c r="V140" s="418">
        <f t="shared" ref="V140:V145" si="83">+T140-S140</f>
        <v>0</v>
      </c>
      <c r="W140" s="290"/>
    </row>
    <row r="141" spans="1:53" x14ac:dyDescent="0.25">
      <c r="A141" s="288"/>
      <c r="B141" s="103"/>
      <c r="C141" s="103"/>
      <c r="D141" s="103"/>
      <c r="E141" s="103"/>
      <c r="F141" s="103"/>
      <c r="G141" s="103"/>
      <c r="H141" s="179">
        <v>2019</v>
      </c>
      <c r="I141" s="604">
        <v>0.02</v>
      </c>
      <c r="J141" s="103">
        <f>+J140+C126+C127+C128</f>
        <v>529</v>
      </c>
      <c r="K141" s="428">
        <f>+(J141-J140)/J140</f>
        <v>0</v>
      </c>
      <c r="L141" s="609">
        <f>+N140</f>
        <v>133035.565</v>
      </c>
      <c r="M141" s="610">
        <f t="shared" si="78"/>
        <v>3861.7</v>
      </c>
      <c r="N141" s="610">
        <f t="shared" si="79"/>
        <v>136897.26500000001</v>
      </c>
      <c r="O141" s="610"/>
      <c r="P141" s="609">
        <f>+R140</f>
        <v>193085</v>
      </c>
      <c r="Q141" s="610">
        <f>+((P126*C126)+(P127*C127)+(P128*C128))*365</f>
        <v>0</v>
      </c>
      <c r="R141" s="610">
        <f t="shared" si="80"/>
        <v>193085</v>
      </c>
      <c r="S141" s="608">
        <f t="shared" si="81"/>
        <v>0.68900000000000006</v>
      </c>
      <c r="T141" s="608">
        <f t="shared" si="82"/>
        <v>0.70900000000000007</v>
      </c>
      <c r="V141" s="611">
        <f t="shared" si="83"/>
        <v>2.0000000000000018E-2</v>
      </c>
      <c r="W141" s="290"/>
    </row>
    <row r="142" spans="1:53" x14ac:dyDescent="0.25">
      <c r="A142" s="288"/>
      <c r="B142" s="103"/>
      <c r="C142" s="103"/>
      <c r="D142" s="103"/>
      <c r="E142" s="103"/>
      <c r="F142" s="103"/>
      <c r="G142" s="103"/>
      <c r="H142" s="179">
        <v>2020</v>
      </c>
      <c r="I142" s="604">
        <v>0.01</v>
      </c>
      <c r="J142" s="103">
        <f>+J141+C129+C130+C131</f>
        <v>529</v>
      </c>
      <c r="K142" s="428">
        <f>+(J142-J141)/J141</f>
        <v>0</v>
      </c>
      <c r="L142" s="612">
        <f>+N141</f>
        <v>136897.26500000001</v>
      </c>
      <c r="M142" s="613">
        <f t="shared" si="78"/>
        <v>1930.85</v>
      </c>
      <c r="N142" s="613">
        <f t="shared" si="79"/>
        <v>138828.11500000002</v>
      </c>
      <c r="O142" s="613"/>
      <c r="P142" s="612">
        <f>+R141</f>
        <v>193085</v>
      </c>
      <c r="Q142" s="613">
        <f>+((P129*C129)+(P130*C130)+(P131*C131))*365</f>
        <v>0</v>
      </c>
      <c r="R142" s="613">
        <f t="shared" si="80"/>
        <v>193085</v>
      </c>
      <c r="S142" s="614">
        <f t="shared" si="81"/>
        <v>0.70900000000000007</v>
      </c>
      <c r="T142" s="614">
        <f t="shared" si="82"/>
        <v>0.71900000000000008</v>
      </c>
      <c r="V142" s="615">
        <f t="shared" si="83"/>
        <v>1.0000000000000009E-2</v>
      </c>
      <c r="W142" s="290"/>
    </row>
    <row r="143" spans="1:53" x14ac:dyDescent="0.25">
      <c r="A143" s="288"/>
      <c r="B143" s="103"/>
      <c r="C143" s="103"/>
      <c r="D143" s="103"/>
      <c r="E143" s="103"/>
      <c r="F143" s="103"/>
      <c r="G143" s="103"/>
      <c r="H143" s="179">
        <v>2021</v>
      </c>
      <c r="I143" s="604">
        <v>0.01</v>
      </c>
      <c r="J143" s="103">
        <f>+J142+C132</f>
        <v>529</v>
      </c>
      <c r="K143" s="428">
        <f>+(J143-J142)/J142</f>
        <v>0</v>
      </c>
      <c r="L143" s="620">
        <f>+N142</f>
        <v>138828.11500000002</v>
      </c>
      <c r="M143" s="621">
        <f t="shared" si="78"/>
        <v>1930.85</v>
      </c>
      <c r="N143" s="621">
        <f t="shared" si="79"/>
        <v>140758.96500000003</v>
      </c>
      <c r="O143" s="621"/>
      <c r="P143" s="620">
        <f>+R142</f>
        <v>193085</v>
      </c>
      <c r="Q143" s="621">
        <f>+((P132*C132)+(P133*C133))*365</f>
        <v>0</v>
      </c>
      <c r="R143" s="621">
        <f t="shared" si="80"/>
        <v>193085</v>
      </c>
      <c r="S143" s="622">
        <f t="shared" si="81"/>
        <v>0.71900000000000008</v>
      </c>
      <c r="T143" s="622">
        <f t="shared" si="82"/>
        <v>0.72900000000000009</v>
      </c>
      <c r="V143" s="623">
        <f t="shared" si="83"/>
        <v>1.0000000000000009E-2</v>
      </c>
      <c r="W143" s="290"/>
    </row>
    <row r="144" spans="1:53" x14ac:dyDescent="0.25">
      <c r="A144" s="288"/>
      <c r="B144" s="103"/>
      <c r="C144" s="103"/>
      <c r="D144" s="103"/>
      <c r="E144" s="103"/>
      <c r="F144" s="103"/>
      <c r="G144" s="103"/>
      <c r="H144" s="179">
        <v>2022</v>
      </c>
      <c r="I144" s="766">
        <v>0.01</v>
      </c>
      <c r="J144" s="103">
        <f>+J143+C134</f>
        <v>529</v>
      </c>
      <c r="K144" s="428">
        <f>+(J144-J143)/J143</f>
        <v>0</v>
      </c>
      <c r="L144" s="616">
        <f>+N143</f>
        <v>140758.96500000003</v>
      </c>
      <c r="M144" s="617">
        <f t="shared" si="78"/>
        <v>1930.85</v>
      </c>
      <c r="N144" s="617">
        <f t="shared" si="79"/>
        <v>142689.81500000003</v>
      </c>
      <c r="O144" s="617"/>
      <c r="P144" s="616">
        <f>+R143</f>
        <v>193085</v>
      </c>
      <c r="Q144" s="617">
        <f>+((P134*C134))*365</f>
        <v>0</v>
      </c>
      <c r="R144" s="617">
        <f t="shared" si="80"/>
        <v>193085</v>
      </c>
      <c r="S144" s="618">
        <f t="shared" si="81"/>
        <v>0.72900000000000009</v>
      </c>
      <c r="T144" s="618">
        <f t="shared" si="82"/>
        <v>0.73900000000000021</v>
      </c>
      <c r="V144" s="619">
        <f t="shared" si="83"/>
        <v>1.000000000000012E-2</v>
      </c>
      <c r="W144" s="290"/>
    </row>
    <row r="145" spans="1:23" ht="15.75" thickBot="1" x14ac:dyDescent="0.3">
      <c r="A145" s="296"/>
      <c r="B145" s="278"/>
      <c r="C145" s="278"/>
      <c r="D145" s="278"/>
      <c r="E145" s="278"/>
      <c r="F145" s="278"/>
      <c r="G145" s="278"/>
      <c r="H145" s="311">
        <v>2023</v>
      </c>
      <c r="I145" s="605">
        <v>0</v>
      </c>
      <c r="J145" s="278">
        <f>+J144+C135</f>
        <v>529</v>
      </c>
      <c r="K145" s="606">
        <f>+(J145-J144)/J144</f>
        <v>0</v>
      </c>
      <c r="L145" s="624">
        <f>+N144</f>
        <v>142689.81500000003</v>
      </c>
      <c r="M145" s="625">
        <f t="shared" si="78"/>
        <v>0</v>
      </c>
      <c r="N145" s="625">
        <f t="shared" si="79"/>
        <v>142689.81500000003</v>
      </c>
      <c r="O145" s="625"/>
      <c r="P145" s="624">
        <f>+R144</f>
        <v>193085</v>
      </c>
      <c r="Q145" s="625">
        <f>+((P135*C135))*365</f>
        <v>0</v>
      </c>
      <c r="R145" s="625">
        <f t="shared" si="80"/>
        <v>193085</v>
      </c>
      <c r="S145" s="626">
        <f t="shared" si="81"/>
        <v>0.73900000000000021</v>
      </c>
      <c r="T145" s="626">
        <f t="shared" si="82"/>
        <v>0.73900000000000021</v>
      </c>
      <c r="U145" s="692"/>
      <c r="V145" s="627">
        <f t="shared" si="83"/>
        <v>0</v>
      </c>
      <c r="W145" s="298"/>
    </row>
  </sheetData>
  <customSheetViews>
    <customSheetView guid="{BBA80CC4-398C-41FE-99C8-A75F96D5CA58}" scale="70" fitToPage="1" topLeftCell="C16">
      <selection activeCell="U29" sqref="U29"/>
      <pageMargins left="0.7" right="0.7" top="0.75" bottom="0.75" header="0.3" footer="0.3"/>
      <pageSetup scale="22" orientation="landscape"/>
    </customSheetView>
    <customSheetView guid="{03C358DA-88A4-4E12-84B7-BB4E50E89831}" scale="70" fitToPage="1" topLeftCell="H85">
      <selection activeCell="W88" sqref="W88"/>
      <pageMargins left="0.7" right="0.7" top="0.75" bottom="0.75" header="0.3" footer="0.3"/>
      <pageSetup scale="22" orientation="landscape"/>
    </customSheetView>
  </customSheetViews>
  <mergeCells count="348">
    <mergeCell ref="I85:P85"/>
    <mergeCell ref="Q26:R26"/>
    <mergeCell ref="Q32:R32"/>
    <mergeCell ref="Q27:R27"/>
    <mergeCell ref="AC25:AD25"/>
    <mergeCell ref="AA25:AB25"/>
    <mergeCell ref="AC27:AD27"/>
    <mergeCell ref="AA27:AB27"/>
    <mergeCell ref="K52:M52"/>
    <mergeCell ref="L25:M25"/>
    <mergeCell ref="L26:M26"/>
    <mergeCell ref="Q25:R25"/>
    <mergeCell ref="S25:T25"/>
    <mergeCell ref="T69:V69"/>
    <mergeCell ref="I51:P51"/>
    <mergeCell ref="I68:P68"/>
    <mergeCell ref="O40:P40"/>
    <mergeCell ref="Q40:R40"/>
    <mergeCell ref="W42:X42"/>
    <mergeCell ref="O41:P41"/>
    <mergeCell ref="Q41:R41"/>
    <mergeCell ref="S41:T41"/>
    <mergeCell ref="U41:V41"/>
    <mergeCell ref="AC26:AD26"/>
    <mergeCell ref="AA26:AB26"/>
    <mergeCell ref="W25:X25"/>
    <mergeCell ref="AE27:AF27"/>
    <mergeCell ref="AE25:AF25"/>
    <mergeCell ref="J27:K27"/>
    <mergeCell ref="O32:P32"/>
    <mergeCell ref="H25:I25"/>
    <mergeCell ref="AE36:AF36"/>
    <mergeCell ref="U26:V26"/>
    <mergeCell ref="Q34:R34"/>
    <mergeCell ref="H34:I34"/>
    <mergeCell ref="AC34:AD34"/>
    <mergeCell ref="Y35:Z35"/>
    <mergeCell ref="AA35:AB35"/>
    <mergeCell ref="AC35:AD35"/>
    <mergeCell ref="AE35:AF35"/>
    <mergeCell ref="S31:T31"/>
    <mergeCell ref="S32:T32"/>
    <mergeCell ref="S35:T35"/>
    <mergeCell ref="Q35:R35"/>
    <mergeCell ref="O35:P35"/>
    <mergeCell ref="Y34:Z34"/>
    <mergeCell ref="AA34:AB34"/>
    <mergeCell ref="H27:I27"/>
    <mergeCell ref="AG9:AH9"/>
    <mergeCell ref="AE12:AF12"/>
    <mergeCell ref="Y5:Z5"/>
    <mergeCell ref="O12:P12"/>
    <mergeCell ref="W33:X33"/>
    <mergeCell ref="W35:X35"/>
    <mergeCell ref="AC31:AD31"/>
    <mergeCell ref="AC32:AD32"/>
    <mergeCell ref="W17:X17"/>
    <mergeCell ref="W10:X10"/>
    <mergeCell ref="W31:X31"/>
    <mergeCell ref="W32:X32"/>
    <mergeCell ref="Y31:Z31"/>
    <mergeCell ref="Y32:Z32"/>
    <mergeCell ref="AA33:AB33"/>
    <mergeCell ref="AC33:AD33"/>
    <mergeCell ref="AE33:AF33"/>
    <mergeCell ref="U12:V12"/>
    <mergeCell ref="U10:V10"/>
    <mergeCell ref="Y27:Z27"/>
    <mergeCell ref="Y26:Z26"/>
    <mergeCell ref="W19:X19"/>
    <mergeCell ref="W26:X26"/>
    <mergeCell ref="Y33:Z33"/>
    <mergeCell ref="AL5:AM5"/>
    <mergeCell ref="AA5:AB5"/>
    <mergeCell ref="AC5:AD5"/>
    <mergeCell ref="AE5:AF5"/>
    <mergeCell ref="AG5:AH5"/>
    <mergeCell ref="AI5:AJ5"/>
    <mergeCell ref="A4:B4"/>
    <mergeCell ref="O4:AM4"/>
    <mergeCell ref="H5:I5"/>
    <mergeCell ref="J5:K5"/>
    <mergeCell ref="L5:M5"/>
    <mergeCell ref="O5:P5"/>
    <mergeCell ref="Q5:R5"/>
    <mergeCell ref="S5:T5"/>
    <mergeCell ref="U5:V5"/>
    <mergeCell ref="W5:X5"/>
    <mergeCell ref="D4:M4"/>
    <mergeCell ref="D5:E5"/>
    <mergeCell ref="F5:G5"/>
    <mergeCell ref="AL10:AM10"/>
    <mergeCell ref="AL12:AM12"/>
    <mergeCell ref="AL14:AM14"/>
    <mergeCell ref="U9:V9"/>
    <mergeCell ref="U14:V14"/>
    <mergeCell ref="L8:M9"/>
    <mergeCell ref="AI14:AJ14"/>
    <mergeCell ref="AC9:AD9"/>
    <mergeCell ref="AL9:AM9"/>
    <mergeCell ref="S10:T10"/>
    <mergeCell ref="S12:T12"/>
    <mergeCell ref="S14:T14"/>
    <mergeCell ref="L12:M12"/>
    <mergeCell ref="L14:M14"/>
    <mergeCell ref="Q10:R10"/>
    <mergeCell ref="Q12:R12"/>
    <mergeCell ref="Q14:R14"/>
    <mergeCell ref="O10:P10"/>
    <mergeCell ref="AI9:AJ9"/>
    <mergeCell ref="AG10:AH10"/>
    <mergeCell ref="AI10:AJ10"/>
    <mergeCell ref="AG12:AH12"/>
    <mergeCell ref="AI12:AJ12"/>
    <mergeCell ref="AA12:AB12"/>
    <mergeCell ref="AL15:AM15"/>
    <mergeCell ref="AL22:AM22"/>
    <mergeCell ref="AL17:AM17"/>
    <mergeCell ref="AL19:AM19"/>
    <mergeCell ref="AL21:AM21"/>
    <mergeCell ref="Y14:Z14"/>
    <mergeCell ref="AA14:AB14"/>
    <mergeCell ref="AC14:AD14"/>
    <mergeCell ref="AE14:AF14"/>
    <mergeCell ref="AG14:AH14"/>
    <mergeCell ref="AG17:AH17"/>
    <mergeCell ref="Y17:Z17"/>
    <mergeCell ref="AE21:AF21"/>
    <mergeCell ref="AC21:AD21"/>
    <mergeCell ref="Y19:Z19"/>
    <mergeCell ref="AI21:AJ21"/>
    <mergeCell ref="AG21:AH21"/>
    <mergeCell ref="Y21:Z21"/>
    <mergeCell ref="AL25:AM25"/>
    <mergeCell ref="AL31:AM31"/>
    <mergeCell ref="AL35:AM35"/>
    <mergeCell ref="AL37:AM37"/>
    <mergeCell ref="AL36:AM36"/>
    <mergeCell ref="AI19:AJ19"/>
    <mergeCell ref="AG19:AH19"/>
    <mergeCell ref="AI17:AJ17"/>
    <mergeCell ref="AA21:AB21"/>
    <mergeCell ref="AE19:AF19"/>
    <mergeCell ref="AC19:AD19"/>
    <mergeCell ref="AA19:AB19"/>
    <mergeCell ref="AA17:AB17"/>
    <mergeCell ref="AE17:AF17"/>
    <mergeCell ref="AC17:AD17"/>
    <mergeCell ref="AI25:AJ25"/>
    <mergeCell ref="AG25:AH25"/>
    <mergeCell ref="AA31:AB31"/>
    <mergeCell ref="AA32:AB32"/>
    <mergeCell ref="AE37:AF37"/>
    <mergeCell ref="AG26:AH26"/>
    <mergeCell ref="AA36:AB36"/>
    <mergeCell ref="AC36:AD36"/>
    <mergeCell ref="AE26:AF26"/>
    <mergeCell ref="AL32:AM32"/>
    <mergeCell ref="AL33:AM33"/>
    <mergeCell ref="AL34:AM34"/>
    <mergeCell ref="AI34:AJ34"/>
    <mergeCell ref="AI32:AJ32"/>
    <mergeCell ref="AG32:AH32"/>
    <mergeCell ref="AI26:AJ26"/>
    <mergeCell ref="AG27:AH27"/>
    <mergeCell ref="AG33:AH33"/>
    <mergeCell ref="AI33:AJ33"/>
    <mergeCell ref="AI27:AJ27"/>
    <mergeCell ref="AI31:AJ31"/>
    <mergeCell ref="AG31:AH31"/>
    <mergeCell ref="AL27:AM27"/>
    <mergeCell ref="AL26:AM26"/>
    <mergeCell ref="AG34:AH34"/>
    <mergeCell ref="AL41:AM41"/>
    <mergeCell ref="AL42:AM42"/>
    <mergeCell ref="AG36:AH36"/>
    <mergeCell ref="AI36:AJ36"/>
    <mergeCell ref="AG35:AH35"/>
    <mergeCell ref="AI35:AJ35"/>
    <mergeCell ref="Y36:Z36"/>
    <mergeCell ref="AC37:AD37"/>
    <mergeCell ref="W37:X37"/>
    <mergeCell ref="AA37:AB37"/>
    <mergeCell ref="Y37:Z37"/>
    <mergeCell ref="AI37:AJ37"/>
    <mergeCell ref="AE40:AF40"/>
    <mergeCell ref="AC42:AD42"/>
    <mergeCell ref="AE42:AF42"/>
    <mergeCell ref="AG37:AH37"/>
    <mergeCell ref="AI43:AJ43"/>
    <mergeCell ref="Y41:Z41"/>
    <mergeCell ref="AA41:AB41"/>
    <mergeCell ref="AC41:AD41"/>
    <mergeCell ref="AE41:AF41"/>
    <mergeCell ref="Y42:Z42"/>
    <mergeCell ref="AA42:AB42"/>
    <mergeCell ref="AL43:AM43"/>
    <mergeCell ref="W40:X40"/>
    <mergeCell ref="AL40:AM40"/>
    <mergeCell ref="AG40:AH40"/>
    <mergeCell ref="AI40:AJ40"/>
    <mergeCell ref="AG41:AH41"/>
    <mergeCell ref="AI41:AJ41"/>
    <mergeCell ref="AI42:AJ42"/>
    <mergeCell ref="AG42:AH42"/>
    <mergeCell ref="Y40:Z40"/>
    <mergeCell ref="AA40:AB40"/>
    <mergeCell ref="AC40:AD40"/>
    <mergeCell ref="AG43:AH43"/>
    <mergeCell ref="AE43:AF43"/>
    <mergeCell ref="AC43:AD43"/>
    <mergeCell ref="AA43:AB43"/>
    <mergeCell ref="Y43:Z43"/>
    <mergeCell ref="S19:T19"/>
    <mergeCell ref="U35:V35"/>
    <mergeCell ref="W34:X34"/>
    <mergeCell ref="U34:V34"/>
    <mergeCell ref="U33:V33"/>
    <mergeCell ref="U31:V31"/>
    <mergeCell ref="U32:V32"/>
    <mergeCell ref="W43:X43"/>
    <mergeCell ref="U40:V40"/>
    <mergeCell ref="S40:T40"/>
    <mergeCell ref="U37:V37"/>
    <mergeCell ref="S37:T37"/>
    <mergeCell ref="S43:T43"/>
    <mergeCell ref="S42:T42"/>
    <mergeCell ref="U36:V36"/>
    <mergeCell ref="W36:X36"/>
    <mergeCell ref="U42:V42"/>
    <mergeCell ref="U43:V43"/>
    <mergeCell ref="W41:X41"/>
    <mergeCell ref="U27:V27"/>
    <mergeCell ref="S27:T27"/>
    <mergeCell ref="U19:V19"/>
    <mergeCell ref="Q37:R37"/>
    <mergeCell ref="W27:X27"/>
    <mergeCell ref="Q31:R31"/>
    <mergeCell ref="Q36:R36"/>
    <mergeCell ref="S36:T36"/>
    <mergeCell ref="U21:V21"/>
    <mergeCell ref="W21:X21"/>
    <mergeCell ref="S21:T21"/>
    <mergeCell ref="J43:K43"/>
    <mergeCell ref="L43:M43"/>
    <mergeCell ref="J21:K21"/>
    <mergeCell ref="L21:M21"/>
    <mergeCell ref="J31:K31"/>
    <mergeCell ref="L31:M31"/>
    <mergeCell ref="Q33:R33"/>
    <mergeCell ref="S33:T33"/>
    <mergeCell ref="O27:P27"/>
    <mergeCell ref="O31:P31"/>
    <mergeCell ref="S26:T26"/>
    <mergeCell ref="O33:P33"/>
    <mergeCell ref="O34:P34"/>
    <mergeCell ref="S34:T34"/>
    <mergeCell ref="J26:K26"/>
    <mergeCell ref="O36:P36"/>
    <mergeCell ref="O43:P43"/>
    <mergeCell ref="Q43:R43"/>
    <mergeCell ref="O42:P42"/>
    <mergeCell ref="Q42:R42"/>
    <mergeCell ref="O37:P37"/>
    <mergeCell ref="H41:I41"/>
    <mergeCell ref="H43:I43"/>
    <mergeCell ref="L6:M6"/>
    <mergeCell ref="L27:M27"/>
    <mergeCell ref="L40:M40"/>
    <mergeCell ref="J41:K41"/>
    <mergeCell ref="L41:M41"/>
    <mergeCell ref="J34:K34"/>
    <mergeCell ref="L34:M34"/>
    <mergeCell ref="L10:M10"/>
    <mergeCell ref="L17:M17"/>
    <mergeCell ref="H17:I17"/>
    <mergeCell ref="J17:K17"/>
    <mergeCell ref="J40:K40"/>
    <mergeCell ref="H19:I19"/>
    <mergeCell ref="J19:K19"/>
    <mergeCell ref="J25:K25"/>
    <mergeCell ref="H10:I10"/>
    <mergeCell ref="H12:I12"/>
    <mergeCell ref="H31:I31"/>
    <mergeCell ref="H40:I40"/>
    <mergeCell ref="L32:M32"/>
    <mergeCell ref="D9:E9"/>
    <mergeCell ref="D10:E10"/>
    <mergeCell ref="D12:E12"/>
    <mergeCell ref="D14:E14"/>
    <mergeCell ref="D17:E17"/>
    <mergeCell ref="D19:E19"/>
    <mergeCell ref="D21:E21"/>
    <mergeCell ref="D25:E25"/>
    <mergeCell ref="H32:I32"/>
    <mergeCell ref="H26:I26"/>
    <mergeCell ref="J32:K32"/>
    <mergeCell ref="H21:I21"/>
    <mergeCell ref="AE34:AF34"/>
    <mergeCell ref="O8:P9"/>
    <mergeCell ref="Q8:R9"/>
    <mergeCell ref="S8:T9"/>
    <mergeCell ref="AE31:AF31"/>
    <mergeCell ref="AE32:AF32"/>
    <mergeCell ref="D26:E26"/>
    <mergeCell ref="D27:E27"/>
    <mergeCell ref="F9:G9"/>
    <mergeCell ref="F10:G10"/>
    <mergeCell ref="F12:G12"/>
    <mergeCell ref="F17:G17"/>
    <mergeCell ref="F19:G19"/>
    <mergeCell ref="F25:G25"/>
    <mergeCell ref="F26:G26"/>
    <mergeCell ref="F27:G27"/>
    <mergeCell ref="Y25:Z25"/>
    <mergeCell ref="AA10:AB10"/>
    <mergeCell ref="AC10:AD10"/>
    <mergeCell ref="AE10:AF10"/>
    <mergeCell ref="AE9:AF9"/>
    <mergeCell ref="W12:X12"/>
    <mergeCell ref="W14:X14"/>
    <mergeCell ref="U25:V25"/>
    <mergeCell ref="Y9:Z9"/>
    <mergeCell ref="AC12:AD12"/>
    <mergeCell ref="Y10:Z10"/>
    <mergeCell ref="W9:X9"/>
    <mergeCell ref="U17:V17"/>
    <mergeCell ref="S17:T17"/>
    <mergeCell ref="Q17:R17"/>
    <mergeCell ref="J8:K9"/>
    <mergeCell ref="H8:I9"/>
    <mergeCell ref="AA9:AB9"/>
    <mergeCell ref="Y12:Z12"/>
    <mergeCell ref="J10:K10"/>
    <mergeCell ref="J12:K12"/>
    <mergeCell ref="O17:P17"/>
    <mergeCell ref="O14:P14"/>
    <mergeCell ref="H14:I14"/>
    <mergeCell ref="J14:K14"/>
    <mergeCell ref="O21:P21"/>
    <mergeCell ref="Q21:R21"/>
    <mergeCell ref="O25:P25"/>
    <mergeCell ref="O26:P26"/>
    <mergeCell ref="F14:G14"/>
    <mergeCell ref="F21:G21"/>
    <mergeCell ref="L19:M19"/>
    <mergeCell ref="O19:P19"/>
    <mergeCell ref="Q19:R19"/>
  </mergeCells>
  <conditionalFormatting sqref="K15:M15 K22:M22">
    <cfRule type="cellIs" dxfId="64" priority="54" operator="lessThan">
      <formula>0</formula>
    </cfRule>
    <cfRule type="cellIs" dxfId="63" priority="55" operator="greaterThan">
      <formula>0</formula>
    </cfRule>
  </conditionalFormatting>
  <conditionalFormatting sqref="V140:V144">
    <cfRule type="cellIs" dxfId="62" priority="52" operator="lessThan">
      <formula>0</formula>
    </cfRule>
    <cfRule type="cellIs" dxfId="61" priority="53" operator="greaterThan">
      <formula>0</formula>
    </cfRule>
  </conditionalFormatting>
  <conditionalFormatting sqref="J22">
    <cfRule type="cellIs" dxfId="60" priority="50" operator="lessThan">
      <formula>0</formula>
    </cfRule>
    <cfRule type="cellIs" dxfId="59" priority="51" operator="greaterThan">
      <formula>0</formula>
    </cfRule>
  </conditionalFormatting>
  <conditionalFormatting sqref="I22">
    <cfRule type="cellIs" dxfId="58" priority="48" operator="lessThan">
      <formula>0</formula>
    </cfRule>
    <cfRule type="cellIs" dxfId="57" priority="49" operator="greaterThan">
      <formula>0</formula>
    </cfRule>
  </conditionalFormatting>
  <conditionalFormatting sqref="G22">
    <cfRule type="cellIs" dxfId="56" priority="46" operator="lessThan">
      <formula>0</formula>
    </cfRule>
    <cfRule type="cellIs" dxfId="55" priority="47" operator="greaterThan">
      <formula>0</formula>
    </cfRule>
  </conditionalFormatting>
  <conditionalFormatting sqref="I15">
    <cfRule type="cellIs" dxfId="54" priority="44" operator="lessThan">
      <formula>0</formula>
    </cfRule>
    <cfRule type="cellIs" dxfId="53" priority="45" operator="greaterThan">
      <formula>0</formula>
    </cfRule>
  </conditionalFormatting>
  <conditionalFormatting sqref="G15">
    <cfRule type="cellIs" dxfId="52" priority="42" operator="lessThan">
      <formula>0</formula>
    </cfRule>
    <cfRule type="cellIs" dxfId="51" priority="43" operator="greaterThan">
      <formula>0</formula>
    </cfRule>
  </conditionalFormatting>
  <conditionalFormatting sqref="AK31:AK3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1:AK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5">
    <cfRule type="cellIs" dxfId="50" priority="36" operator="lessThan">
      <formula>0</formula>
    </cfRule>
    <cfRule type="cellIs" dxfId="49" priority="37" operator="greaterThan">
      <formula>0</formula>
    </cfRule>
  </conditionalFormatting>
  <conditionalFormatting sqref="G13">
    <cfRule type="cellIs" dxfId="48" priority="34" operator="lessThan">
      <formula>0</formula>
    </cfRule>
    <cfRule type="cellIs" dxfId="47" priority="35" operator="greaterThan">
      <formula>0</formula>
    </cfRule>
  </conditionalFormatting>
  <conditionalFormatting sqref="G11">
    <cfRule type="cellIs" dxfId="46" priority="32" operator="lessThan">
      <formula>0</formula>
    </cfRule>
    <cfRule type="cellIs" dxfId="45" priority="33" operator="greaterThan">
      <formula>0</formula>
    </cfRule>
  </conditionalFormatting>
  <conditionalFormatting sqref="I11">
    <cfRule type="cellIs" dxfId="44" priority="30" operator="lessThan">
      <formula>0</formula>
    </cfRule>
    <cfRule type="cellIs" dxfId="43" priority="31" operator="greaterThan">
      <formula>0</formula>
    </cfRule>
  </conditionalFormatting>
  <conditionalFormatting sqref="K11">
    <cfRule type="cellIs" dxfId="42" priority="28" operator="lessThan">
      <formula>0</formula>
    </cfRule>
    <cfRule type="cellIs" dxfId="41" priority="29" operator="greaterThan">
      <formula>0</formula>
    </cfRule>
  </conditionalFormatting>
  <conditionalFormatting sqref="M11">
    <cfRule type="cellIs" dxfId="40" priority="26" operator="lessThan">
      <formula>0</formula>
    </cfRule>
    <cfRule type="cellIs" dxfId="39" priority="27" operator="greaterThan">
      <formula>0</formula>
    </cfRule>
  </conditionalFormatting>
  <conditionalFormatting sqref="I13">
    <cfRule type="cellIs" dxfId="38" priority="24" operator="lessThan">
      <formula>0</formula>
    </cfRule>
    <cfRule type="cellIs" dxfId="37" priority="25" operator="greaterThan">
      <formula>0</formula>
    </cfRule>
  </conditionalFormatting>
  <conditionalFormatting sqref="K13">
    <cfRule type="cellIs" dxfId="36" priority="22" operator="lessThan">
      <formula>0</formula>
    </cfRule>
    <cfRule type="cellIs" dxfId="35" priority="23" operator="greaterThan">
      <formula>0</formula>
    </cfRule>
  </conditionalFormatting>
  <conditionalFormatting sqref="M13">
    <cfRule type="cellIs" dxfId="34" priority="20" operator="lessThan">
      <formula>0</formula>
    </cfRule>
    <cfRule type="cellIs" dxfId="33" priority="21" operator="greaterThan">
      <formula>0</formula>
    </cfRule>
  </conditionalFormatting>
  <conditionalFormatting sqref="G18">
    <cfRule type="cellIs" dxfId="32" priority="18" operator="lessThan">
      <formula>0</formula>
    </cfRule>
    <cfRule type="cellIs" dxfId="31" priority="19" operator="greaterThan">
      <formula>0</formula>
    </cfRule>
  </conditionalFormatting>
  <conditionalFormatting sqref="I18">
    <cfRule type="cellIs" dxfId="30" priority="16" operator="lessThan">
      <formula>0</formula>
    </cfRule>
    <cfRule type="cellIs" dxfId="29" priority="17" operator="greaterThan">
      <formula>0</formula>
    </cfRule>
  </conditionalFormatting>
  <conditionalFormatting sqref="K18">
    <cfRule type="cellIs" dxfId="28" priority="14" operator="lessThan">
      <formula>0</formula>
    </cfRule>
    <cfRule type="cellIs" dxfId="27" priority="15" operator="greaterThan">
      <formula>0</formula>
    </cfRule>
  </conditionalFormatting>
  <conditionalFormatting sqref="M18">
    <cfRule type="cellIs" dxfId="26" priority="12" operator="lessThan">
      <formula>0</formula>
    </cfRule>
    <cfRule type="cellIs" dxfId="25" priority="13" operator="greaterThan">
      <formula>0</formula>
    </cfRule>
  </conditionalFormatting>
  <conditionalFormatting sqref="M20">
    <cfRule type="cellIs" dxfId="24" priority="10" operator="lessThan">
      <formula>0</formula>
    </cfRule>
    <cfRule type="cellIs" dxfId="23" priority="11" operator="greaterThan">
      <formula>0</formula>
    </cfRule>
  </conditionalFormatting>
  <conditionalFormatting sqref="K20">
    <cfRule type="cellIs" dxfId="22" priority="8" operator="lessThan">
      <formula>0</formula>
    </cfRule>
    <cfRule type="cellIs" dxfId="21" priority="9" operator="greaterThan">
      <formula>0</formula>
    </cfRule>
  </conditionalFormatting>
  <conditionalFormatting sqref="I20"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G20">
    <cfRule type="cellIs" dxfId="18" priority="4" operator="lessThan">
      <formula>0</formula>
    </cfRule>
    <cfRule type="cellIs" dxfId="17" priority="5" operator="greaterThan">
      <formula>0</formula>
    </cfRule>
  </conditionalFormatting>
  <conditionalFormatting sqref="AB88:AD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AJ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A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  <pageSetUpPr fitToPage="1"/>
  </sheetPr>
  <dimension ref="A1:BA91"/>
  <sheetViews>
    <sheetView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S23" sqref="S23"/>
    </sheetView>
  </sheetViews>
  <sheetFormatPr defaultColWidth="8.42578125" defaultRowHeight="15" outlineLevelRow="1" outlineLevelCol="1" x14ac:dyDescent="0.25"/>
  <cols>
    <col min="1" max="1" width="4.28515625" style="194" customWidth="1"/>
    <col min="2" max="2" width="26.7109375" style="165" bestFit="1" customWidth="1"/>
    <col min="3" max="3" width="1.7109375" style="165" customWidth="1"/>
    <col min="4" max="4" width="15.28515625" style="165" customWidth="1" outlineLevel="1"/>
    <col min="5" max="5" width="10.28515625" style="165" customWidth="1" outlineLevel="1"/>
    <col min="6" max="6" width="15.28515625" style="165" customWidth="1" outlineLevel="1"/>
    <col min="7" max="7" width="10.28515625" style="165" customWidth="1" outlineLevel="1"/>
    <col min="8" max="8" width="15.28515625" style="165" customWidth="1" outlineLevel="1"/>
    <col min="9" max="9" width="10.28515625" style="165" customWidth="1" outlineLevel="1"/>
    <col min="10" max="10" width="19" style="165" customWidth="1" outlineLevel="1"/>
    <col min="11" max="11" width="10" style="165" customWidth="1" outlineLevel="1"/>
    <col min="12" max="12" width="18.28515625" style="165" customWidth="1" outlineLevel="1"/>
    <col min="13" max="13" width="11.28515625" style="165" customWidth="1" outlineLevel="1"/>
    <col min="14" max="14" width="18.28515625" style="165" customWidth="1" outlineLevel="1"/>
    <col min="15" max="15" width="11.28515625" style="165" customWidth="1" outlineLevel="1"/>
    <col min="16" max="16" width="15.140625" style="165" customWidth="1" outlineLevel="1"/>
    <col min="17" max="17" width="14" style="165" customWidth="1" outlineLevel="1"/>
    <col min="18" max="18" width="1.7109375" style="165" customWidth="1"/>
    <col min="19" max="19" width="15" style="165" bestFit="1" customWidth="1"/>
    <col min="20" max="20" width="10" style="165" bestFit="1" customWidth="1"/>
    <col min="21" max="21" width="18.28515625" style="165" bestFit="1" customWidth="1"/>
    <col min="22" max="22" width="10" style="165" bestFit="1" customWidth="1"/>
    <col min="23" max="23" width="18.140625" style="165" bestFit="1" customWidth="1"/>
    <col min="24" max="24" width="10" style="165" bestFit="1" customWidth="1"/>
    <col min="25" max="25" width="18.140625" style="165" bestFit="1" customWidth="1"/>
    <col min="26" max="26" width="10" style="165" bestFit="1" customWidth="1"/>
    <col min="27" max="27" width="18.28515625" style="165" bestFit="1" customWidth="1"/>
    <col min="28" max="28" width="10" style="165" bestFit="1" customWidth="1"/>
    <col min="29" max="29" width="18.7109375" style="165" hidden="1" customWidth="1" outlineLevel="1"/>
    <col min="30" max="30" width="10" style="165" hidden="1" customWidth="1" outlineLevel="1"/>
    <col min="31" max="31" width="19.7109375" style="165" hidden="1" customWidth="1" outlineLevel="1"/>
    <col min="32" max="32" width="10" style="165" hidden="1" customWidth="1" outlineLevel="1"/>
    <col min="33" max="33" width="18.7109375" style="165" hidden="1" customWidth="1" outlineLevel="1"/>
    <col min="34" max="34" width="10" style="165" hidden="1" customWidth="1" outlineLevel="1"/>
    <col min="35" max="35" width="18.7109375" style="165" hidden="1" customWidth="1" outlineLevel="1"/>
    <col min="36" max="36" width="10" style="165" hidden="1" customWidth="1" outlineLevel="1"/>
    <col min="37" max="37" width="18.7109375" style="165" hidden="1" customWidth="1" outlineLevel="1"/>
    <col min="38" max="38" width="10" style="165" hidden="1" customWidth="1" outlineLevel="1"/>
    <col min="39" max="39" width="18.7109375" style="165" hidden="1" customWidth="1" outlineLevel="1"/>
    <col min="40" max="41" width="10" style="165" hidden="1" customWidth="1" outlineLevel="1"/>
    <col min="42" max="42" width="18.140625" style="165" hidden="1" customWidth="1" outlineLevel="1"/>
    <col min="43" max="43" width="10" style="165" hidden="1" customWidth="1" outlineLevel="1"/>
    <col min="44" max="44" width="8.42578125" style="165" collapsed="1"/>
    <col min="45" max="48" width="8.42578125" style="165"/>
    <col min="49" max="49" width="12.140625" style="165" customWidth="1"/>
    <col min="50" max="50" width="11.7109375" style="165" customWidth="1"/>
    <col min="51" max="16384" width="8.42578125" style="165"/>
  </cols>
  <sheetData>
    <row r="1" spans="1:53" customFormat="1" ht="23.25" x14ac:dyDescent="0.35">
      <c r="A1" s="1" t="str">
        <f>+'Data Entry'!C6</f>
        <v>LF III</v>
      </c>
      <c r="D1" s="427"/>
      <c r="E1" s="427"/>
      <c r="F1" s="427"/>
      <c r="G1" s="427"/>
      <c r="N1" s="427"/>
      <c r="O1" s="427"/>
    </row>
    <row r="2" spans="1:53" customFormat="1" ht="15.75" x14ac:dyDescent="0.25">
      <c r="A2" s="12" t="s">
        <v>54</v>
      </c>
      <c r="D2" s="427"/>
      <c r="E2" s="427"/>
      <c r="F2" s="427"/>
      <c r="G2" s="427"/>
      <c r="N2" s="427"/>
      <c r="O2" s="427"/>
    </row>
    <row r="3" spans="1:53" customFormat="1" x14ac:dyDescent="0.25">
      <c r="A3" s="11" t="s">
        <v>487</v>
      </c>
      <c r="D3" s="1119" t="s">
        <v>29</v>
      </c>
      <c r="E3" s="1119"/>
      <c r="F3" s="1119"/>
      <c r="G3" s="1119"/>
      <c r="H3" s="1119"/>
      <c r="I3" s="1119"/>
      <c r="J3" s="1119"/>
      <c r="K3" s="1119"/>
      <c r="L3" s="1119"/>
      <c r="M3" s="1119"/>
      <c r="N3" s="1119"/>
      <c r="O3" s="1119"/>
      <c r="P3" s="1119"/>
      <c r="Q3" s="1119"/>
      <c r="S3" s="1127" t="s">
        <v>523</v>
      </c>
      <c r="T3" s="1127"/>
      <c r="U3" s="1127"/>
      <c r="V3" s="1127"/>
      <c r="W3" s="1127"/>
      <c r="X3" s="1127"/>
      <c r="Y3" s="1127"/>
      <c r="Z3" s="1127"/>
      <c r="AA3" s="1127"/>
      <c r="AB3" s="1127"/>
      <c r="AC3" s="1127"/>
      <c r="AD3" s="1127"/>
      <c r="AE3" s="1127"/>
      <c r="AF3" s="1127"/>
      <c r="AG3" s="1127"/>
      <c r="AH3" s="1127"/>
      <c r="AI3" s="1127"/>
      <c r="AJ3" s="1127"/>
      <c r="AK3" s="1127"/>
      <c r="AL3" s="1127"/>
      <c r="AM3" s="1127"/>
      <c r="AN3" s="1127"/>
      <c r="AO3" s="1127"/>
      <c r="AP3" s="1127"/>
      <c r="AQ3" s="1127"/>
    </row>
    <row r="4" spans="1:53" customFormat="1" x14ac:dyDescent="0.25">
      <c r="A4" s="1108" t="str">
        <f>+'Board Summary'!B3</f>
        <v>Hampton Inn &amp; Suites Wichita Airport</v>
      </c>
      <c r="B4" s="1108"/>
      <c r="D4" s="1068" t="s">
        <v>672</v>
      </c>
      <c r="E4" s="1068"/>
      <c r="F4" s="1068" t="s">
        <v>671</v>
      </c>
      <c r="G4" s="1068"/>
      <c r="H4" s="1068" t="s">
        <v>507</v>
      </c>
      <c r="I4" s="1068"/>
      <c r="J4" s="1068" t="s">
        <v>516</v>
      </c>
      <c r="K4" s="1068"/>
      <c r="L4" s="1068" t="s">
        <v>1132</v>
      </c>
      <c r="M4" s="1068"/>
      <c r="N4" s="1068" t="s">
        <v>1137</v>
      </c>
      <c r="O4" s="1068"/>
      <c r="P4" s="1068" t="s">
        <v>673</v>
      </c>
      <c r="Q4" s="1068"/>
      <c r="S4" s="1068" t="s">
        <v>522</v>
      </c>
      <c r="T4" s="1068"/>
      <c r="U4" s="1068" t="s">
        <v>524</v>
      </c>
      <c r="V4" s="1068"/>
      <c r="W4" s="1068" t="s">
        <v>525</v>
      </c>
      <c r="X4" s="1068"/>
      <c r="Y4" s="1068" t="s">
        <v>526</v>
      </c>
      <c r="Z4" s="1068"/>
      <c r="AA4" s="1068" t="s">
        <v>771</v>
      </c>
      <c r="AB4" s="1068"/>
      <c r="AC4" s="1068" t="s">
        <v>347</v>
      </c>
      <c r="AD4" s="1068"/>
      <c r="AE4" s="1068" t="s">
        <v>348</v>
      </c>
      <c r="AF4" s="1068"/>
      <c r="AG4" s="1068" t="s">
        <v>349</v>
      </c>
      <c r="AH4" s="1068"/>
      <c r="AI4" s="1068" t="s">
        <v>350</v>
      </c>
      <c r="AJ4" s="1068"/>
      <c r="AK4" s="1068" t="s">
        <v>351</v>
      </c>
      <c r="AL4" s="1068"/>
      <c r="AM4" s="1068" t="s">
        <v>353</v>
      </c>
      <c r="AN4" s="1068"/>
      <c r="AO4" s="238"/>
      <c r="AP4" s="1068" t="s">
        <v>355</v>
      </c>
      <c r="AQ4" s="1068"/>
    </row>
    <row r="5" spans="1:53" customFormat="1" x14ac:dyDescent="0.25">
      <c r="A5" s="194"/>
      <c r="D5" s="456" t="s">
        <v>36</v>
      </c>
      <c r="E5" s="456" t="s">
        <v>37</v>
      </c>
      <c r="F5" s="456" t="s">
        <v>36</v>
      </c>
      <c r="G5" s="456" t="s">
        <v>37</v>
      </c>
      <c r="H5" s="228" t="s">
        <v>36</v>
      </c>
      <c r="I5" s="228" t="s">
        <v>37</v>
      </c>
      <c r="J5" s="33" t="s">
        <v>36</v>
      </c>
      <c r="K5" s="33" t="s">
        <v>37</v>
      </c>
      <c r="L5" s="2" t="s">
        <v>36</v>
      </c>
      <c r="M5" s="170" t="s">
        <v>213</v>
      </c>
      <c r="N5" s="1031" t="s">
        <v>36</v>
      </c>
      <c r="O5" s="1031" t="s">
        <v>213</v>
      </c>
      <c r="P5" s="2" t="s">
        <v>36</v>
      </c>
      <c r="Q5" s="2" t="s">
        <v>37</v>
      </c>
      <c r="S5" s="3" t="s">
        <v>36</v>
      </c>
      <c r="T5" s="3" t="s">
        <v>37</v>
      </c>
      <c r="U5" s="3" t="s">
        <v>36</v>
      </c>
      <c r="V5" s="3" t="s">
        <v>37</v>
      </c>
      <c r="W5" s="3" t="s">
        <v>36</v>
      </c>
      <c r="X5" s="3" t="s">
        <v>37</v>
      </c>
      <c r="Y5" s="3" t="s">
        <v>36</v>
      </c>
      <c r="Z5" s="3" t="s">
        <v>37</v>
      </c>
      <c r="AA5" s="3" t="s">
        <v>36</v>
      </c>
      <c r="AB5" s="3" t="s">
        <v>37</v>
      </c>
      <c r="AC5" s="238" t="s">
        <v>36</v>
      </c>
      <c r="AD5" s="238" t="s">
        <v>37</v>
      </c>
      <c r="AE5" s="238" t="s">
        <v>36</v>
      </c>
      <c r="AF5" s="238" t="s">
        <v>37</v>
      </c>
      <c r="AG5" s="238" t="s">
        <v>36</v>
      </c>
      <c r="AH5" s="238" t="s">
        <v>37</v>
      </c>
      <c r="AI5" s="238" t="s">
        <v>36</v>
      </c>
      <c r="AJ5" s="238" t="s">
        <v>37</v>
      </c>
      <c r="AK5" s="238" t="s">
        <v>36</v>
      </c>
      <c r="AL5" s="238" t="s">
        <v>37</v>
      </c>
      <c r="AM5" s="238" t="s">
        <v>36</v>
      </c>
      <c r="AN5" s="238" t="s">
        <v>37</v>
      </c>
      <c r="AO5" s="238"/>
      <c r="AP5" s="3" t="s">
        <v>36</v>
      </c>
      <c r="AQ5" s="3" t="s">
        <v>37</v>
      </c>
    </row>
    <row r="6" spans="1:53" customFormat="1" x14ac:dyDescent="0.25">
      <c r="A6" s="194"/>
      <c r="D6" s="1086"/>
      <c r="E6" s="1086"/>
      <c r="F6" s="1086"/>
      <c r="G6" s="1086"/>
      <c r="H6" s="1086" t="s">
        <v>1133</v>
      </c>
      <c r="I6" s="1086"/>
      <c r="J6" s="1086"/>
      <c r="K6" s="1086"/>
      <c r="L6" s="1086"/>
      <c r="M6" s="1086"/>
      <c r="N6" s="1086"/>
      <c r="O6" s="1086"/>
      <c r="S6" s="1086"/>
      <c r="T6" s="1086"/>
      <c r="U6" s="1128"/>
      <c r="V6" s="1128"/>
      <c r="W6" s="1129"/>
      <c r="X6" s="1130"/>
      <c r="AS6" s="1133" t="s">
        <v>691</v>
      </c>
      <c r="AT6" s="1133"/>
    </row>
    <row r="7" spans="1:53" customFormat="1" outlineLevel="1" x14ac:dyDescent="0.25">
      <c r="A7" s="194" t="s">
        <v>38</v>
      </c>
      <c r="D7" s="1086"/>
      <c r="E7" s="1086"/>
      <c r="F7" s="1086"/>
      <c r="G7" s="1086"/>
      <c r="H7" s="1086"/>
      <c r="I7" s="1086"/>
      <c r="J7" s="1086"/>
      <c r="K7" s="1086"/>
      <c r="L7" s="1086"/>
      <c r="M7" s="1086"/>
      <c r="N7" s="1086"/>
      <c r="O7" s="1086"/>
      <c r="S7" s="1086"/>
      <c r="T7" s="1086"/>
      <c r="U7" s="1128"/>
      <c r="V7" s="1128"/>
      <c r="W7" s="1131"/>
      <c r="X7" s="1132"/>
      <c r="AS7" s="1133"/>
      <c r="AT7" s="1133"/>
    </row>
    <row r="8" spans="1:53" customFormat="1" outlineLevel="1" x14ac:dyDescent="0.25">
      <c r="A8" s="194"/>
      <c r="B8" t="s">
        <v>39</v>
      </c>
      <c r="D8" s="1112">
        <f>'Key Data'!D10:E10</f>
        <v>0</v>
      </c>
      <c r="E8" s="1113"/>
      <c r="F8" s="1112">
        <f>'Key Data'!F10:G10</f>
        <v>0</v>
      </c>
      <c r="G8" s="1113"/>
      <c r="H8" s="1112">
        <f>'Key Data'!H10:I10</f>
        <v>0.51800000000000002</v>
      </c>
      <c r="I8" s="1113"/>
      <c r="J8" s="1112">
        <f>'Key Data'!J10:K10</f>
        <v>0.73199999999999998</v>
      </c>
      <c r="K8" s="1113"/>
      <c r="L8" s="1112">
        <f>'Key Data'!L10:M10</f>
        <v>0.76400000000000001</v>
      </c>
      <c r="M8" s="1113"/>
      <c r="N8" s="1112">
        <f>'Key Data'!L10</f>
        <v>0.76400000000000001</v>
      </c>
      <c r="O8" s="1113"/>
      <c r="P8" s="1112">
        <f>IF(H8+J8+L8=0,0,((+(L8+J8+H8))/(COUNTA(H8,J8,L8))))</f>
        <v>0.67133333333333345</v>
      </c>
      <c r="Q8" s="1113"/>
      <c r="S8" s="1112">
        <f>'Key Data'!O10</f>
        <v>0.78008580000000005</v>
      </c>
      <c r="T8" s="1113"/>
      <c r="U8" s="1112">
        <f>'Key Data'!Q10</f>
        <v>0.78788665800000002</v>
      </c>
      <c r="V8" s="1113"/>
      <c r="W8" s="1112">
        <f>'Key Data'!S10</f>
        <v>0.79576552458000005</v>
      </c>
      <c r="X8" s="1113"/>
      <c r="Y8" s="1112">
        <f>'Key Data'!U10</f>
        <v>0.80372317982580022</v>
      </c>
      <c r="Z8" s="1113"/>
      <c r="AA8" s="1112">
        <f>'Key Data'!W10</f>
        <v>0.80372317982580022</v>
      </c>
      <c r="AB8" s="1113"/>
      <c r="AC8" s="1112">
        <f>'Key Data'!AL10</f>
        <v>0.79423686844632013</v>
      </c>
      <c r="AD8" s="1112"/>
      <c r="AE8" s="1112">
        <f>'Key Data'!AA10</f>
        <v>0.80372317982580022</v>
      </c>
      <c r="AF8" s="1112"/>
      <c r="AG8" s="1112">
        <f>'Key Data'!AC10</f>
        <v>0.80372317982580022</v>
      </c>
      <c r="AH8" s="1112"/>
      <c r="AI8" s="1112">
        <f>'Key Data'!AE10</f>
        <v>0.80372317982580022</v>
      </c>
      <c r="AJ8" s="1112"/>
      <c r="AK8" s="1112">
        <f>'Key Data'!AG10</f>
        <v>0.80372317982580022</v>
      </c>
      <c r="AL8" s="1112"/>
      <c r="AM8" s="1112">
        <f>'Key Data'!AI10</f>
        <v>0.80372317982580022</v>
      </c>
      <c r="AN8" s="1112"/>
      <c r="AO8" s="253"/>
      <c r="AP8" s="1126">
        <f>SUM(S8:AB8)/5</f>
        <v>0.79423686844632013</v>
      </c>
      <c r="AQ8" s="1126"/>
    </row>
    <row r="9" spans="1:53" customFormat="1" outlineLevel="1" x14ac:dyDescent="0.25">
      <c r="A9" s="194"/>
      <c r="B9" t="s">
        <v>40</v>
      </c>
      <c r="D9" s="1114">
        <f>'Key Data'!D12:E12</f>
        <v>0</v>
      </c>
      <c r="E9" s="1113"/>
      <c r="F9" s="1114">
        <f>'Key Data'!F12:G12</f>
        <v>0</v>
      </c>
      <c r="G9" s="1113"/>
      <c r="H9" s="1114">
        <f>'Key Data'!H12:I12</f>
        <v>112.83</v>
      </c>
      <c r="I9" s="1113"/>
      <c r="J9" s="1114">
        <f>'Key Data'!J12:K12</f>
        <v>111.63</v>
      </c>
      <c r="K9" s="1113"/>
      <c r="L9" s="1114">
        <f>'Key Data'!L12:M12</f>
        <v>112.02</v>
      </c>
      <c r="M9" s="1113"/>
      <c r="N9" s="1114">
        <f>'Key Data'!L12</f>
        <v>112.02</v>
      </c>
      <c r="O9" s="1113"/>
      <c r="P9" s="1125">
        <f>IF(H9&gt;0,(H9+J9+L9)/3,(J9+L9)/2)</f>
        <v>112.15999999999998</v>
      </c>
      <c r="Q9" s="1125"/>
      <c r="S9" s="1114">
        <f>'Key Data'!O12</f>
        <v>113.51894999999999</v>
      </c>
      <c r="T9" s="1113"/>
      <c r="U9" s="1114">
        <f>'Key Data'!Q12</f>
        <v>114.65413949999999</v>
      </c>
      <c r="V9" s="1113"/>
      <c r="W9" s="1114">
        <f>'Key Data'!S12</f>
        <v>115.80068089499999</v>
      </c>
      <c r="X9" s="1113"/>
      <c r="Y9" s="1114">
        <f>'Key Data'!U12</f>
        <v>116.95868770394998</v>
      </c>
      <c r="Z9" s="1113"/>
      <c r="AA9" s="1114">
        <f>'Key Data'!W12</f>
        <v>118.12827458098948</v>
      </c>
      <c r="AB9" s="1113"/>
      <c r="AC9" s="1114">
        <f>'Key Data'!AL12</f>
        <v>115.81214653598788</v>
      </c>
      <c r="AD9" s="1114"/>
      <c r="AE9" s="1114">
        <f>'Key Data'!AA12</f>
        <v>120.50265290006737</v>
      </c>
      <c r="AF9" s="1114"/>
      <c r="AG9" s="1114">
        <f>'Key Data'!AC12</f>
        <v>121.70767942906804</v>
      </c>
      <c r="AH9" s="1114"/>
      <c r="AI9" s="1114">
        <f>'Key Data'!AE12</f>
        <v>122.92475622335871</v>
      </c>
      <c r="AJ9" s="1114"/>
      <c r="AK9" s="1114">
        <f>'Key Data'!AG12</f>
        <v>124.15400378559229</v>
      </c>
      <c r="AL9" s="1114"/>
      <c r="AM9" s="1114">
        <f>'Key Data'!AI12</f>
        <v>125.39554382344822</v>
      </c>
      <c r="AN9" s="1114"/>
      <c r="AO9" s="253"/>
      <c r="AP9" s="1125">
        <f>SUM(S9:AB9)/5</f>
        <v>115.81214653598788</v>
      </c>
      <c r="AQ9" s="1125"/>
    </row>
    <row r="10" spans="1:53" customFormat="1" outlineLevel="1" x14ac:dyDescent="0.25">
      <c r="A10" s="194"/>
      <c r="B10" t="s">
        <v>41</v>
      </c>
      <c r="D10" s="1114">
        <f>D8*D9</f>
        <v>0</v>
      </c>
      <c r="E10" s="1113"/>
      <c r="F10" s="1114">
        <f>F8*F9</f>
        <v>0</v>
      </c>
      <c r="G10" s="1113"/>
      <c r="H10" s="1114">
        <f>H8*H9</f>
        <v>58.44594</v>
      </c>
      <c r="I10" s="1113"/>
      <c r="J10" s="1114">
        <f>J8*J9</f>
        <v>81.713159999999988</v>
      </c>
      <c r="K10" s="1113"/>
      <c r="L10" s="1114">
        <f>L8*L9</f>
        <v>85.583280000000002</v>
      </c>
      <c r="M10" s="1113"/>
      <c r="N10" s="1114">
        <f>N8*N9</f>
        <v>85.583280000000002</v>
      </c>
      <c r="O10" s="1113"/>
      <c r="P10" s="1125">
        <f>IF(H10&gt;0,(H10+J10+L10)/3,(J10+L10)/2)</f>
        <v>75.247460000000004</v>
      </c>
      <c r="Q10" s="1125"/>
      <c r="S10" s="1114">
        <f>S8*S9</f>
        <v>88.554520925909998</v>
      </c>
      <c r="T10" s="1113"/>
      <c r="U10" s="1114">
        <f>U8*U9</f>
        <v>90.334466796520786</v>
      </c>
      <c r="V10" s="1113"/>
      <c r="W10" s="1114">
        <f>W8*W9</f>
        <v>92.150189579130853</v>
      </c>
      <c r="X10" s="1113"/>
      <c r="Y10" s="1114">
        <f>Y8*Y9</f>
        <v>94.002408389671402</v>
      </c>
      <c r="Z10" s="1113"/>
      <c r="AA10" s="1114">
        <f>AA8*AA9</f>
        <v>94.942432473568118</v>
      </c>
      <c r="AB10" s="1113"/>
      <c r="AC10" s="1114">
        <f>AC8*AC9</f>
        <v>91.982276592789361</v>
      </c>
      <c r="AD10" s="1114"/>
      <c r="AE10" s="1114">
        <f>AE8*AE9</f>
        <v>96.85077536628684</v>
      </c>
      <c r="AF10" s="1114"/>
      <c r="AG10" s="1114">
        <f>AG8*AG9</f>
        <v>97.819283119949702</v>
      </c>
      <c r="AH10" s="1114"/>
      <c r="AI10" s="1114">
        <f>AI8*AI9</f>
        <v>98.797475951149195</v>
      </c>
      <c r="AJ10" s="1114"/>
      <c r="AK10" s="1114">
        <f>AK8*AK9</f>
        <v>99.785450710660683</v>
      </c>
      <c r="AL10" s="1114"/>
      <c r="AM10" s="1114">
        <f>AM8*AM9</f>
        <v>100.78330521776729</v>
      </c>
      <c r="AN10" s="1114"/>
      <c r="AO10" s="253"/>
      <c r="AP10" s="1125">
        <f>SUM(S10:AB10)/5</f>
        <v>91.996803632960223</v>
      </c>
      <c r="AQ10" s="1125"/>
    </row>
    <row r="11" spans="1:53" customFormat="1" outlineLevel="1" x14ac:dyDescent="0.25">
      <c r="A11" s="194"/>
      <c r="B11" t="s">
        <v>53</v>
      </c>
      <c r="D11" s="1114" t="e">
        <f>'Key Data'!D27:E27</f>
        <v>#DIV/0!</v>
      </c>
      <c r="E11" s="1113"/>
      <c r="F11" s="1114" t="e">
        <f>'Key Data'!F27:G27</f>
        <v>#DIV/0!</v>
      </c>
      <c r="G11" s="1113"/>
      <c r="H11" s="1114">
        <f>'Key Data'!H27:I27</f>
        <v>0.86861807457466711</v>
      </c>
      <c r="I11" s="1113"/>
      <c r="J11" s="1114">
        <f>'Key Data'!J27:K27</f>
        <v>1.3171700524735999</v>
      </c>
      <c r="K11" s="1113"/>
      <c r="L11" s="1114">
        <f>'Key Data'!L27:M27</f>
        <v>1.3040814600642265</v>
      </c>
      <c r="M11" s="1113"/>
      <c r="N11" s="1114">
        <f>'Key Data'!L27</f>
        <v>1.3040814600642265</v>
      </c>
      <c r="O11" s="1113"/>
      <c r="P11" s="1125">
        <f>IF(H11&gt;0,(H11+J11+L11)/3,(J11+L11)/2)</f>
        <v>1.1632898623708312</v>
      </c>
      <c r="Q11" s="1125"/>
      <c r="S11" s="1114">
        <f>'Key Data'!O27</f>
        <v>1.3098000000000001</v>
      </c>
      <c r="T11" s="1113"/>
      <c r="U11" s="1114">
        <f>'Key Data'!Q27</f>
        <v>1.3098000000000001</v>
      </c>
      <c r="V11" s="1113"/>
      <c r="W11" s="1114">
        <f>'Key Data'!S27</f>
        <v>1.3098000000000001</v>
      </c>
      <c r="X11" s="1113"/>
      <c r="Y11" s="1114">
        <f>'Key Data'!U27</f>
        <v>1.3098000000000001</v>
      </c>
      <c r="Z11" s="1113"/>
      <c r="AA11" s="1114">
        <f>'Key Data'!W27</f>
        <v>1.3098000000000001</v>
      </c>
      <c r="AB11" s="1113"/>
      <c r="AC11" s="1114">
        <f>'Key Data'!AL27</f>
        <v>1.3098000000000001</v>
      </c>
      <c r="AD11" s="1114"/>
      <c r="AE11" s="1114">
        <f>'Key Data'!AA27</f>
        <v>1.3098000000000001</v>
      </c>
      <c r="AF11" s="1114"/>
      <c r="AG11" s="1114">
        <f>'Key Data'!AC27</f>
        <v>1.3098000000000001</v>
      </c>
      <c r="AH11" s="1114"/>
      <c r="AI11" s="1114">
        <f>'Key Data'!AE27</f>
        <v>1.3098000000000003</v>
      </c>
      <c r="AJ11" s="1114"/>
      <c r="AK11" s="1114">
        <f>'Key Data'!AG27</f>
        <v>1.3098000000000001</v>
      </c>
      <c r="AL11" s="1114"/>
      <c r="AM11" s="1114">
        <f>'Key Data'!AI27</f>
        <v>1.3098000000000003</v>
      </c>
      <c r="AN11" s="1114"/>
      <c r="AO11" s="253"/>
      <c r="AP11" s="1125">
        <f>SUM(S11:AB11)/5</f>
        <v>1.3098000000000001</v>
      </c>
      <c r="AQ11" s="1125"/>
    </row>
    <row r="12" spans="1:53" customFormat="1" ht="7.9" customHeight="1" thickBot="1" x14ac:dyDescent="0.3">
      <c r="A12" s="194"/>
      <c r="D12" s="427"/>
      <c r="E12" s="427"/>
      <c r="F12" s="427"/>
      <c r="G12" s="427"/>
      <c r="N12" s="427"/>
      <c r="O12" s="427"/>
    </row>
    <row r="13" spans="1:53" customFormat="1" x14ac:dyDescent="0.25">
      <c r="A13" s="194" t="s">
        <v>3</v>
      </c>
      <c r="D13" s="427"/>
      <c r="E13" s="427"/>
      <c r="F13" s="427"/>
      <c r="G13" s="427"/>
      <c r="L13" s="143">
        <f>L17/(L8*'Key Data'!$C$55*365)</f>
        <v>1.0202670874273829</v>
      </c>
      <c r="N13" s="143">
        <f>N17/(N8*'Key Data'!$C$55*365)</f>
        <v>1.0108387004231514</v>
      </c>
      <c r="O13" s="427"/>
      <c r="AS13" s="299" t="s">
        <v>435</v>
      </c>
      <c r="AT13" s="310"/>
      <c r="AU13" s="310"/>
      <c r="AV13" s="310"/>
      <c r="AW13" s="310"/>
      <c r="AX13" s="286"/>
      <c r="AY13" s="286"/>
      <c r="AZ13" s="286"/>
      <c r="BA13" s="287"/>
    </row>
    <row r="14" spans="1:53" customFormat="1" x14ac:dyDescent="0.25">
      <c r="A14" s="194"/>
      <c r="D14" s="409"/>
      <c r="E14" s="427"/>
      <c r="F14" s="409"/>
      <c r="G14" s="427"/>
      <c r="H14" s="234"/>
      <c r="J14" s="234"/>
      <c r="L14" s="143">
        <f>L18/(L8*'Key Data'!$C$55*365)</f>
        <v>3.5798436491429393</v>
      </c>
      <c r="N14" s="143">
        <f>N18/(N8*'Key Data'!$C$55*365)</f>
        <v>3.6726727390088216</v>
      </c>
      <c r="O14" s="427"/>
      <c r="AP14" s="193"/>
      <c r="AQ14" s="7"/>
      <c r="AS14" s="288"/>
      <c r="AT14" s="179"/>
      <c r="AU14" s="179"/>
      <c r="AV14" s="179"/>
      <c r="AW14" s="179"/>
      <c r="AX14" s="103"/>
      <c r="AY14" s="103"/>
      <c r="AZ14" s="103"/>
      <c r="BA14" s="290"/>
    </row>
    <row r="15" spans="1:53" customFormat="1" x14ac:dyDescent="0.25">
      <c r="A15" s="194"/>
      <c r="B15" t="s">
        <v>0</v>
      </c>
      <c r="D15" s="409"/>
      <c r="E15" s="7" t="e">
        <f>+D15/D$20</f>
        <v>#DIV/0!</v>
      </c>
      <c r="F15" s="409"/>
      <c r="G15" s="7" t="e">
        <f>+F15/F$20</f>
        <v>#DIV/0!</v>
      </c>
      <c r="H15" s="409"/>
      <c r="I15" s="7" t="e">
        <f>+H15/H$20</f>
        <v>#DIV/0!</v>
      </c>
      <c r="J15" s="409">
        <v>3752742.49</v>
      </c>
      <c r="K15" s="7">
        <f>+J15/J$20</f>
        <v>0.96147298370929601</v>
      </c>
      <c r="L15" s="409">
        <v>3884495.76</v>
      </c>
      <c r="M15" s="7">
        <f>+L15/L$20</f>
        <v>0.96035734499454584</v>
      </c>
      <c r="N15" s="409">
        <v>3898918.93</v>
      </c>
      <c r="O15" s="7">
        <f>+N15/N$20</f>
        <v>0.95981080999517787</v>
      </c>
      <c r="P15" s="409">
        <f>IF(H15+J15+L15=0,0,((+(L15+J15+H15))/(COUNTA(H15,J15,L15))))</f>
        <v>3818619.125</v>
      </c>
      <c r="Q15" s="7">
        <f>+P15/P$20</f>
        <v>0.96090521745190505</v>
      </c>
      <c r="S15" s="260">
        <f>+S8*S9*365*'Key Data'!$C$45</f>
        <v>4040300.0172446435</v>
      </c>
      <c r="T15" s="7">
        <f>+S15/S$20</f>
        <v>0.96105530548681284</v>
      </c>
      <c r="U15" s="260">
        <f>+U8*U9*365*'Key Data'!$C$45</f>
        <v>4121510.0475912606</v>
      </c>
      <c r="V15" s="7">
        <f>+U15/U$20</f>
        <v>0.96142602274179034</v>
      </c>
      <c r="W15" s="260">
        <f>+W8*W9*365*'Key Data'!$C$45</f>
        <v>4204352.3995478451</v>
      </c>
      <c r="X15" s="7">
        <f>+W15/W$20</f>
        <v>0.96179335140381161</v>
      </c>
      <c r="Y15" s="260">
        <f>+Y8*Y9*365*'Key Data'!$C$45</f>
        <v>4288859.8827787573</v>
      </c>
      <c r="Z15" s="7">
        <f>+Y15/Y$20</f>
        <v>0.96215731978610186</v>
      </c>
      <c r="AA15" s="260">
        <f>+AA8*AA9*365*'Key Data'!$C$45</f>
        <v>4331748.4816065449</v>
      </c>
      <c r="AB15" s="7">
        <f>+AA15/AA$20</f>
        <v>0.96251795601590029</v>
      </c>
      <c r="AC15" s="26">
        <f>+AC8*AC9*365*'Key Data'!$C$45</f>
        <v>4196691.3695460148</v>
      </c>
      <c r="AD15" s="7">
        <f>+AC15/AC$20</f>
        <v>0.9602451628542723</v>
      </c>
      <c r="AE15" s="26">
        <f>+AE8*AE9*365*'Key Data'!$C$45</f>
        <v>4418816.6260868376</v>
      </c>
      <c r="AF15" s="7">
        <f>+AE15/AE$20</f>
        <v>0.96107717179623997</v>
      </c>
      <c r="AG15" s="26">
        <f>+AG8*AG9*365*'Key Data'!$C$45</f>
        <v>4463004.792347705</v>
      </c>
      <c r="AH15" s="7">
        <f>+AG15/AG$20</f>
        <v>0.96033699294882868</v>
      </c>
      <c r="AI15" s="26">
        <f>+AI8*AI9*365*'Key Data'!$C$45</f>
        <v>4507634.8402711824</v>
      </c>
      <c r="AJ15" s="7">
        <f>+AI15/AI$20</f>
        <v>0.95958333036667975</v>
      </c>
      <c r="AK15" s="26">
        <f>+AK8*AK9*365*'Key Data'!$C$45</f>
        <v>4552711.1886738939</v>
      </c>
      <c r="AL15" s="7">
        <f>+AK15/AK$20</f>
        <v>0.958815961100562</v>
      </c>
      <c r="AM15" s="26">
        <f>+AM8*AM9*365*'Key Data'!$C$45</f>
        <v>4598238.3005606327</v>
      </c>
      <c r="AN15" s="7">
        <f>+AM15/AM$20</f>
        <v>0.95803465938414423</v>
      </c>
      <c r="AO15" s="7"/>
      <c r="AP15" s="194">
        <f>+(S15+U15+W15+Y15+AA15)/5</f>
        <v>4197354.1657538097</v>
      </c>
      <c r="AQ15" s="7">
        <f>+AP15/AP$20</f>
        <v>0.96180279157395965</v>
      </c>
      <c r="AS15" s="288" t="s">
        <v>441</v>
      </c>
      <c r="AT15" s="179"/>
      <c r="AU15" s="179"/>
      <c r="AV15" s="179"/>
      <c r="AW15" s="179"/>
      <c r="AX15" s="179" t="str">
        <f>IF(T43&lt;(M43*1),"OK","EXCESSIVE GROWTH")</f>
        <v>OK</v>
      </c>
      <c r="AY15" s="103"/>
      <c r="AZ15" s="103"/>
      <c r="BA15" s="290"/>
    </row>
    <row r="16" spans="1:53" customFormat="1" x14ac:dyDescent="0.25">
      <c r="A16" s="194"/>
      <c r="B16" t="s">
        <v>456</v>
      </c>
      <c r="D16" s="11"/>
      <c r="E16" s="7" t="e">
        <f>+D16/D$20</f>
        <v>#DIV/0!</v>
      </c>
      <c r="F16" s="11"/>
      <c r="G16" s="7" t="e">
        <f>+F16/F$20</f>
        <v>#DIV/0!</v>
      </c>
      <c r="H16" s="11"/>
      <c r="I16" s="7" t="e">
        <f>+H16/H$20</f>
        <v>#DIV/0!</v>
      </c>
      <c r="J16" s="11"/>
      <c r="K16" s="7">
        <f>+J16/J$20</f>
        <v>0</v>
      </c>
      <c r="L16" s="11"/>
      <c r="M16" s="7">
        <f>+L16/L$20</f>
        <v>0</v>
      </c>
      <c r="N16" s="11"/>
      <c r="O16" s="7">
        <f>+N16/N$20</f>
        <v>0</v>
      </c>
      <c r="P16" s="409">
        <f>IF(H16+J16+L16=0,0,((+(L16+J16+H16))/(COUNTA(H16,J16,L16))))</f>
        <v>0</v>
      </c>
      <c r="Q16" s="7">
        <f>+P16/P$20</f>
        <v>0</v>
      </c>
      <c r="S16" s="11"/>
      <c r="T16" s="7">
        <f>+S16/S$20</f>
        <v>0</v>
      </c>
      <c r="U16" s="11">
        <f>S16</f>
        <v>0</v>
      </c>
      <c r="V16" s="7">
        <f>+U16/U$20</f>
        <v>0</v>
      </c>
      <c r="W16" s="11">
        <f>U16</f>
        <v>0</v>
      </c>
      <c r="X16" s="7">
        <f>+W16/W$20</f>
        <v>0</v>
      </c>
      <c r="Y16" s="11">
        <f>W16</f>
        <v>0</v>
      </c>
      <c r="Z16" s="7">
        <f>+Y16/Y$20</f>
        <v>0</v>
      </c>
      <c r="AA16" s="11">
        <f>Y16</f>
        <v>0</v>
      </c>
      <c r="AB16" s="7">
        <f>+AA16/AA$20</f>
        <v>0</v>
      </c>
      <c r="AC16" s="8">
        <f>AA16</f>
        <v>0</v>
      </c>
      <c r="AD16" s="7">
        <f>+AC16/AC$20</f>
        <v>0</v>
      </c>
      <c r="AE16" s="8">
        <f>AC16</f>
        <v>0</v>
      </c>
      <c r="AF16" s="7">
        <f>+AE16/AE$20</f>
        <v>0</v>
      </c>
      <c r="AG16" s="8">
        <f>AE16</f>
        <v>0</v>
      </c>
      <c r="AH16" s="7">
        <f>+AG16/AG$20</f>
        <v>0</v>
      </c>
      <c r="AI16" s="8">
        <f>AG16</f>
        <v>0</v>
      </c>
      <c r="AJ16" s="7">
        <f>+AI16/AI$20</f>
        <v>0</v>
      </c>
      <c r="AK16" s="8">
        <f>AI16</f>
        <v>0</v>
      </c>
      <c r="AL16" s="7">
        <f>+AK16/AK$20</f>
        <v>0</v>
      </c>
      <c r="AM16" s="8">
        <f>AK16</f>
        <v>0</v>
      </c>
      <c r="AN16" s="7">
        <f>+AM16/AM$20</f>
        <v>0</v>
      </c>
      <c r="AO16" s="7"/>
      <c r="AP16" s="194">
        <f>+(S16+U16+W16+Y16+AA16)/5</f>
        <v>0</v>
      </c>
      <c r="AQ16" s="7">
        <f>+AP16/AP$20</f>
        <v>0</v>
      </c>
      <c r="AS16" s="288" t="s">
        <v>440</v>
      </c>
      <c r="AT16" s="179"/>
      <c r="AU16" s="179"/>
      <c r="AV16" s="179"/>
      <c r="AW16" s="179"/>
      <c r="AX16" s="179" t="str">
        <f>IF(Pricing!N59&lt;0.125,"BELOW MINIMUM THRESHOLD","MEETSMINIMUMTHRESHOLD")</f>
        <v>MEETSMINIMUMTHRESHOLD</v>
      </c>
      <c r="AY16" s="103"/>
      <c r="AZ16" s="103"/>
      <c r="BA16" s="290"/>
    </row>
    <row r="17" spans="1:53" customFormat="1" outlineLevel="1" x14ac:dyDescent="0.25">
      <c r="A17" s="194"/>
      <c r="B17" t="s">
        <v>344</v>
      </c>
      <c r="D17" s="11"/>
      <c r="E17" s="7" t="e">
        <f>+D17/D$20</f>
        <v>#DIV/0!</v>
      </c>
      <c r="F17" s="11"/>
      <c r="G17" s="7" t="e">
        <f>+F17/F$20</f>
        <v>#DIV/0!</v>
      </c>
      <c r="H17" s="11"/>
      <c r="I17" s="7" t="e">
        <f>+H17/H$20</f>
        <v>#DIV/0!</v>
      </c>
      <c r="J17" s="11">
        <v>34262.94</v>
      </c>
      <c r="K17" s="7">
        <f>+J17/J$20</f>
        <v>8.7783510966276262E-3</v>
      </c>
      <c r="L17" s="11">
        <v>35563.96</v>
      </c>
      <c r="M17" s="7">
        <f>+L17/L$20</f>
        <v>8.7924179387165111E-3</v>
      </c>
      <c r="N17" s="11">
        <v>35235.31</v>
      </c>
      <c r="O17" s="7">
        <f>+N17/N$20</f>
        <v>8.67400221412944E-3</v>
      </c>
      <c r="P17" s="409">
        <f>IF(H17+J17+L17=0,0,((+(L17+J17+H17))/(COUNTA(H17,J17,L17))))</f>
        <v>34913.449999999997</v>
      </c>
      <c r="Q17" s="7">
        <f>+P17/P$20</f>
        <v>8.7855099359369099E-3</v>
      </c>
      <c r="S17" s="11">
        <f>$L$13*S8*'Key Data'!$C$55*365</f>
        <v>36312.748936869117</v>
      </c>
      <c r="T17" s="7">
        <f>+S17/S$20</f>
        <v>8.6376159873366026E-3</v>
      </c>
      <c r="U17" s="11">
        <f>$L$13*U8*'Key Data'!$C$55*365</f>
        <v>36675.876426237803</v>
      </c>
      <c r="V17" s="7">
        <f>+U17/U$20</f>
        <v>8.5553939201615942E-3</v>
      </c>
      <c r="W17" s="11">
        <f>$L$13*W8*'Key Data'!$C$55*365</f>
        <v>37042.635190500179</v>
      </c>
      <c r="X17" s="7">
        <f>+W17/W$20</f>
        <v>8.4739234152996935E-3</v>
      </c>
      <c r="Y17" s="11">
        <f>$L$13*Y8*'Key Data'!$C$55*365</f>
        <v>37413.061542405187</v>
      </c>
      <c r="Z17" s="7">
        <f>+Y17/Y$20</f>
        <v>8.3931981931082335E-3</v>
      </c>
      <c r="AA17" s="11">
        <f>$L$13*AA8*'Key Data'!$C$55*365</f>
        <v>37413.061542405187</v>
      </c>
      <c r="AB17" s="7">
        <f>+AA17/AA$20</f>
        <v>8.3132120151947E-3</v>
      </c>
      <c r="AC17" s="8">
        <f>+AA17*1.03</f>
        <v>38535.453388677342</v>
      </c>
      <c r="AD17" s="7">
        <f>+AC17/AC$20</f>
        <v>8.8172990235583174E-3</v>
      </c>
      <c r="AE17" s="8">
        <f>+AC17*1.03</f>
        <v>39691.516990337666</v>
      </c>
      <c r="AF17" s="7">
        <f>+AE17/AE$20</f>
        <v>8.6327662180355168E-3</v>
      </c>
      <c r="AG17" s="8">
        <f>+AE17*1.03</f>
        <v>40882.2625000478</v>
      </c>
      <c r="AH17" s="7">
        <f>+AG17/AG$20</f>
        <v>8.796931856662419E-3</v>
      </c>
      <c r="AI17" s="8">
        <f>+AG17*1.03</f>
        <v>42108.730375049236</v>
      </c>
      <c r="AJ17" s="7">
        <f>+AI17/AI$20</f>
        <v>8.964088077811426E-3</v>
      </c>
      <c r="AK17" s="8">
        <f>+AI17*1.03</f>
        <v>43371.992286300716</v>
      </c>
      <c r="AL17" s="7">
        <f>+AK17/AK$20</f>
        <v>9.134284329805821E-3</v>
      </c>
      <c r="AM17" s="8">
        <f>+AK17*1.03</f>
        <v>44673.152054889739</v>
      </c>
      <c r="AN17" s="7">
        <f>+AM17/AM$20</f>
        <v>9.3075706857785601E-3</v>
      </c>
      <c r="AO17" s="7"/>
      <c r="AP17" s="194">
        <f>+(S17+U17+W17+Y17+AA17)/5</f>
        <v>36971.476727683497</v>
      </c>
      <c r="AQ17" s="7">
        <f>+AP17/AP$20</f>
        <v>8.471829662463454E-3</v>
      </c>
      <c r="AS17" s="288" t="s">
        <v>674</v>
      </c>
      <c r="AT17" s="179"/>
      <c r="AU17" s="179"/>
      <c r="AV17" s="179"/>
      <c r="AW17" s="179"/>
      <c r="AX17" s="408" t="str">
        <f>IF(AND(S20-L20&lt;-50000,S43&gt;L43*0.95),"House Profit Excessive based on Revenue","OK")</f>
        <v>OK</v>
      </c>
      <c r="AY17" s="103"/>
      <c r="AZ17" s="103"/>
      <c r="BA17" s="290"/>
    </row>
    <row r="18" spans="1:53" customFormat="1" x14ac:dyDescent="0.25">
      <c r="A18" s="194"/>
      <c r="B18" t="s">
        <v>2</v>
      </c>
      <c r="D18" s="11"/>
      <c r="E18" s="7" t="e">
        <f>+D18/D$20</f>
        <v>#DIV/0!</v>
      </c>
      <c r="F18" s="11"/>
      <c r="G18" s="7" t="e">
        <f>+F18/F$20</f>
        <v>#DIV/0!</v>
      </c>
      <c r="H18" s="11"/>
      <c r="I18" s="7" t="e">
        <f>+H18/H$20</f>
        <v>#DIV/0!</v>
      </c>
      <c r="J18" s="11">
        <f>11971.75+96891.07+7249.73</f>
        <v>116112.55</v>
      </c>
      <c r="K18" s="7">
        <f>+J18/J$20</f>
        <v>2.9748665194076457E-2</v>
      </c>
      <c r="L18" s="11">
        <f>10807+104307.24+9670.16</f>
        <v>124784.40000000001</v>
      </c>
      <c r="M18" s="7">
        <f>+L18/L$20</f>
        <v>3.0850237066737698E-2</v>
      </c>
      <c r="N18" s="11">
        <f>11306+106659.14+10055.05</f>
        <v>128020.19</v>
      </c>
      <c r="O18" s="7">
        <f>+N18/N$20</f>
        <v>3.1515187790692678E-2</v>
      </c>
      <c r="P18" s="409">
        <f>IF(H18+J18+L18=0,0,((+(L18+J18+H18))/(COUNTA(H18,J18,L18))))</f>
        <v>120448.47500000001</v>
      </c>
      <c r="Q18" s="7">
        <f>+P18/P$20</f>
        <v>3.0309272612158027E-2</v>
      </c>
      <c r="S18" s="11">
        <f>$L$14*S8*'Key Data'!$C$55*365</f>
        <v>127411.69960931939</v>
      </c>
      <c r="T18" s="7">
        <f>+S18/S$20</f>
        <v>3.0307078525850482E-2</v>
      </c>
      <c r="U18" s="11">
        <f>$L$14*U8*'Key Data'!$C$55*365</f>
        <v>128685.81660541259</v>
      </c>
      <c r="V18" s="7">
        <f>+U18/U$20</f>
        <v>3.0018583338048199E-2</v>
      </c>
      <c r="W18" s="11">
        <f>$L$14*W8*'Key Data'!$C$55*365</f>
        <v>129972.6747714667</v>
      </c>
      <c r="X18" s="7">
        <f>+W18/W$20</f>
        <v>2.973272518088883E-2</v>
      </c>
      <c r="Y18" s="11">
        <f>$L$14*Y8*'Key Data'!$C$55*365</f>
        <v>131272.40151918141</v>
      </c>
      <c r="Z18" s="7">
        <f>+Y18/Y$20</f>
        <v>2.9449482020790018E-2</v>
      </c>
      <c r="AA18" s="11">
        <f>$L$14*AA8*'Key Data'!$C$55*365</f>
        <v>131272.40151918141</v>
      </c>
      <c r="AB18" s="7">
        <f>+AA18/AA$20</f>
        <v>2.9168831968905087E-2</v>
      </c>
      <c r="AC18" s="8">
        <f>+AA18*1.03</f>
        <v>135210.57356475687</v>
      </c>
      <c r="AD18" s="7">
        <f>+AC18/AC$20</f>
        <v>3.093753812216949E-2</v>
      </c>
      <c r="AE18" s="8">
        <f>+AC18*1.03</f>
        <v>139266.89077169957</v>
      </c>
      <c r="AF18" s="7">
        <f>+AE18/AE$20</f>
        <v>3.0290061985724634E-2</v>
      </c>
      <c r="AG18" s="8">
        <f>+AE18*1.03</f>
        <v>143444.89749485056</v>
      </c>
      <c r="AH18" s="7">
        <f>+AG18/AG$20</f>
        <v>3.0866075194508881E-2</v>
      </c>
      <c r="AI18" s="8">
        <f>+AG18*1.03</f>
        <v>147748.24441969607</v>
      </c>
      <c r="AJ18" s="7">
        <f>+AI18/AI$20</f>
        <v>3.1452581555508785E-2</v>
      </c>
      <c r="AK18" s="8">
        <f>+AI18*1.03</f>
        <v>152180.69175228695</v>
      </c>
      <c r="AL18" s="7">
        <f>+AK18/AK$20</f>
        <v>3.2049754569632334E-2</v>
      </c>
      <c r="AM18" s="8">
        <f>+AK18*1.03</f>
        <v>156746.11250485556</v>
      </c>
      <c r="AN18" s="7">
        <f>+AM18/AM$20</f>
        <v>3.2657769930077137E-2</v>
      </c>
      <c r="AO18" s="7"/>
      <c r="AP18" s="194">
        <f>+(S18+U18+W18+Y18+AA18)/5</f>
        <v>129722.99880491229</v>
      </c>
      <c r="AQ18" s="7">
        <f>+AP18/AP$20</f>
        <v>2.9725378763577077E-2</v>
      </c>
      <c r="AS18" s="288"/>
      <c r="AT18" s="179"/>
      <c r="AU18" s="179"/>
      <c r="AV18" s="179"/>
      <c r="AW18" s="179"/>
      <c r="AX18" s="103"/>
      <c r="AY18" s="103"/>
      <c r="AZ18" s="103"/>
      <c r="BA18" s="290"/>
    </row>
    <row r="19" spans="1:53" customFormat="1" ht="15.75" thickBot="1" x14ac:dyDescent="0.3">
      <c r="A19" s="194"/>
      <c r="D19" s="409"/>
      <c r="E19" s="7"/>
      <c r="F19" s="409"/>
      <c r="G19" s="7"/>
      <c r="H19" s="260"/>
      <c r="I19" s="7"/>
      <c r="J19" s="340"/>
      <c r="K19" s="7"/>
      <c r="L19" s="340"/>
      <c r="M19" s="7"/>
      <c r="N19" s="409"/>
      <c r="O19" s="7"/>
      <c r="P19" s="254"/>
      <c r="Q19" s="7"/>
      <c r="S19" s="260"/>
      <c r="T19" s="7"/>
      <c r="U19" s="260"/>
      <c r="V19" s="7"/>
      <c r="W19" s="260"/>
      <c r="X19" s="7"/>
      <c r="Y19" s="260"/>
      <c r="Z19" s="7"/>
      <c r="AA19" s="260"/>
      <c r="AB19" s="7"/>
      <c r="AC19" s="5"/>
      <c r="AD19" s="7"/>
      <c r="AE19" s="5"/>
      <c r="AF19" s="7"/>
      <c r="AG19" s="5"/>
      <c r="AH19" s="7"/>
      <c r="AI19" s="5"/>
      <c r="AJ19" s="7"/>
      <c r="AK19" s="5"/>
      <c r="AL19" s="7"/>
      <c r="AM19" s="5"/>
      <c r="AN19" s="7"/>
      <c r="AO19" s="7"/>
      <c r="AP19" s="193"/>
      <c r="AQ19" s="7"/>
      <c r="AS19" s="296"/>
      <c r="AT19" s="311"/>
      <c r="AU19" s="311"/>
      <c r="AV19" s="311"/>
      <c r="AW19" s="311"/>
      <c r="AX19" s="278"/>
      <c r="AY19" s="278"/>
      <c r="AZ19" s="278"/>
      <c r="BA19" s="298"/>
    </row>
    <row r="20" spans="1:53" customFormat="1" x14ac:dyDescent="0.25">
      <c r="A20" s="194" t="s">
        <v>4</v>
      </c>
      <c r="D20" s="166">
        <f>SUM(D15:D18)</f>
        <v>0</v>
      </c>
      <c r="E20" s="15" t="e">
        <f>SUM(E15:E19)</f>
        <v>#DIV/0!</v>
      </c>
      <c r="F20" s="166">
        <f>SUM(F15:F18)</f>
        <v>0</v>
      </c>
      <c r="G20" s="15" t="e">
        <f>SUM(G15:G19)</f>
        <v>#DIV/0!</v>
      </c>
      <c r="H20" s="166">
        <f>SUM(H15:H18)</f>
        <v>0</v>
      </c>
      <c r="I20" s="15" t="e">
        <f>SUM(I15:I19)</f>
        <v>#DIV/0!</v>
      </c>
      <c r="J20" s="166">
        <f>SUM(J15:J18)</f>
        <v>3903117.98</v>
      </c>
      <c r="K20" s="15">
        <f>SUM(K15:K19)</f>
        <v>1</v>
      </c>
      <c r="L20" s="166">
        <f>SUM(L15:L18)</f>
        <v>4044844.1199999996</v>
      </c>
      <c r="M20" s="15">
        <f>SUM(M15:M19)</f>
        <v>1</v>
      </c>
      <c r="N20" s="166">
        <f>SUM(N15:N18)</f>
        <v>4062174.43</v>
      </c>
      <c r="O20" s="15">
        <f>SUM(O15:O19)</f>
        <v>1</v>
      </c>
      <c r="P20" s="166">
        <f>SUM(P15:P18)</f>
        <v>3973981.0500000003</v>
      </c>
      <c r="Q20" s="15">
        <f>SUM(Q15:Q19)</f>
        <v>1</v>
      </c>
      <c r="S20" s="166">
        <f>SUM(S15:S18)</f>
        <v>4204024.4657908324</v>
      </c>
      <c r="T20" s="15">
        <f>SUM(T15:T19)</f>
        <v>0.99999999999999989</v>
      </c>
      <c r="U20" s="166">
        <f>SUM(U15:U18)</f>
        <v>4286871.7406229107</v>
      </c>
      <c r="V20" s="15">
        <f>SUM(V15:V19)</f>
        <v>1.0000000000000002</v>
      </c>
      <c r="W20" s="166">
        <f>SUM(W15:W18)</f>
        <v>4371367.7095098114</v>
      </c>
      <c r="X20" s="15">
        <f>SUM(X15:X19)</f>
        <v>1.0000000000000002</v>
      </c>
      <c r="Y20" s="166">
        <f>SUM(Y15:Y18)</f>
        <v>4457545.3458403433</v>
      </c>
      <c r="Z20" s="15">
        <f>SUM(Z15:Z19)</f>
        <v>1.0000000000000002</v>
      </c>
      <c r="AA20" s="166">
        <f>SUM(AA15:AA18)</f>
        <v>4500433.9446681309</v>
      </c>
      <c r="AB20" s="15">
        <f>SUM(AB15:AB19)</f>
        <v>1.0000000000000002</v>
      </c>
      <c r="AC20" s="14">
        <f>SUM(AC15:AC18)</f>
        <v>4370437.3964994485</v>
      </c>
      <c r="AD20" s="15">
        <f>SUM(AD15:AD19)</f>
        <v>1.0000000000000002</v>
      </c>
      <c r="AE20" s="14">
        <f>SUM(AE15:AE18)</f>
        <v>4597775.0338488743</v>
      </c>
      <c r="AF20" s="15">
        <f>SUM(AF15:AF19)</f>
        <v>1.0000000000000002</v>
      </c>
      <c r="AG20" s="14">
        <f>SUM(AG15:AG18)</f>
        <v>4647331.9523426034</v>
      </c>
      <c r="AH20" s="15">
        <f>SUM(AH15:AH19)</f>
        <v>1</v>
      </c>
      <c r="AI20" s="14">
        <f>SUM(AI15:AI18)</f>
        <v>4697491.8150659278</v>
      </c>
      <c r="AJ20" s="15">
        <f>SUM(AJ15:AJ19)</f>
        <v>1</v>
      </c>
      <c r="AK20" s="14">
        <f>SUM(AK15:AK18)</f>
        <v>4748263.8727124808</v>
      </c>
      <c r="AL20" s="15">
        <f>SUM(AL15:AL19)</f>
        <v>1.0000000000000002</v>
      </c>
      <c r="AM20" s="14">
        <f>SUM(AM15:AM18)</f>
        <v>4799657.5651203785</v>
      </c>
      <c r="AN20" s="15">
        <f>SUM(AN15:AN19)</f>
        <v>1</v>
      </c>
      <c r="AO20" s="15"/>
      <c r="AP20" s="166">
        <f>SUM(AP15:AP18)</f>
        <v>4364048.6412864048</v>
      </c>
      <c r="AQ20" s="15">
        <f>SUM(AQ15:AQ19)</f>
        <v>1.0000000000000002</v>
      </c>
    </row>
    <row r="21" spans="1:53" customFormat="1" ht="7.9" customHeight="1" x14ac:dyDescent="0.25">
      <c r="A21" s="194"/>
      <c r="D21" s="409"/>
      <c r="E21" s="7"/>
      <c r="F21" s="409"/>
      <c r="G21" s="7"/>
      <c r="H21" s="260"/>
      <c r="I21" s="7"/>
      <c r="J21" s="340"/>
      <c r="K21" s="7"/>
      <c r="L21" s="340"/>
      <c r="M21" s="7"/>
      <c r="N21" s="409"/>
      <c r="O21" s="7"/>
      <c r="P21" s="254"/>
      <c r="Q21" s="7"/>
      <c r="S21" s="260"/>
      <c r="T21" s="7"/>
      <c r="U21" s="260"/>
      <c r="V21" s="7"/>
      <c r="W21" s="260"/>
      <c r="X21" s="7"/>
      <c r="Y21" s="260"/>
      <c r="Z21" s="7"/>
      <c r="AA21" s="260"/>
      <c r="AB21" s="7"/>
      <c r="AC21" s="5"/>
      <c r="AD21" s="7"/>
      <c r="AE21" s="5"/>
      <c r="AF21" s="7"/>
      <c r="AG21" s="5"/>
      <c r="AH21" s="7"/>
      <c r="AI21" s="5"/>
      <c r="AJ21" s="7"/>
      <c r="AK21" s="5"/>
      <c r="AL21" s="7"/>
      <c r="AM21" s="5"/>
      <c r="AN21" s="7"/>
      <c r="AO21" s="7"/>
      <c r="AP21" s="193"/>
      <c r="AQ21" s="7"/>
    </row>
    <row r="22" spans="1:53" customFormat="1" x14ac:dyDescent="0.25">
      <c r="A22" s="194" t="s">
        <v>8</v>
      </c>
      <c r="D22" s="409"/>
      <c r="E22" s="7"/>
      <c r="F22" s="409"/>
      <c r="G22" s="7"/>
      <c r="H22" s="260"/>
      <c r="I22" s="7"/>
      <c r="J22" s="340"/>
      <c r="K22" s="7"/>
      <c r="L22" s="340"/>
      <c r="M22" s="7"/>
      <c r="N22" s="409"/>
      <c r="O22" s="7"/>
      <c r="P22" s="254"/>
      <c r="Q22" s="7"/>
      <c r="S22" s="26">
        <f>S23/(S8*'Key Data'!C55*365)</f>
        <v>24.974168999999996</v>
      </c>
      <c r="T22" s="7"/>
      <c r="U22" s="260"/>
      <c r="V22" s="7"/>
      <c r="W22" s="260"/>
      <c r="X22" s="7"/>
      <c r="Y22" s="260"/>
      <c r="Z22" s="7"/>
      <c r="AA22" s="260"/>
      <c r="AB22" s="7"/>
      <c r="AC22" s="5"/>
      <c r="AD22" s="7"/>
      <c r="AE22" s="5"/>
      <c r="AF22" s="7"/>
      <c r="AG22" s="5"/>
      <c r="AH22" s="7"/>
      <c r="AI22" s="5"/>
      <c r="AJ22" s="7"/>
      <c r="AK22" s="5"/>
      <c r="AL22" s="7"/>
      <c r="AM22" s="5"/>
      <c r="AN22" s="7"/>
      <c r="AO22" s="7"/>
      <c r="AP22" s="193"/>
      <c r="AQ22" s="7"/>
    </row>
    <row r="23" spans="1:53" customFormat="1" x14ac:dyDescent="0.25">
      <c r="A23" s="194"/>
      <c r="B23" t="s">
        <v>5</v>
      </c>
      <c r="D23" s="11"/>
      <c r="E23" s="7" t="e">
        <f>+D23/D15</f>
        <v>#DIV/0!</v>
      </c>
      <c r="F23" s="11"/>
      <c r="G23" s="7" t="e">
        <f>+F23/F15</f>
        <v>#DIV/0!</v>
      </c>
      <c r="H23" s="11"/>
      <c r="I23" s="7" t="e">
        <f>+H23/H15</f>
        <v>#DIV/0!</v>
      </c>
      <c r="J23" s="11">
        <v>729678.28</v>
      </c>
      <c r="K23" s="7">
        <f>+J23/J15</f>
        <v>0.19443867570034096</v>
      </c>
      <c r="L23" s="11">
        <v>730906.05</v>
      </c>
      <c r="M23" s="7">
        <f>+L23/L15</f>
        <v>0.18815982695267508</v>
      </c>
      <c r="N23" s="11">
        <v>731319.59</v>
      </c>
      <c r="O23" s="7">
        <f>+N23/N15</f>
        <v>0.18756983746774133</v>
      </c>
      <c r="P23" s="409">
        <f>IF(H23+J23+L23=0,0,((+(L23+J23+H23))/(COUNTA(H23,J23,L23))))</f>
        <v>730292.16500000004</v>
      </c>
      <c r="Q23" s="7">
        <f>+P23/P15</f>
        <v>0.19124509177123028</v>
      </c>
      <c r="S23" s="194">
        <f>S15*T23</f>
        <v>888866.00379382155</v>
      </c>
      <c r="T23" s="1029">
        <v>0.22</v>
      </c>
      <c r="U23" s="194">
        <f>U15*V23</f>
        <v>906732.21047007735</v>
      </c>
      <c r="V23" s="41">
        <f>+T23</f>
        <v>0.22</v>
      </c>
      <c r="W23" s="194">
        <f>W15*X23</f>
        <v>924957.52790052595</v>
      </c>
      <c r="X23" s="41">
        <f>+V23</f>
        <v>0.22</v>
      </c>
      <c r="Y23" s="194">
        <f>Y15*Z23</f>
        <v>943549.17421132664</v>
      </c>
      <c r="Z23" s="41">
        <f>+X23</f>
        <v>0.22</v>
      </c>
      <c r="AA23" s="194">
        <f>AA15*AB23</f>
        <v>952984.66595343989</v>
      </c>
      <c r="AB23" s="41">
        <f>+Z23</f>
        <v>0.22</v>
      </c>
      <c r="AC23" s="40">
        <f>AC15*AD23</f>
        <v>923272.10130012326</v>
      </c>
      <c r="AD23" s="41">
        <f>+AB23</f>
        <v>0.22</v>
      </c>
      <c r="AE23" s="40">
        <f>AE15*AF23</f>
        <v>972139.65773910424</v>
      </c>
      <c r="AF23" s="41">
        <f>+AD23</f>
        <v>0.22</v>
      </c>
      <c r="AG23" s="40">
        <f>AG15*AH23</f>
        <v>981861.05431649508</v>
      </c>
      <c r="AH23" s="41">
        <f>+AF23</f>
        <v>0.22</v>
      </c>
      <c r="AI23" s="40">
        <f>AI15*AJ23</f>
        <v>991679.66485966009</v>
      </c>
      <c r="AJ23" s="41">
        <f>+AH23</f>
        <v>0.22</v>
      </c>
      <c r="AK23" s="40">
        <f>AK15*AL23</f>
        <v>1001596.4615082566</v>
      </c>
      <c r="AL23" s="41">
        <f>+AJ23</f>
        <v>0.22</v>
      </c>
      <c r="AM23" s="40">
        <f>AM15*AN23</f>
        <v>1011612.4261233392</v>
      </c>
      <c r="AN23" s="41">
        <f>+AL23</f>
        <v>0.22</v>
      </c>
      <c r="AO23" s="41"/>
      <c r="AP23" s="194">
        <f>+(S23+U23+W23+Y23+AA23)/5</f>
        <v>923417.91646583821</v>
      </c>
      <c r="AQ23" s="41">
        <f>+AP23/AP15</f>
        <v>0.22000000000000003</v>
      </c>
    </row>
    <row r="24" spans="1:53" customFormat="1" ht="15" customHeight="1" x14ac:dyDescent="0.25">
      <c r="A24" s="194"/>
      <c r="B24" t="s">
        <v>6</v>
      </c>
      <c r="D24" s="11"/>
      <c r="E24" s="7" t="e">
        <f>+D24/D16</f>
        <v>#DIV/0!</v>
      </c>
      <c r="F24" s="11"/>
      <c r="G24" s="7" t="e">
        <f>+F24/F16</f>
        <v>#DIV/0!</v>
      </c>
      <c r="H24" s="11"/>
      <c r="I24" s="7" t="e">
        <f>+H24/H16</f>
        <v>#DIV/0!</v>
      </c>
      <c r="J24" s="11"/>
      <c r="K24" s="7" t="e">
        <f>+J24/J16</f>
        <v>#DIV/0!</v>
      </c>
      <c r="L24" s="11"/>
      <c r="M24" s="7" t="e">
        <f>+L24/L16</f>
        <v>#DIV/0!</v>
      </c>
      <c r="N24" s="11"/>
      <c r="O24" s="7" t="e">
        <f>+N24/N16</f>
        <v>#DIV/0!</v>
      </c>
      <c r="P24" s="409">
        <f>IF(H24+J24+L24=0,0,((+(L24+J24+H24))/(COUNTA(H24,J24,L24))))</f>
        <v>0</v>
      </c>
      <c r="Q24" s="7" t="e">
        <f>+P24/P16</f>
        <v>#DIV/0!</v>
      </c>
      <c r="S24" s="194">
        <f>S16*T24</f>
        <v>0</v>
      </c>
      <c r="T24" s="41">
        <v>0</v>
      </c>
      <c r="U24" s="194">
        <f>U16*V24</f>
        <v>0</v>
      </c>
      <c r="V24" s="41">
        <f>+T24</f>
        <v>0</v>
      </c>
      <c r="W24" s="194">
        <f>W16*X24</f>
        <v>0</v>
      </c>
      <c r="X24" s="41">
        <f>+V24</f>
        <v>0</v>
      </c>
      <c r="Y24" s="194">
        <f>Y16*Z24</f>
        <v>0</v>
      </c>
      <c r="Z24" s="41">
        <f>+X24</f>
        <v>0</v>
      </c>
      <c r="AA24" s="194">
        <f>AA16*AB24</f>
        <v>0</v>
      </c>
      <c r="AB24" s="41">
        <f>+Z24</f>
        <v>0</v>
      </c>
      <c r="AC24" s="40">
        <f>AC16*AD24</f>
        <v>0</v>
      </c>
      <c r="AD24" s="41">
        <f>+AB24</f>
        <v>0</v>
      </c>
      <c r="AE24" s="40">
        <f>AE16*AF24</f>
        <v>0</v>
      </c>
      <c r="AF24" s="41">
        <f>+AD24</f>
        <v>0</v>
      </c>
      <c r="AG24" s="40">
        <f>AG16*AH24</f>
        <v>0</v>
      </c>
      <c r="AH24" s="41">
        <f>+AF24</f>
        <v>0</v>
      </c>
      <c r="AI24" s="40">
        <f>AI16*AJ24</f>
        <v>0</v>
      </c>
      <c r="AJ24" s="41">
        <f>+AH24</f>
        <v>0</v>
      </c>
      <c r="AK24" s="40">
        <f>AK16*AL24</f>
        <v>0</v>
      </c>
      <c r="AL24" s="41">
        <f>+AJ24</f>
        <v>0</v>
      </c>
      <c r="AM24" s="40">
        <f>AM16*AN24</f>
        <v>0</v>
      </c>
      <c r="AN24" s="41">
        <f>+AL24</f>
        <v>0</v>
      </c>
      <c r="AO24" s="41"/>
      <c r="AP24" s="194">
        <f>+(S24+U24+W24+Y24+AA24)/5</f>
        <v>0</v>
      </c>
      <c r="AQ24" s="41" t="e">
        <f>+AP24/AP16</f>
        <v>#DIV/0!</v>
      </c>
    </row>
    <row r="25" spans="1:53" customFormat="1" ht="15" customHeight="1" x14ac:dyDescent="0.25">
      <c r="A25" s="194"/>
      <c r="B25" t="s">
        <v>345</v>
      </c>
      <c r="D25" s="11"/>
      <c r="E25" s="7" t="e">
        <f>D25/D17</f>
        <v>#DIV/0!</v>
      </c>
      <c r="F25" s="11"/>
      <c r="G25" s="7" t="e">
        <f>F25/F17</f>
        <v>#DIV/0!</v>
      </c>
      <c r="H25" s="11"/>
      <c r="I25" s="7" t="e">
        <f>H25/H17</f>
        <v>#DIV/0!</v>
      </c>
      <c r="J25" s="11">
        <v>1040.19</v>
      </c>
      <c r="K25" s="7">
        <f>J25/J17</f>
        <v>3.0359040992979588E-2</v>
      </c>
      <c r="L25" s="11">
        <v>2431.61</v>
      </c>
      <c r="M25" s="7">
        <f>L25/L17</f>
        <v>6.8372869612945239E-2</v>
      </c>
      <c r="N25" s="11">
        <v>3016.25</v>
      </c>
      <c r="O25" s="7">
        <f>N25/N17</f>
        <v>8.5603049895119424E-2</v>
      </c>
      <c r="P25" s="409">
        <f>IF(H25+J25+L25=0,0,((+(L25+J25+H25))/(COUNTA(H25,J25,L25))))</f>
        <v>1735.9</v>
      </c>
      <c r="Q25" s="7">
        <f>P25/P17</f>
        <v>4.9720093545610654E-2</v>
      </c>
      <c r="S25" s="194">
        <f>S17*T25</f>
        <v>1815.637446843456</v>
      </c>
      <c r="T25" s="41">
        <v>0.05</v>
      </c>
      <c r="U25" s="194">
        <f>U17*V25</f>
        <v>1833.7938213118903</v>
      </c>
      <c r="V25" s="41">
        <f>+T25</f>
        <v>0.05</v>
      </c>
      <c r="W25" s="194">
        <f>W17*X25</f>
        <v>1852.1317595250091</v>
      </c>
      <c r="X25" s="41">
        <f>+V25</f>
        <v>0.05</v>
      </c>
      <c r="Y25" s="194">
        <f>Y17*Z25</f>
        <v>1870.6530771202595</v>
      </c>
      <c r="Z25" s="41">
        <f>+X25</f>
        <v>0.05</v>
      </c>
      <c r="AA25" s="194">
        <f>AA17*AB25</f>
        <v>1870.6530771202595</v>
      </c>
      <c r="AB25" s="41">
        <f>+Z25</f>
        <v>0.05</v>
      </c>
      <c r="AC25" s="40">
        <f>AC17*AD25</f>
        <v>1926.7726694338671</v>
      </c>
      <c r="AD25" s="41">
        <f>+AB25</f>
        <v>0.05</v>
      </c>
      <c r="AE25" s="40">
        <f>AE17*AF25</f>
        <v>1984.5758495168834</v>
      </c>
      <c r="AF25" s="41">
        <f>+AD25</f>
        <v>0.05</v>
      </c>
      <c r="AG25" s="40">
        <f>AG17*AH25</f>
        <v>2044.11312500239</v>
      </c>
      <c r="AH25" s="41">
        <f>+AF25</f>
        <v>0.05</v>
      </c>
      <c r="AI25" s="40">
        <f>AI17*AJ25</f>
        <v>2105.4365187524618</v>
      </c>
      <c r="AJ25" s="41">
        <f>+AH25</f>
        <v>0.05</v>
      </c>
      <c r="AK25" s="40">
        <f>AK17*AL25</f>
        <v>2168.599614315036</v>
      </c>
      <c r="AL25" s="41">
        <f>+AJ25</f>
        <v>0.05</v>
      </c>
      <c r="AM25" s="40">
        <f>AM17*AN25</f>
        <v>2233.6576027444871</v>
      </c>
      <c r="AN25" s="41">
        <f>+AL25</f>
        <v>0.05</v>
      </c>
      <c r="AO25" s="41"/>
      <c r="AP25" s="194">
        <f>+(S25+U25+W25+Y25+AA25)/5</f>
        <v>1848.5738363841749</v>
      </c>
      <c r="AQ25" s="41">
        <f>+AP25/AP17</f>
        <v>0.05</v>
      </c>
    </row>
    <row r="26" spans="1:53" customFormat="1" ht="15" customHeight="1" x14ac:dyDescent="0.25">
      <c r="A26" s="194"/>
      <c r="B26" t="s">
        <v>7</v>
      </c>
      <c r="D26" s="11"/>
      <c r="E26" s="7" t="e">
        <f>+D26/D18</f>
        <v>#DIV/0!</v>
      </c>
      <c r="F26" s="11"/>
      <c r="G26" s="7" t="e">
        <f>+F26/F18</f>
        <v>#DIV/0!</v>
      </c>
      <c r="H26" s="11"/>
      <c r="I26" s="7" t="e">
        <f>+H26/H18</f>
        <v>#DIV/0!</v>
      </c>
      <c r="J26" s="11">
        <v>24259.69</v>
      </c>
      <c r="K26" s="7">
        <f>+J26/J18</f>
        <v>0.20893254002259012</v>
      </c>
      <c r="L26" s="11">
        <v>17590.759999999998</v>
      </c>
      <c r="M26" s="7">
        <f>+L26/L18</f>
        <v>0.14096922371706719</v>
      </c>
      <c r="N26" s="11">
        <v>17479.41</v>
      </c>
      <c r="O26" s="7">
        <f>+N26/N18</f>
        <v>0.13653635414851359</v>
      </c>
      <c r="P26" s="409">
        <f>IF(H26+J26+L26=0,0,((+(L26+J26+H26))/(COUNTA(H26,J26,L26))))</f>
        <v>20925.224999999999</v>
      </c>
      <c r="Q26" s="7">
        <f>+P26/P18</f>
        <v>0.1737276042722832</v>
      </c>
      <c r="S26" s="194">
        <f>S18*T26</f>
        <v>22934.105929677487</v>
      </c>
      <c r="T26" s="41">
        <v>0.18</v>
      </c>
      <c r="U26" s="194">
        <f>U18*V26</f>
        <v>23163.446988974265</v>
      </c>
      <c r="V26" s="41">
        <f>+T26</f>
        <v>0.18</v>
      </c>
      <c r="W26" s="194">
        <f>W18*X26</f>
        <v>23395.081458864006</v>
      </c>
      <c r="X26" s="41">
        <f>+V26</f>
        <v>0.18</v>
      </c>
      <c r="Y26" s="194">
        <f>Y18*Z26</f>
        <v>23629.032273452653</v>
      </c>
      <c r="Z26" s="41">
        <f>+X26</f>
        <v>0.18</v>
      </c>
      <c r="AA26" s="194">
        <f>AA18*AB26</f>
        <v>23629.032273452653</v>
      </c>
      <c r="AB26" s="41">
        <f>+Z26</f>
        <v>0.18</v>
      </c>
      <c r="AC26" s="40">
        <f>AC18*AD26</f>
        <v>24337.903241656233</v>
      </c>
      <c r="AD26" s="41">
        <f>+AB26</f>
        <v>0.18</v>
      </c>
      <c r="AE26" s="40">
        <f>AE18*AF26</f>
        <v>25068.040338905921</v>
      </c>
      <c r="AF26" s="41">
        <f>+AD26</f>
        <v>0.18</v>
      </c>
      <c r="AG26" s="40">
        <f>AG18*AH26</f>
        <v>25820.0815490731</v>
      </c>
      <c r="AH26" s="41">
        <f>+AF26</f>
        <v>0.18</v>
      </c>
      <c r="AI26" s="40">
        <f>AI18*AJ26</f>
        <v>26594.683995545292</v>
      </c>
      <c r="AJ26" s="41">
        <f>+AH26</f>
        <v>0.18</v>
      </c>
      <c r="AK26" s="40">
        <f>AK18*AL26</f>
        <v>27392.524515411649</v>
      </c>
      <c r="AL26" s="41">
        <f>+AJ26</f>
        <v>0.18</v>
      </c>
      <c r="AM26" s="40">
        <f>AM18*AN26</f>
        <v>28214.300250873999</v>
      </c>
      <c r="AN26" s="41">
        <f>+AL26</f>
        <v>0.18</v>
      </c>
      <c r="AO26" s="41"/>
      <c r="AP26" s="194">
        <f>+(S26+U26+W26+Y26+AA26)/5</f>
        <v>23350.139784884213</v>
      </c>
      <c r="AQ26" s="41">
        <f>+AP26/AP18</f>
        <v>0.18000000000000002</v>
      </c>
    </row>
    <row r="27" spans="1:53" customFormat="1" ht="7.9" customHeight="1" x14ac:dyDescent="0.25">
      <c r="A27" s="194"/>
      <c r="D27" s="409"/>
      <c r="E27" s="7"/>
      <c r="F27" s="409"/>
      <c r="G27" s="7"/>
      <c r="H27" s="260"/>
      <c r="I27" s="7"/>
      <c r="J27" s="409"/>
      <c r="K27" s="7"/>
      <c r="L27" s="409"/>
      <c r="M27" s="7"/>
      <c r="N27" s="409"/>
      <c r="O27" s="7"/>
      <c r="P27" s="254"/>
      <c r="Q27" s="7"/>
      <c r="S27" s="260"/>
      <c r="T27" s="7"/>
      <c r="U27" s="260"/>
      <c r="V27" s="7"/>
      <c r="W27" s="260"/>
      <c r="X27" s="7"/>
      <c r="Y27" s="260"/>
      <c r="Z27" s="7"/>
      <c r="AA27" s="260"/>
      <c r="AB27" s="7"/>
      <c r="AC27" s="5"/>
      <c r="AD27" s="7"/>
      <c r="AE27" s="5"/>
      <c r="AF27" s="7"/>
      <c r="AG27" s="5"/>
      <c r="AH27" s="7"/>
      <c r="AI27" s="5"/>
      <c r="AJ27" s="7"/>
      <c r="AK27" s="5"/>
      <c r="AL27" s="7"/>
      <c r="AM27" s="5"/>
      <c r="AN27" s="7"/>
      <c r="AO27" s="7"/>
      <c r="AP27" s="193"/>
      <c r="AQ27" s="7"/>
    </row>
    <row r="28" spans="1:53" customFormat="1" x14ac:dyDescent="0.25">
      <c r="A28" s="194" t="s">
        <v>9</v>
      </c>
      <c r="D28" s="409">
        <f>SUM(D23:D26)</f>
        <v>0</v>
      </c>
      <c r="E28" s="7" t="e">
        <f>D28/D20</f>
        <v>#DIV/0!</v>
      </c>
      <c r="F28" s="409">
        <f>SUM(F23:F26)</f>
        <v>0</v>
      </c>
      <c r="G28" s="7" t="e">
        <f>F28/F20</f>
        <v>#DIV/0!</v>
      </c>
      <c r="H28" s="260">
        <f>SUM(H23:H26)</f>
        <v>0</v>
      </c>
      <c r="I28" s="7" t="e">
        <f>H28/H20</f>
        <v>#DIV/0!</v>
      </c>
      <c r="J28" s="409">
        <f>SUM(J23:J26)</f>
        <v>754978.15999999992</v>
      </c>
      <c r="K28" s="7">
        <f>J28/J20</f>
        <v>0.19342950017616425</v>
      </c>
      <c r="L28" s="409">
        <f>SUM(L23:L26)</f>
        <v>750928.42</v>
      </c>
      <c r="M28" s="7">
        <f>L28/L20</f>
        <v>0.18565076866299612</v>
      </c>
      <c r="N28" s="409">
        <f>SUM(N23:N26)</f>
        <v>751815.25</v>
      </c>
      <c r="O28" s="7">
        <f>N28/N20</f>
        <v>0.18507704751615012</v>
      </c>
      <c r="P28" s="254">
        <f>SUM(P23:P26)</f>
        <v>752953.29</v>
      </c>
      <c r="Q28" s="7">
        <f>P28/P20</f>
        <v>0.18947078018904998</v>
      </c>
      <c r="S28" s="260">
        <f>SUM(S23:S26)</f>
        <v>913615.74717034248</v>
      </c>
      <c r="T28" s="7">
        <f>S28/S20</f>
        <v>0.21731932214111874</v>
      </c>
      <c r="U28" s="260">
        <f>SUM(U23:U26)</f>
        <v>931729.45128036349</v>
      </c>
      <c r="V28" s="7">
        <f>U28/U20</f>
        <v>0.21734483970005061</v>
      </c>
      <c r="W28" s="260">
        <f>SUM(W23:W26)</f>
        <v>950204.74111891503</v>
      </c>
      <c r="X28" s="7">
        <f>W28/W20</f>
        <v>0.21737012401216355</v>
      </c>
      <c r="Y28" s="260">
        <f>SUM(Y23:Y26)</f>
        <v>969048.85956189956</v>
      </c>
      <c r="Z28" s="7">
        <f>Y28/Y20</f>
        <v>0.21739517702634004</v>
      </c>
      <c r="AA28" s="260">
        <f>SUM(AA23:AA26)</f>
        <v>978484.35130401282</v>
      </c>
      <c r="AB28" s="7">
        <f>AA28/AA20</f>
        <v>0.21742000067866074</v>
      </c>
      <c r="AC28" s="5">
        <f>SUM(AC23:AC26)</f>
        <v>949536.77721121337</v>
      </c>
      <c r="AD28" s="7">
        <f>AC28/AC20</f>
        <v>0.21726355764110833</v>
      </c>
      <c r="AE28" s="5">
        <f>SUM(AE23:AE26)</f>
        <v>999192.27392752701</v>
      </c>
      <c r="AF28" s="7">
        <f>AE28/AE20</f>
        <v>0.21732082726350499</v>
      </c>
      <c r="AG28" s="5">
        <f>SUM(AG23:AG26)</f>
        <v>1009725.2489905705</v>
      </c>
      <c r="AH28" s="7">
        <f>AG28/AG20</f>
        <v>0.21726987857658703</v>
      </c>
      <c r="AI28" s="5">
        <f>SUM(AI23:AI26)</f>
        <v>1020379.7853739578</v>
      </c>
      <c r="AJ28" s="7">
        <f>AI28/AI20</f>
        <v>0.21721800176455169</v>
      </c>
      <c r="AK28" s="5">
        <f>SUM(AK23:AK26)</f>
        <v>1031157.5856379834</v>
      </c>
      <c r="AL28" s="7">
        <f>AK28/AK20</f>
        <v>0.21716518148114777</v>
      </c>
      <c r="AM28" s="5">
        <f>SUM(AM23:AM26)</f>
        <v>1042060.3839769578</v>
      </c>
      <c r="AN28" s="7">
        <f>AM28/AM20</f>
        <v>0.21711140218621455</v>
      </c>
      <c r="AO28" s="7"/>
      <c r="AP28" s="193">
        <f>SUM(AP23:AP26)</f>
        <v>948616.63008710661</v>
      </c>
      <c r="AQ28" s="7">
        <f>AP28/AP20</f>
        <v>0.2173707738068382</v>
      </c>
    </row>
    <row r="29" spans="1:53" customFormat="1" ht="7.9" customHeight="1" x14ac:dyDescent="0.25">
      <c r="A29" s="194"/>
      <c r="D29" s="409"/>
      <c r="E29" s="7"/>
      <c r="F29" s="409"/>
      <c r="G29" s="7"/>
      <c r="H29" s="260"/>
      <c r="I29" s="7"/>
      <c r="J29" s="409"/>
      <c r="K29" s="7"/>
      <c r="L29" s="409"/>
      <c r="M29" s="7"/>
      <c r="N29" s="409"/>
      <c r="O29" s="7"/>
      <c r="P29" s="254"/>
      <c r="Q29" s="7"/>
      <c r="S29" s="260"/>
      <c r="T29" s="7"/>
      <c r="U29" s="260"/>
      <c r="V29" s="7"/>
      <c r="W29" s="260"/>
      <c r="X29" s="7"/>
      <c r="Y29" s="260"/>
      <c r="Z29" s="7"/>
      <c r="AA29" s="260"/>
      <c r="AB29" s="7"/>
      <c r="AC29" s="5"/>
      <c r="AD29" s="7"/>
      <c r="AE29" s="5"/>
      <c r="AF29" s="7"/>
      <c r="AG29" s="5"/>
      <c r="AH29" s="7"/>
      <c r="AI29" s="5"/>
      <c r="AJ29" s="7"/>
      <c r="AK29" s="5"/>
      <c r="AL29" s="7"/>
      <c r="AM29" s="5"/>
      <c r="AN29" s="7"/>
      <c r="AO29" s="7"/>
      <c r="AP29" s="193"/>
      <c r="AQ29" s="7"/>
    </row>
    <row r="30" spans="1:53" customFormat="1" x14ac:dyDescent="0.25">
      <c r="A30" s="194" t="s">
        <v>10</v>
      </c>
      <c r="D30" s="409">
        <f>+D20-D28</f>
        <v>0</v>
      </c>
      <c r="E30" s="7" t="e">
        <f>+E20-E28</f>
        <v>#DIV/0!</v>
      </c>
      <c r="F30" s="409">
        <f>+F20-F28</f>
        <v>0</v>
      </c>
      <c r="G30" s="7" t="e">
        <f>+G20-G28</f>
        <v>#DIV/0!</v>
      </c>
      <c r="H30" s="260">
        <f t="shared" ref="H30:Q30" si="0">+H20-H28</f>
        <v>0</v>
      </c>
      <c r="I30" s="7" t="e">
        <f t="shared" si="0"/>
        <v>#DIV/0!</v>
      </c>
      <c r="J30" s="409">
        <f>+J20-J28</f>
        <v>3148139.8200000003</v>
      </c>
      <c r="K30" s="7">
        <f t="shared" si="0"/>
        <v>0.80657049982383577</v>
      </c>
      <c r="L30" s="409">
        <f>+L20-L28</f>
        <v>3293915.6999999997</v>
      </c>
      <c r="M30" s="7">
        <f t="shared" si="0"/>
        <v>0.81434923133700388</v>
      </c>
      <c r="N30" s="409">
        <f>+N20-N28</f>
        <v>3310359.18</v>
      </c>
      <c r="O30" s="7">
        <f t="shared" ref="O30" si="1">+O20-O28</f>
        <v>0.81492295248384994</v>
      </c>
      <c r="P30" s="254">
        <f t="shared" si="0"/>
        <v>3221027.7600000002</v>
      </c>
      <c r="Q30" s="7">
        <f t="shared" si="0"/>
        <v>0.81052921981095005</v>
      </c>
      <c r="S30" s="260">
        <f t="shared" ref="S30:AN30" si="2">+S20-S28</f>
        <v>3290408.7186204898</v>
      </c>
      <c r="T30" s="7">
        <f t="shared" si="2"/>
        <v>0.78268067785888118</v>
      </c>
      <c r="U30" s="260">
        <f t="shared" si="2"/>
        <v>3355142.2893425473</v>
      </c>
      <c r="V30" s="7">
        <f>+V20-V28</f>
        <v>0.78265516029994964</v>
      </c>
      <c r="W30" s="260">
        <f t="shared" si="2"/>
        <v>3421162.9683908965</v>
      </c>
      <c r="X30" s="7">
        <f>+X20-X28</f>
        <v>0.78262987598783673</v>
      </c>
      <c r="Y30" s="260">
        <f t="shared" si="2"/>
        <v>3488496.4862784436</v>
      </c>
      <c r="Z30" s="7">
        <f>+Z20-Z28</f>
        <v>0.78260482297366019</v>
      </c>
      <c r="AA30" s="260">
        <f t="shared" si="2"/>
        <v>3521949.5933641181</v>
      </c>
      <c r="AB30" s="7">
        <f>+AB20-AB28</f>
        <v>0.78257999932133948</v>
      </c>
      <c r="AC30" s="5">
        <f t="shared" si="2"/>
        <v>3420900.619288235</v>
      </c>
      <c r="AD30" s="7">
        <f t="shared" si="2"/>
        <v>0.78273644235889184</v>
      </c>
      <c r="AE30" s="5">
        <f t="shared" si="2"/>
        <v>3598582.7599213473</v>
      </c>
      <c r="AF30" s="7">
        <f t="shared" si="2"/>
        <v>0.78267917273649523</v>
      </c>
      <c r="AG30" s="5">
        <f t="shared" si="2"/>
        <v>3637606.7033520327</v>
      </c>
      <c r="AH30" s="7">
        <f t="shared" si="2"/>
        <v>0.78273012142341303</v>
      </c>
      <c r="AI30" s="5">
        <f t="shared" si="2"/>
        <v>3677112.02969197</v>
      </c>
      <c r="AJ30" s="7">
        <f t="shared" si="2"/>
        <v>0.78278199823544825</v>
      </c>
      <c r="AK30" s="5">
        <f t="shared" si="2"/>
        <v>3717106.2870744974</v>
      </c>
      <c r="AL30" s="7">
        <f t="shared" si="2"/>
        <v>0.7828348185188525</v>
      </c>
      <c r="AM30" s="5">
        <f t="shared" si="2"/>
        <v>3757597.1811434207</v>
      </c>
      <c r="AN30" s="7">
        <f t="shared" si="2"/>
        <v>0.78288859781378539</v>
      </c>
      <c r="AO30" s="7"/>
      <c r="AP30" s="193">
        <f>+AP20-AP28</f>
        <v>3415432.0111992983</v>
      </c>
      <c r="AQ30" s="7">
        <f>+AQ20-AQ28</f>
        <v>0.782629226193162</v>
      </c>
    </row>
    <row r="31" spans="1:53" customFormat="1" ht="7.9" customHeight="1" x14ac:dyDescent="0.25">
      <c r="A31" s="194"/>
      <c r="D31" s="409"/>
      <c r="E31" s="7"/>
      <c r="F31" s="409"/>
      <c r="G31" s="7"/>
      <c r="H31" s="260"/>
      <c r="I31" s="7"/>
      <c r="J31" s="409"/>
      <c r="K31" s="7"/>
      <c r="L31" s="409"/>
      <c r="M31" s="7"/>
      <c r="N31" s="409"/>
      <c r="O31" s="7"/>
      <c r="P31" s="254"/>
      <c r="Q31" s="7"/>
      <c r="S31" s="260"/>
      <c r="T31" s="7"/>
      <c r="U31" s="260"/>
      <c r="V31" s="7"/>
      <c r="W31" s="260"/>
      <c r="X31" s="7"/>
      <c r="Y31" s="260"/>
      <c r="Z31" s="7"/>
      <c r="AA31" s="260"/>
      <c r="AB31" s="7"/>
      <c r="AC31" s="5"/>
      <c r="AD31" s="7"/>
      <c r="AE31" s="5"/>
      <c r="AF31" s="7"/>
      <c r="AG31" s="5"/>
      <c r="AH31" s="7"/>
      <c r="AI31" s="5"/>
      <c r="AJ31" s="7"/>
      <c r="AK31" s="5"/>
      <c r="AL31" s="7"/>
      <c r="AM31" s="5"/>
      <c r="AN31" s="7"/>
      <c r="AO31" s="7"/>
      <c r="AP31" s="193"/>
      <c r="AQ31" s="7"/>
    </row>
    <row r="32" spans="1:53" customFormat="1" x14ac:dyDescent="0.25">
      <c r="A32" s="194" t="s">
        <v>18</v>
      </c>
      <c r="D32" s="409"/>
      <c r="E32" s="7"/>
      <c r="F32" s="409"/>
      <c r="G32" s="7"/>
      <c r="H32" s="260"/>
      <c r="I32" s="7"/>
      <c r="J32" s="409"/>
      <c r="K32" s="7"/>
      <c r="L32" s="409"/>
      <c r="M32" s="7"/>
      <c r="N32" s="409"/>
      <c r="O32" s="7"/>
      <c r="P32" s="254"/>
      <c r="Q32" s="7"/>
      <c r="S32" s="260"/>
      <c r="T32" s="7"/>
      <c r="U32" s="260"/>
      <c r="V32" s="7"/>
      <c r="W32" s="260"/>
      <c r="X32" s="7"/>
      <c r="Y32" s="260"/>
      <c r="Z32" s="7"/>
      <c r="AA32" s="260"/>
      <c r="AB32" s="7"/>
      <c r="AC32" s="5"/>
      <c r="AD32" s="7"/>
      <c r="AE32" s="5"/>
      <c r="AF32" s="7"/>
      <c r="AG32" s="5"/>
      <c r="AH32" s="7"/>
      <c r="AI32" s="5"/>
      <c r="AJ32" s="7"/>
      <c r="AK32" s="5"/>
      <c r="AL32" s="7"/>
      <c r="AM32" s="5"/>
      <c r="AN32" s="7"/>
      <c r="AO32" s="7"/>
      <c r="AP32" s="193"/>
      <c r="AQ32" s="7"/>
    </row>
    <row r="33" spans="1:43" customFormat="1" x14ac:dyDescent="0.25">
      <c r="A33" s="194"/>
      <c r="B33" t="s">
        <v>11</v>
      </c>
      <c r="D33" s="11"/>
      <c r="E33" s="7" t="e">
        <f>+D33/D$20</f>
        <v>#DIV/0!</v>
      </c>
      <c r="F33" s="11"/>
      <c r="G33" s="7" t="e">
        <f>+F33/F$20</f>
        <v>#DIV/0!</v>
      </c>
      <c r="H33" s="11"/>
      <c r="I33" s="7" t="e">
        <f t="shared" ref="I33:I38" si="3">+H33/H$20</f>
        <v>#DIV/0!</v>
      </c>
      <c r="J33" s="11">
        <v>186334.15</v>
      </c>
      <c r="K33" s="7">
        <f>+J33/J$20</f>
        <v>4.773982005022559E-2</v>
      </c>
      <c r="L33" s="11">
        <v>233437.44</v>
      </c>
      <c r="M33" s="7">
        <f>+L33/L$20</f>
        <v>5.7712345166962831E-2</v>
      </c>
      <c r="N33" s="11">
        <v>231344.99</v>
      </c>
      <c r="O33" s="7">
        <f>+N33/N$20</f>
        <v>5.6951023149441657E-2</v>
      </c>
      <c r="P33" s="409">
        <f t="shared" ref="P33:P39" si="4">IF(H33+J33+L33=0,0,((+(L33+J33+H33))/(COUNTA(H33,J33,L33))))</f>
        <v>209885.79499999998</v>
      </c>
      <c r="Q33" s="7">
        <f t="shared" ref="Q33:Q39" si="5">+P33/P$20</f>
        <v>5.2814996437891913E-2</v>
      </c>
      <c r="S33" s="194">
        <f>S$20*T33</f>
        <v>243833.4190158683</v>
      </c>
      <c r="T33" s="41">
        <v>5.8000000000000003E-2</v>
      </c>
      <c r="U33" s="194">
        <f>U$20*V33</f>
        <v>248638.56095612884</v>
      </c>
      <c r="V33" s="41">
        <f t="shared" ref="V33:V38" si="6">+T33</f>
        <v>5.8000000000000003E-2</v>
      </c>
      <c r="W33" s="194">
        <f>W$20*X33</f>
        <v>253539.32715156907</v>
      </c>
      <c r="X33" s="41">
        <f t="shared" ref="X33:X38" si="7">+V33</f>
        <v>5.8000000000000003E-2</v>
      </c>
      <c r="Y33" s="194">
        <f>Y$20*Z33</f>
        <v>258537.63005873992</v>
      </c>
      <c r="Z33" s="41">
        <f t="shared" ref="Z33:Z38" si="8">+X33</f>
        <v>5.8000000000000003E-2</v>
      </c>
      <c r="AA33" s="194">
        <f>AA$20*AB33</f>
        <v>261025.1687907516</v>
      </c>
      <c r="AB33" s="41">
        <f t="shared" ref="AB33:AB38" si="9">+Z33</f>
        <v>5.8000000000000003E-2</v>
      </c>
      <c r="AC33" s="40">
        <f>AC$20*AD33</f>
        <v>253485.36899696803</v>
      </c>
      <c r="AD33" s="41">
        <f t="shared" ref="AD33:AD39" si="10">+AB33</f>
        <v>5.8000000000000003E-2</v>
      </c>
      <c r="AE33" s="40">
        <f>AE$20*AF33</f>
        <v>266670.95196323469</v>
      </c>
      <c r="AF33" s="41">
        <f t="shared" ref="AF33:AF39" si="11">+AD33</f>
        <v>5.8000000000000003E-2</v>
      </c>
      <c r="AG33" s="40">
        <f>AG$20*AH33</f>
        <v>269545.25323587103</v>
      </c>
      <c r="AH33" s="41">
        <f t="shared" ref="AH33:AH39" si="12">+AF33</f>
        <v>5.8000000000000003E-2</v>
      </c>
      <c r="AI33" s="40">
        <f>AI$20*AJ33</f>
        <v>272454.52527382382</v>
      </c>
      <c r="AJ33" s="41">
        <f t="shared" ref="AJ33:AJ39" si="13">+AH33</f>
        <v>5.8000000000000003E-2</v>
      </c>
      <c r="AK33" s="40">
        <f>AK$20*AL33</f>
        <v>275399.30461732391</v>
      </c>
      <c r="AL33" s="41">
        <f t="shared" ref="AL33:AL39" si="14">+AJ33</f>
        <v>5.8000000000000003E-2</v>
      </c>
      <c r="AM33" s="40">
        <f>AM$20*AN33</f>
        <v>278380.13877698197</v>
      </c>
      <c r="AN33" s="41">
        <f t="shared" ref="AN33:AN39" si="15">+AL33</f>
        <v>5.8000000000000003E-2</v>
      </c>
      <c r="AO33" s="41"/>
      <c r="AP33" s="194">
        <f t="shared" ref="AP33:AP39" si="16">+(S33+U33+W33+Y33+AA33)/5</f>
        <v>253114.82119461158</v>
      </c>
      <c r="AQ33" s="41">
        <f t="shared" ref="AQ33:AQ39" si="17">+AP33/AP$20</f>
        <v>5.8000000000000024E-2</v>
      </c>
    </row>
    <row r="34" spans="1:43" customFormat="1" x14ac:dyDescent="0.25">
      <c r="A34" s="194"/>
      <c r="B34" t="s">
        <v>346</v>
      </c>
      <c r="D34" s="11"/>
      <c r="E34" s="7" t="e">
        <f>+D34/D$20</f>
        <v>#DIV/0!</v>
      </c>
      <c r="F34" s="11"/>
      <c r="G34" s="7" t="e">
        <f>+F34/F$20</f>
        <v>#DIV/0!</v>
      </c>
      <c r="H34" s="11"/>
      <c r="I34" s="7" t="e">
        <f>+H34/H$20</f>
        <v>#DIV/0!</v>
      </c>
      <c r="J34" s="11"/>
      <c r="K34" s="7">
        <f>+J34/J$20</f>
        <v>0</v>
      </c>
      <c r="L34" s="11"/>
      <c r="M34" s="7">
        <f>+L34/L$20</f>
        <v>0</v>
      </c>
      <c r="N34" s="11"/>
      <c r="O34" s="7">
        <f>+N34/N$20</f>
        <v>0</v>
      </c>
      <c r="P34" s="409">
        <f t="shared" si="4"/>
        <v>0</v>
      </c>
      <c r="Q34" s="7">
        <f>+P34/P$20</f>
        <v>0</v>
      </c>
      <c r="S34" s="194">
        <f>S$20*T34</f>
        <v>0</v>
      </c>
      <c r="T34" s="41">
        <v>0</v>
      </c>
      <c r="U34" s="194">
        <f>U$20*V34</f>
        <v>0</v>
      </c>
      <c r="V34" s="41">
        <f t="shared" si="6"/>
        <v>0</v>
      </c>
      <c r="W34" s="194">
        <f>W$20*X34</f>
        <v>0</v>
      </c>
      <c r="X34" s="41">
        <f t="shared" si="7"/>
        <v>0</v>
      </c>
      <c r="Y34" s="194">
        <f>Y$20*Z34</f>
        <v>0</v>
      </c>
      <c r="Z34" s="41">
        <f t="shared" si="8"/>
        <v>0</v>
      </c>
      <c r="AA34" s="194">
        <f>AA$20*AB34</f>
        <v>0</v>
      </c>
      <c r="AB34" s="41">
        <f t="shared" si="9"/>
        <v>0</v>
      </c>
      <c r="AC34" s="40">
        <f>AC$20*AD34</f>
        <v>0</v>
      </c>
      <c r="AD34" s="41">
        <f t="shared" si="10"/>
        <v>0</v>
      </c>
      <c r="AE34" s="40">
        <f>AE$20*AF34</f>
        <v>0</v>
      </c>
      <c r="AF34" s="41">
        <f t="shared" si="11"/>
        <v>0</v>
      </c>
      <c r="AG34" s="40">
        <f>AG$20*AH34</f>
        <v>0</v>
      </c>
      <c r="AH34" s="41">
        <f t="shared" si="12"/>
        <v>0</v>
      </c>
      <c r="AI34" s="40">
        <f>AI$20*AJ34</f>
        <v>0</v>
      </c>
      <c r="AJ34" s="41">
        <f t="shared" si="13"/>
        <v>0</v>
      </c>
      <c r="AK34" s="40">
        <f>AK$20*AL34</f>
        <v>0</v>
      </c>
      <c r="AL34" s="41">
        <f t="shared" si="14"/>
        <v>0</v>
      </c>
      <c r="AM34" s="40">
        <f>AM$20*AN34</f>
        <v>0</v>
      </c>
      <c r="AN34" s="41">
        <f t="shared" si="15"/>
        <v>0</v>
      </c>
      <c r="AO34" s="41"/>
      <c r="AP34" s="194">
        <f>+(S34+U34+W34+Y34+AA34)/5</f>
        <v>0</v>
      </c>
      <c r="AQ34" s="41">
        <f>+AP34/AP$20</f>
        <v>0</v>
      </c>
    </row>
    <row r="35" spans="1:43" customFormat="1" x14ac:dyDescent="0.25">
      <c r="A35" s="194"/>
      <c r="B35" t="s">
        <v>13</v>
      </c>
      <c r="D35" s="11"/>
      <c r="E35" s="7" t="e">
        <f>+D35/D$20</f>
        <v>#DIV/0!</v>
      </c>
      <c r="F35" s="11"/>
      <c r="G35" s="7" t="e">
        <f>+F35/F$20</f>
        <v>#DIV/0!</v>
      </c>
      <c r="H35" s="11"/>
      <c r="I35" s="7" t="e">
        <f>+H35/H$20</f>
        <v>#DIV/0!</v>
      </c>
      <c r="J35" s="11">
        <v>51001.61</v>
      </c>
      <c r="K35" s="7">
        <f>+J35/J$20</f>
        <v>1.306688915409111E-2</v>
      </c>
      <c r="L35" s="11">
        <v>45542.8</v>
      </c>
      <c r="M35" s="7">
        <f>+L35/L$20</f>
        <v>1.1259469746883598E-2</v>
      </c>
      <c r="N35" s="11">
        <v>44007.199999999997</v>
      </c>
      <c r="O35" s="7">
        <f>+N35/N$20</f>
        <v>1.0833409731250757E-2</v>
      </c>
      <c r="P35" s="409">
        <f t="shared" si="4"/>
        <v>48272.205000000002</v>
      </c>
      <c r="Q35" s="7">
        <f>+P35/P$20</f>
        <v>1.2147064717382082E-2</v>
      </c>
      <c r="S35" s="194">
        <f>S$20*T35</f>
        <v>54652.318055280819</v>
      </c>
      <c r="T35" s="41">
        <v>1.2999999999999999E-2</v>
      </c>
      <c r="U35" s="194">
        <f>U$20*V35</f>
        <v>55729.332628097836</v>
      </c>
      <c r="V35" s="41">
        <f t="shared" si="6"/>
        <v>1.2999999999999999E-2</v>
      </c>
      <c r="W35" s="194">
        <f>W$20*X35</f>
        <v>56827.780223627546</v>
      </c>
      <c r="X35" s="41">
        <f t="shared" si="7"/>
        <v>1.2999999999999999E-2</v>
      </c>
      <c r="Y35" s="194">
        <f>Y$20*Z35</f>
        <v>57948.089495924462</v>
      </c>
      <c r="Z35" s="41">
        <f t="shared" si="8"/>
        <v>1.2999999999999999E-2</v>
      </c>
      <c r="AA35" s="194">
        <f>AA$20*AB35</f>
        <v>58505.641280685697</v>
      </c>
      <c r="AB35" s="41">
        <f t="shared" si="9"/>
        <v>1.2999999999999999E-2</v>
      </c>
      <c r="AC35" s="40">
        <f>AC$20*AD35</f>
        <v>56815.686154492825</v>
      </c>
      <c r="AD35" s="41">
        <f t="shared" si="10"/>
        <v>1.2999999999999999E-2</v>
      </c>
      <c r="AE35" s="40">
        <f>AE$20*AF35</f>
        <v>59771.075440035362</v>
      </c>
      <c r="AF35" s="41">
        <f t="shared" si="11"/>
        <v>1.2999999999999999E-2</v>
      </c>
      <c r="AG35" s="40">
        <f>AG$20*AH35</f>
        <v>60415.315380453838</v>
      </c>
      <c r="AH35" s="41">
        <f t="shared" si="12"/>
        <v>1.2999999999999999E-2</v>
      </c>
      <c r="AI35" s="40">
        <f>AI$20*AJ35</f>
        <v>61067.393595857058</v>
      </c>
      <c r="AJ35" s="41">
        <f t="shared" si="13"/>
        <v>1.2999999999999999E-2</v>
      </c>
      <c r="AK35" s="40">
        <f>AK$20*AL35</f>
        <v>61727.430345262248</v>
      </c>
      <c r="AL35" s="41">
        <f t="shared" si="14"/>
        <v>1.2999999999999999E-2</v>
      </c>
      <c r="AM35" s="40">
        <f>AM$20*AN35</f>
        <v>62395.548346564916</v>
      </c>
      <c r="AN35" s="41">
        <f t="shared" si="15"/>
        <v>1.2999999999999999E-2</v>
      </c>
      <c r="AO35" s="41"/>
      <c r="AP35" s="194">
        <f>+(S35+U35+W35+Y35+AA35)/5</f>
        <v>56732.632336723269</v>
      </c>
      <c r="AQ35" s="41">
        <f>+AP35/AP$20</f>
        <v>1.3000000000000001E-2</v>
      </c>
    </row>
    <row r="36" spans="1:43" customFormat="1" x14ac:dyDescent="0.25">
      <c r="A36" s="194"/>
      <c r="B36" t="s">
        <v>12</v>
      </c>
      <c r="D36" s="11"/>
      <c r="E36" s="7" t="e">
        <f>+D36/D$15</f>
        <v>#DIV/0!</v>
      </c>
      <c r="F36" s="11"/>
      <c r="G36" s="7" t="e">
        <f>+F36/F$15</f>
        <v>#DIV/0!</v>
      </c>
      <c r="H36" s="11"/>
      <c r="I36" s="7" t="e">
        <f>+H36/H$15</f>
        <v>#DIV/0!</v>
      </c>
      <c r="J36" s="11">
        <v>544932.63</v>
      </c>
      <c r="K36" s="268">
        <f>+J36/J$15</f>
        <v>0.14520917207937706</v>
      </c>
      <c r="L36" s="11">
        <v>572738.68000000005</v>
      </c>
      <c r="M36" s="7">
        <f>+L36/L$15</f>
        <v>0.14744222040288701</v>
      </c>
      <c r="N36" s="11">
        <v>574308.96</v>
      </c>
      <c r="O36" s="7">
        <f>+N36/N$15</f>
        <v>0.14729953874675716</v>
      </c>
      <c r="P36" s="409">
        <f t="shared" si="4"/>
        <v>558835.65500000003</v>
      </c>
      <c r="Q36" s="7">
        <f>+P36/P$15</f>
        <v>0.14634495787793447</v>
      </c>
      <c r="S36" s="194">
        <f>S$15*T36</f>
        <v>585843.50250047329</v>
      </c>
      <c r="T36" s="41">
        <v>0.14499999999999999</v>
      </c>
      <c r="U36" s="194">
        <f>U$15*V36</f>
        <v>597618.95690073271</v>
      </c>
      <c r="V36" s="41">
        <f t="shared" si="6"/>
        <v>0.14499999999999999</v>
      </c>
      <c r="W36" s="194">
        <f>W$15*X36</f>
        <v>609631.09793443745</v>
      </c>
      <c r="X36" s="41">
        <f t="shared" si="7"/>
        <v>0.14499999999999999</v>
      </c>
      <c r="Y36" s="194">
        <f>Y$15*Z36</f>
        <v>621884.68300291977</v>
      </c>
      <c r="Z36" s="41">
        <f t="shared" si="8"/>
        <v>0.14499999999999999</v>
      </c>
      <c r="AA36" s="194">
        <f>AA$15*AB36</f>
        <v>628103.52983294893</v>
      </c>
      <c r="AB36" s="41">
        <f t="shared" si="9"/>
        <v>0.14499999999999999</v>
      </c>
      <c r="AC36" s="40">
        <f>AC$15*AD36</f>
        <v>608520.24858417211</v>
      </c>
      <c r="AD36" s="41">
        <f t="shared" si="10"/>
        <v>0.14499999999999999</v>
      </c>
      <c r="AE36" s="40">
        <f>AE$15*AF36</f>
        <v>640728.41078259144</v>
      </c>
      <c r="AF36" s="41">
        <f t="shared" si="11"/>
        <v>0.14499999999999999</v>
      </c>
      <c r="AG36" s="40">
        <f>AG$15*AH36</f>
        <v>647135.69489041716</v>
      </c>
      <c r="AH36" s="41">
        <f t="shared" si="12"/>
        <v>0.14499999999999999</v>
      </c>
      <c r="AI36" s="40">
        <f>AI$15*AJ36</f>
        <v>653607.05183932139</v>
      </c>
      <c r="AJ36" s="41">
        <f t="shared" si="13"/>
        <v>0.14499999999999999</v>
      </c>
      <c r="AK36" s="40">
        <f>AK$15*AL36</f>
        <v>660143.12235771457</v>
      </c>
      <c r="AL36" s="41">
        <f t="shared" si="14"/>
        <v>0.14499999999999999</v>
      </c>
      <c r="AM36" s="40">
        <f>AM$15*AN36</f>
        <v>666744.55358129169</v>
      </c>
      <c r="AN36" s="41">
        <f t="shared" si="15"/>
        <v>0.14499999999999999</v>
      </c>
      <c r="AO36" s="41"/>
      <c r="AP36" s="194">
        <f t="shared" si="16"/>
        <v>608616.35403430252</v>
      </c>
      <c r="AQ36" s="41">
        <f t="shared" si="17"/>
        <v>0.13946140477822416</v>
      </c>
    </row>
    <row r="37" spans="1:43" customFormat="1" x14ac:dyDescent="0.25">
      <c r="A37" s="194"/>
      <c r="B37" t="s">
        <v>14</v>
      </c>
      <c r="D37" s="11"/>
      <c r="E37" s="7" t="e">
        <f>+D37/D$20</f>
        <v>#DIV/0!</v>
      </c>
      <c r="F37" s="11"/>
      <c r="G37" s="7" t="e">
        <f>+F37/F$20</f>
        <v>#DIV/0!</v>
      </c>
      <c r="H37" s="11"/>
      <c r="I37" s="7" t="e">
        <f t="shared" si="3"/>
        <v>#DIV/0!</v>
      </c>
      <c r="J37" s="11">
        <v>69475.48</v>
      </c>
      <c r="K37" s="7">
        <f t="shared" ref="K37:K43" si="18">+J37/J$20</f>
        <v>1.7799994864618467E-2</v>
      </c>
      <c r="L37" s="11">
        <v>53493.23</v>
      </c>
      <c r="M37" s="7">
        <f t="shared" ref="M37:M43" si="19">+L37/L$20</f>
        <v>1.3225041166728574E-2</v>
      </c>
      <c r="N37" s="11">
        <v>53036.08</v>
      </c>
      <c r="O37" s="7">
        <f t="shared" ref="O37:O38" si="20">+N37/N$20</f>
        <v>1.3056081395303351E-2</v>
      </c>
      <c r="P37" s="409">
        <f t="shared" si="4"/>
        <v>61484.354999999996</v>
      </c>
      <c r="Q37" s="7">
        <f t="shared" si="5"/>
        <v>1.5471728281140141E-2</v>
      </c>
      <c r="S37" s="194">
        <f t="shared" ref="S37:AA39" si="21">S$20*T37</f>
        <v>75672.440384234971</v>
      </c>
      <c r="T37" s="41">
        <v>1.7999999999999999E-2</v>
      </c>
      <c r="U37" s="194">
        <f t="shared" si="21"/>
        <v>77163.69133121238</v>
      </c>
      <c r="V37" s="41">
        <f t="shared" si="6"/>
        <v>1.7999999999999999E-2</v>
      </c>
      <c r="W37" s="194">
        <f t="shared" si="21"/>
        <v>78684.618771176596</v>
      </c>
      <c r="X37" s="41">
        <f t="shared" si="7"/>
        <v>1.7999999999999999E-2</v>
      </c>
      <c r="Y37" s="194">
        <f t="shared" si="21"/>
        <v>80235.816225126167</v>
      </c>
      <c r="Z37" s="41">
        <f t="shared" si="8"/>
        <v>1.7999999999999999E-2</v>
      </c>
      <c r="AA37" s="194">
        <f t="shared" si="21"/>
        <v>81007.811004026356</v>
      </c>
      <c r="AB37" s="41">
        <f t="shared" si="9"/>
        <v>1.7999999999999999E-2</v>
      </c>
      <c r="AC37" s="40">
        <f>AC$20*AD37</f>
        <v>78667.873136990063</v>
      </c>
      <c r="AD37" s="41">
        <f t="shared" si="10"/>
        <v>1.7999999999999999E-2</v>
      </c>
      <c r="AE37" s="40">
        <f>AE$20*AF37</f>
        <v>82759.950609279724</v>
      </c>
      <c r="AF37" s="41">
        <f t="shared" si="11"/>
        <v>1.7999999999999999E-2</v>
      </c>
      <c r="AG37" s="40">
        <f>AG$20*AH37</f>
        <v>83651.975142166848</v>
      </c>
      <c r="AH37" s="41">
        <f t="shared" si="12"/>
        <v>1.7999999999999999E-2</v>
      </c>
      <c r="AI37" s="40">
        <f>AI$20*AJ37</f>
        <v>84554.852671186687</v>
      </c>
      <c r="AJ37" s="41">
        <f t="shared" si="13"/>
        <v>1.7999999999999999E-2</v>
      </c>
      <c r="AK37" s="40">
        <f>AK$20*AL37</f>
        <v>85468.749708824645</v>
      </c>
      <c r="AL37" s="41">
        <f t="shared" si="14"/>
        <v>1.7999999999999999E-2</v>
      </c>
      <c r="AM37" s="40">
        <f>AM$20*AN37</f>
        <v>86393.836172166804</v>
      </c>
      <c r="AN37" s="41">
        <f t="shared" si="15"/>
        <v>1.7999999999999999E-2</v>
      </c>
      <c r="AO37" s="41"/>
      <c r="AP37" s="194">
        <f t="shared" si="16"/>
        <v>78552.875543155285</v>
      </c>
      <c r="AQ37" s="41">
        <f t="shared" si="17"/>
        <v>1.7999999999999999E-2</v>
      </c>
    </row>
    <row r="38" spans="1:43" customFormat="1" x14ac:dyDescent="0.25">
      <c r="A38" s="194"/>
      <c r="B38" t="s">
        <v>15</v>
      </c>
      <c r="D38" s="11"/>
      <c r="E38" s="7" t="e">
        <f>+D38/D$20</f>
        <v>#DIV/0!</v>
      </c>
      <c r="F38" s="11"/>
      <c r="G38" s="7" t="e">
        <f>+F38/F$20</f>
        <v>#DIV/0!</v>
      </c>
      <c r="H38" s="11"/>
      <c r="I38" s="7" t="e">
        <f t="shared" si="3"/>
        <v>#DIV/0!</v>
      </c>
      <c r="J38" s="11">
        <v>124998.42</v>
      </c>
      <c r="K38" s="7">
        <f t="shared" si="18"/>
        <v>3.2025273291892649E-2</v>
      </c>
      <c r="L38" s="11">
        <v>125018.93</v>
      </c>
      <c r="M38" s="7">
        <f t="shared" si="19"/>
        <v>3.0908219523673511E-2</v>
      </c>
      <c r="N38" s="11">
        <v>123603.41</v>
      </c>
      <c r="O38" s="7">
        <f t="shared" si="20"/>
        <v>3.0427893269959851E-2</v>
      </c>
      <c r="P38" s="409">
        <f t="shared" si="4"/>
        <v>125008.67499999999</v>
      </c>
      <c r="Q38" s="7">
        <f t="shared" si="5"/>
        <v>3.1456786891321482E-2</v>
      </c>
      <c r="S38" s="194">
        <f t="shared" si="21"/>
        <v>134528.78290530664</v>
      </c>
      <c r="T38" s="41">
        <v>3.2000000000000001E-2</v>
      </c>
      <c r="U38" s="194">
        <f t="shared" si="21"/>
        <v>137179.89569993314</v>
      </c>
      <c r="V38" s="41">
        <f t="shared" si="6"/>
        <v>3.2000000000000001E-2</v>
      </c>
      <c r="W38" s="194">
        <f t="shared" si="21"/>
        <v>139883.76670431398</v>
      </c>
      <c r="X38" s="41">
        <f t="shared" si="7"/>
        <v>3.2000000000000001E-2</v>
      </c>
      <c r="Y38" s="194">
        <f t="shared" si="21"/>
        <v>142641.45106689099</v>
      </c>
      <c r="Z38" s="41">
        <f t="shared" si="8"/>
        <v>3.2000000000000001E-2</v>
      </c>
      <c r="AA38" s="194">
        <f t="shared" si="21"/>
        <v>144013.88622938018</v>
      </c>
      <c r="AB38" s="41">
        <f t="shared" si="9"/>
        <v>3.2000000000000001E-2</v>
      </c>
      <c r="AC38" s="40">
        <f>AC$20*AD38</f>
        <v>139853.99668798235</v>
      </c>
      <c r="AD38" s="41">
        <f t="shared" si="10"/>
        <v>3.2000000000000001E-2</v>
      </c>
      <c r="AE38" s="40">
        <f>AE$20*AF38</f>
        <v>147128.80108316397</v>
      </c>
      <c r="AF38" s="41">
        <f t="shared" si="11"/>
        <v>3.2000000000000001E-2</v>
      </c>
      <c r="AG38" s="40">
        <f>AG$20*AH38</f>
        <v>148714.62247496331</v>
      </c>
      <c r="AH38" s="41">
        <f t="shared" si="12"/>
        <v>3.2000000000000001E-2</v>
      </c>
      <c r="AI38" s="40">
        <f>AI$20*AJ38</f>
        <v>150319.73808210969</v>
      </c>
      <c r="AJ38" s="41">
        <f t="shared" si="13"/>
        <v>3.2000000000000001E-2</v>
      </c>
      <c r="AK38" s="40">
        <f>AK$20*AL38</f>
        <v>151944.4439267994</v>
      </c>
      <c r="AL38" s="41">
        <f t="shared" si="14"/>
        <v>3.2000000000000001E-2</v>
      </c>
      <c r="AM38" s="40">
        <f>AM$20*AN38</f>
        <v>153589.04208385211</v>
      </c>
      <c r="AN38" s="41">
        <f t="shared" si="15"/>
        <v>3.2000000000000001E-2</v>
      </c>
      <c r="AO38" s="41"/>
      <c r="AP38" s="194">
        <f t="shared" si="16"/>
        <v>139649.55652116498</v>
      </c>
      <c r="AQ38" s="41">
        <f t="shared" si="17"/>
        <v>3.2000000000000008E-2</v>
      </c>
    </row>
    <row r="39" spans="1:43" customFormat="1" x14ac:dyDescent="0.25">
      <c r="A39" s="194"/>
      <c r="B39" s="446" t="s">
        <v>16</v>
      </c>
      <c r="D39" s="11">
        <f>E39*D20</f>
        <v>0</v>
      </c>
      <c r="E39" s="7">
        <v>0.03</v>
      </c>
      <c r="F39" s="11">
        <f>G39*F20</f>
        <v>0</v>
      </c>
      <c r="G39" s="7">
        <v>0.03</v>
      </c>
      <c r="H39" s="11">
        <f>I39*H20</f>
        <v>0</v>
      </c>
      <c r="I39" s="7">
        <v>0.03</v>
      </c>
      <c r="J39" s="11">
        <f>K39*J20</f>
        <v>117093.53939999999</v>
      </c>
      <c r="K39" s="7">
        <v>0.03</v>
      </c>
      <c r="L39" s="11">
        <f>M39*L20</f>
        <v>121345.32359999999</v>
      </c>
      <c r="M39" s="7">
        <v>0.03</v>
      </c>
      <c r="N39" s="11">
        <f>O39*N20</f>
        <v>121865.2329</v>
      </c>
      <c r="O39" s="7">
        <v>0.03</v>
      </c>
      <c r="P39" s="409">
        <f t="shared" si="4"/>
        <v>79479.620999999999</v>
      </c>
      <c r="Q39" s="7">
        <f t="shared" si="5"/>
        <v>1.9999999999999997E-2</v>
      </c>
      <c r="S39" s="194">
        <f t="shared" si="21"/>
        <v>126120.73397372497</v>
      </c>
      <c r="T39" s="41">
        <v>0.03</v>
      </c>
      <c r="U39" s="194">
        <f t="shared" si="21"/>
        <v>128606.15221868732</v>
      </c>
      <c r="V39" s="41">
        <f>T39</f>
        <v>0.03</v>
      </c>
      <c r="W39" s="194">
        <f t="shared" si="21"/>
        <v>131141.03128529433</v>
      </c>
      <c r="X39" s="41">
        <f>+V39</f>
        <v>0.03</v>
      </c>
      <c r="Y39" s="194">
        <f t="shared" si="21"/>
        <v>133726.36037521029</v>
      </c>
      <c r="Z39" s="41">
        <f>+X39</f>
        <v>0.03</v>
      </c>
      <c r="AA39" s="194">
        <f t="shared" si="21"/>
        <v>135013.01834004393</v>
      </c>
      <c r="AB39" s="41">
        <f>+Z39</f>
        <v>0.03</v>
      </c>
      <c r="AC39" s="40">
        <f>AC$20*AD39</f>
        <v>131113.12189498346</v>
      </c>
      <c r="AD39" s="41">
        <f t="shared" si="10"/>
        <v>0.03</v>
      </c>
      <c r="AE39" s="40">
        <f>AE$20*AF39</f>
        <v>137933.25101546623</v>
      </c>
      <c r="AF39" s="41">
        <f t="shared" si="11"/>
        <v>0.03</v>
      </c>
      <c r="AG39" s="40">
        <f>AG$20*AH39</f>
        <v>139419.9585702781</v>
      </c>
      <c r="AH39" s="41">
        <f t="shared" si="12"/>
        <v>0.03</v>
      </c>
      <c r="AI39" s="40">
        <f>AI$20*AJ39</f>
        <v>140924.75445197782</v>
      </c>
      <c r="AJ39" s="41">
        <f t="shared" si="13"/>
        <v>0.03</v>
      </c>
      <c r="AK39" s="40">
        <f>AK$20*AL39</f>
        <v>142447.91618137443</v>
      </c>
      <c r="AL39" s="41">
        <f t="shared" si="14"/>
        <v>0.03</v>
      </c>
      <c r="AM39" s="40">
        <f>AM$20*AN39</f>
        <v>143989.72695361136</v>
      </c>
      <c r="AN39" s="41">
        <f t="shared" si="15"/>
        <v>0.03</v>
      </c>
      <c r="AO39" s="41"/>
      <c r="AP39" s="194">
        <f t="shared" si="16"/>
        <v>130921.45923859216</v>
      </c>
      <c r="AQ39" s="41">
        <f t="shared" si="17"/>
        <v>3.0000000000000002E-2</v>
      </c>
    </row>
    <row r="40" spans="1:43" customFormat="1" ht="7.9" customHeight="1" x14ac:dyDescent="0.25">
      <c r="A40" s="194"/>
      <c r="D40" s="409"/>
      <c r="E40" s="7"/>
      <c r="F40" s="409"/>
      <c r="G40" s="7"/>
      <c r="H40" s="260"/>
      <c r="I40" s="7"/>
      <c r="J40" s="340"/>
      <c r="K40" s="7"/>
      <c r="L40" s="340"/>
      <c r="M40" s="7"/>
      <c r="N40" s="409"/>
      <c r="O40" s="7"/>
      <c r="P40" s="254"/>
      <c r="Q40" s="7"/>
      <c r="S40" s="260"/>
      <c r="T40" s="7"/>
      <c r="U40" s="260"/>
      <c r="V40" s="7"/>
      <c r="W40" s="260"/>
      <c r="X40" s="7"/>
      <c r="Y40" s="260"/>
      <c r="Z40" s="7"/>
      <c r="AA40" s="260"/>
      <c r="AB40" s="7"/>
      <c r="AC40" s="5"/>
      <c r="AD40" s="7"/>
      <c r="AE40" s="5"/>
      <c r="AF40" s="7"/>
      <c r="AG40" s="5"/>
      <c r="AH40" s="7"/>
      <c r="AI40" s="5"/>
      <c r="AJ40" s="7"/>
      <c r="AK40" s="5"/>
      <c r="AL40" s="7"/>
      <c r="AM40" s="5"/>
      <c r="AN40" s="7"/>
      <c r="AO40" s="7"/>
      <c r="AP40" s="193"/>
      <c r="AQ40" s="7"/>
    </row>
    <row r="41" spans="1:43" customFormat="1" x14ac:dyDescent="0.25">
      <c r="A41" s="194" t="s">
        <v>17</v>
      </c>
      <c r="D41" s="409">
        <f>SUM(D33:D39)</f>
        <v>0</v>
      </c>
      <c r="E41" s="7" t="e">
        <f>+D41/D$20</f>
        <v>#DIV/0!</v>
      </c>
      <c r="F41" s="409">
        <f>SUM(F33:F39)</f>
        <v>0</v>
      </c>
      <c r="G41" s="7" t="e">
        <f>+F41/F$20</f>
        <v>#DIV/0!</v>
      </c>
      <c r="H41" s="260">
        <f>SUM(H33:H39)</f>
        <v>0</v>
      </c>
      <c r="I41" s="7" t="e">
        <f>+H41/H$20</f>
        <v>#DIV/0!</v>
      </c>
      <c r="J41" s="340">
        <f>SUM(J33:J39)</f>
        <v>1093835.8293999999</v>
      </c>
      <c r="K41" s="7">
        <f t="shared" si="18"/>
        <v>0.28024667330194308</v>
      </c>
      <c r="L41" s="340">
        <f>SUM(L33:L39)</f>
        <v>1151576.4036000001</v>
      </c>
      <c r="M41" s="7">
        <f t="shared" si="19"/>
        <v>0.28470229493046573</v>
      </c>
      <c r="N41" s="409">
        <f>SUM(N33:N39)</f>
        <v>1148165.8728999998</v>
      </c>
      <c r="O41" s="7">
        <f t="shared" ref="O41" si="22">+N41/N$20</f>
        <v>0.28264809714239664</v>
      </c>
      <c r="P41" s="254">
        <f>SUM(P33:P39)</f>
        <v>1082966.3060000001</v>
      </c>
      <c r="Q41" s="7">
        <f>+P41/P$20</f>
        <v>0.27251420990042213</v>
      </c>
      <c r="S41" s="260">
        <f>SUM(S33:S39)</f>
        <v>1220651.196834889</v>
      </c>
      <c r="T41" s="7">
        <f>+S41/S$20</f>
        <v>0.29035301929558788</v>
      </c>
      <c r="U41" s="260">
        <f>SUM(U33:U39)</f>
        <v>1244936.5897347922</v>
      </c>
      <c r="V41" s="7">
        <f>+U41/U$20</f>
        <v>0.2904067732975596</v>
      </c>
      <c r="W41" s="260">
        <f>SUM(W33:W39)</f>
        <v>1269707.6220704189</v>
      </c>
      <c r="X41" s="7">
        <f>+W41/W$20</f>
        <v>0.29046003595355263</v>
      </c>
      <c r="Y41" s="260">
        <f>SUM(Y33:Y39)</f>
        <v>1294974.0302248118</v>
      </c>
      <c r="Z41" s="7">
        <f>+Y41/Y$20</f>
        <v>0.29051281136898482</v>
      </c>
      <c r="AA41" s="260">
        <f>SUM(AA33:AA39)</f>
        <v>1307669.0554778366</v>
      </c>
      <c r="AB41" s="7">
        <f>+AA41/AA$20</f>
        <v>0.29056510362230553</v>
      </c>
      <c r="AC41" s="5">
        <f>SUM(AC33:AC39)</f>
        <v>1268456.295455589</v>
      </c>
      <c r="AD41" s="7">
        <f>+AC41/AC$20</f>
        <v>0.29023554861386952</v>
      </c>
      <c r="AE41" s="5">
        <f>SUM(AE33:AE39)</f>
        <v>1334992.4408937716</v>
      </c>
      <c r="AF41" s="7">
        <f>+AE41/AE$20</f>
        <v>0.29035618991045481</v>
      </c>
      <c r="AG41" s="5">
        <f>SUM(AG33:AG39)</f>
        <v>1348882.8196941502</v>
      </c>
      <c r="AH41" s="7">
        <f>+AG41/AG$20</f>
        <v>0.29024886397758015</v>
      </c>
      <c r="AI41" s="5">
        <f>SUM(AI33:AI39)</f>
        <v>1362928.3159142765</v>
      </c>
      <c r="AJ41" s="7">
        <f>+AI41/AI$20</f>
        <v>0.29013958290316855</v>
      </c>
      <c r="AK41" s="5">
        <f>SUM(AK33:AK39)</f>
        <v>1377130.967137299</v>
      </c>
      <c r="AL41" s="7">
        <f>+AK41/AK$20</f>
        <v>0.29002831435958143</v>
      </c>
      <c r="AM41" s="5">
        <f>SUM(AM33:AM39)</f>
        <v>1391492.8459144686</v>
      </c>
      <c r="AN41" s="7">
        <f>+AM41/AM$20</f>
        <v>0.28991502561070087</v>
      </c>
      <c r="AO41" s="7"/>
      <c r="AP41" s="193">
        <f>SUM(AP33:AP39)</f>
        <v>1267587.6988685497</v>
      </c>
      <c r="AQ41" s="7">
        <f>+AP41/AP$20</f>
        <v>0.29046140477822419</v>
      </c>
    </row>
    <row r="42" spans="1:43" customFormat="1" x14ac:dyDescent="0.25">
      <c r="A42" s="194"/>
      <c r="D42" s="409"/>
      <c r="E42" s="7"/>
      <c r="F42" s="409"/>
      <c r="G42" s="7"/>
      <c r="H42" s="260"/>
      <c r="I42" s="7"/>
      <c r="J42" s="340"/>
      <c r="K42" s="7"/>
      <c r="L42" s="340"/>
      <c r="M42" s="7"/>
      <c r="N42" s="409"/>
      <c r="O42" s="7"/>
      <c r="P42" s="254"/>
      <c r="Q42" s="7"/>
      <c r="S42" s="260"/>
      <c r="T42" s="7"/>
      <c r="U42" s="260"/>
      <c r="V42" s="7"/>
      <c r="W42" s="260"/>
      <c r="X42" s="7"/>
      <c r="Y42" s="260"/>
      <c r="Z42" s="7"/>
      <c r="AA42" s="260"/>
      <c r="AB42" s="7"/>
      <c r="AC42" s="5"/>
      <c r="AD42" s="7"/>
      <c r="AE42" s="5"/>
      <c r="AF42" s="7"/>
      <c r="AG42" s="5"/>
      <c r="AH42" s="7"/>
      <c r="AI42" s="5"/>
      <c r="AJ42" s="7"/>
      <c r="AK42" s="5"/>
      <c r="AL42" s="7"/>
      <c r="AM42" s="5"/>
      <c r="AN42" s="7"/>
      <c r="AO42" s="7"/>
      <c r="AP42" s="193"/>
      <c r="AQ42" s="7"/>
    </row>
    <row r="43" spans="1:43" customFormat="1" x14ac:dyDescent="0.25">
      <c r="A43" s="194" t="s">
        <v>21</v>
      </c>
      <c r="D43" s="409">
        <f>+D30-D41</f>
        <v>0</v>
      </c>
      <c r="E43" s="7" t="e">
        <f>+D43/D$20</f>
        <v>#DIV/0!</v>
      </c>
      <c r="F43" s="409">
        <f>+F30-F41</f>
        <v>0</v>
      </c>
      <c r="G43" s="7" t="e">
        <f>+F43/F$20</f>
        <v>#DIV/0!</v>
      </c>
      <c r="H43" s="260">
        <f>+H30-H41</f>
        <v>0</v>
      </c>
      <c r="I43" s="7" t="e">
        <f>+H43/H$20</f>
        <v>#DIV/0!</v>
      </c>
      <c r="J43" s="340">
        <f>+J30-J41</f>
        <v>2054303.9906000004</v>
      </c>
      <c r="K43" s="7">
        <f t="shared" si="18"/>
        <v>0.52632382652189269</v>
      </c>
      <c r="L43" s="340">
        <f>+L30-L41</f>
        <v>2142339.2963999994</v>
      </c>
      <c r="M43" s="7">
        <f t="shared" si="19"/>
        <v>0.52964693640653815</v>
      </c>
      <c r="N43" s="409">
        <f>+N30-N41</f>
        <v>2162193.3071000003</v>
      </c>
      <c r="O43" s="7">
        <f t="shared" ref="O43" si="23">+N43/N$20</f>
        <v>0.53227485534145325</v>
      </c>
      <c r="P43" s="254">
        <f>+P30-P41</f>
        <v>2138061.4539999999</v>
      </c>
      <c r="Q43" s="7">
        <f>+P43/P$20</f>
        <v>0.53801500991052786</v>
      </c>
      <c r="S43" s="260">
        <f>+S30-S41</f>
        <v>2069757.5217856008</v>
      </c>
      <c r="T43" s="7">
        <f>+S43/S$20</f>
        <v>0.49232765856329336</v>
      </c>
      <c r="U43" s="260">
        <f>+U30-U41</f>
        <v>2110205.6996077551</v>
      </c>
      <c r="V43" s="7">
        <f>+U43/U$20</f>
        <v>0.49224838700238982</v>
      </c>
      <c r="W43" s="260">
        <f>+W30-W41</f>
        <v>2151455.3463204773</v>
      </c>
      <c r="X43" s="7">
        <f>+W43/W$20</f>
        <v>0.49216984003428377</v>
      </c>
      <c r="Y43" s="260">
        <f>+Y30-Y41</f>
        <v>2193522.4560536318</v>
      </c>
      <c r="Z43" s="7">
        <f>+Y43/Y$20</f>
        <v>0.49209201160467514</v>
      </c>
      <c r="AA43" s="260">
        <f>+AA30-AA41</f>
        <v>2214280.5378862815</v>
      </c>
      <c r="AB43" s="7">
        <f>+AA43/AA$20</f>
        <v>0.49201489569903373</v>
      </c>
      <c r="AC43" s="5">
        <f>+AC30-AC41</f>
        <v>2152444.323832646</v>
      </c>
      <c r="AD43" s="7">
        <f>+AC43/AC$20</f>
        <v>0.49250089374502215</v>
      </c>
      <c r="AE43" s="5">
        <f>+AE30-AE41</f>
        <v>2263590.3190275757</v>
      </c>
      <c r="AF43" s="7">
        <f>+AE43/AE$20</f>
        <v>0.4923229828260402</v>
      </c>
      <c r="AG43" s="5">
        <f>+AG30-AG41</f>
        <v>2288723.8836578825</v>
      </c>
      <c r="AH43" s="7">
        <f>+AG43/AG$20</f>
        <v>0.49248125744583282</v>
      </c>
      <c r="AI43" s="5">
        <f>+AI30-AI41</f>
        <v>2314183.7137776935</v>
      </c>
      <c r="AJ43" s="7">
        <f>+AI43/AI$20</f>
        <v>0.49264241533227976</v>
      </c>
      <c r="AK43" s="5">
        <f>+AK30-AK41</f>
        <v>2339975.3199371984</v>
      </c>
      <c r="AL43" s="7">
        <f>+AK43/AK$20</f>
        <v>0.4928065041592708</v>
      </c>
      <c r="AM43" s="5">
        <f>+AM30-AM41</f>
        <v>2366104.3352289521</v>
      </c>
      <c r="AN43" s="7">
        <f>+AM43/AM$20</f>
        <v>0.49297357220308458</v>
      </c>
      <c r="AO43" s="7"/>
      <c r="AP43" s="193">
        <f>+AP30-AP41</f>
        <v>2147844.3123307489</v>
      </c>
      <c r="AQ43" s="7">
        <f>+AP43/AP$20</f>
        <v>0.4921678214149377</v>
      </c>
    </row>
    <row r="44" spans="1:43" customFormat="1" x14ac:dyDescent="0.25">
      <c r="A44" s="194"/>
      <c r="D44" s="409"/>
      <c r="E44" s="7"/>
      <c r="F44" s="409"/>
      <c r="G44" s="7"/>
      <c r="H44" s="260"/>
      <c r="I44" s="7"/>
      <c r="J44" s="340"/>
      <c r="K44" s="7"/>
      <c r="L44" s="340"/>
      <c r="M44" s="7"/>
      <c r="N44" s="409"/>
      <c r="O44" s="7"/>
      <c r="P44" s="254"/>
      <c r="Q44" s="7"/>
      <c r="S44" s="260"/>
      <c r="T44" s="7"/>
      <c r="U44" s="260"/>
      <c r="V44" s="7"/>
      <c r="W44" s="260"/>
      <c r="X44" s="7"/>
      <c r="Y44" s="260"/>
      <c r="Z44" s="7"/>
      <c r="AA44" s="260"/>
      <c r="AB44" s="7"/>
      <c r="AC44" s="5"/>
      <c r="AD44" s="7"/>
      <c r="AE44" s="5"/>
      <c r="AF44" s="7"/>
      <c r="AG44" s="5"/>
      <c r="AH44" s="7"/>
      <c r="AI44" s="5"/>
      <c r="AJ44" s="7"/>
      <c r="AK44" s="5"/>
      <c r="AL44" s="7"/>
      <c r="AM44" s="5"/>
      <c r="AN44" s="7"/>
      <c r="AO44" s="7"/>
      <c r="AP44" s="193"/>
      <c r="AQ44" s="7"/>
    </row>
    <row r="45" spans="1:43" customFormat="1" ht="15" hidden="1" customHeight="1" x14ac:dyDescent="0.25">
      <c r="A45" s="194"/>
      <c r="B45" t="s">
        <v>111</v>
      </c>
      <c r="D45" s="409">
        <f>D28+D41</f>
        <v>0</v>
      </c>
      <c r="E45" s="7" t="e">
        <f>D45/D20</f>
        <v>#DIV/0!</v>
      </c>
      <c r="F45" s="409">
        <f>F28+F41</f>
        <v>0</v>
      </c>
      <c r="G45" s="7" t="e">
        <f>F45/F20</f>
        <v>#DIV/0!</v>
      </c>
      <c r="H45" s="260">
        <f>H28+H41</f>
        <v>0</v>
      </c>
      <c r="I45" s="7" t="e">
        <f>H45/H20</f>
        <v>#DIV/0!</v>
      </c>
      <c r="J45" s="340">
        <f>J28+J41</f>
        <v>1848813.9893999998</v>
      </c>
      <c r="K45" s="7">
        <f>J45/J20</f>
        <v>0.47367617347810731</v>
      </c>
      <c r="L45" s="340">
        <f>L28+L41</f>
        <v>1902504.8236000002</v>
      </c>
      <c r="M45" s="7">
        <f>L45/L20</f>
        <v>0.47035306359346191</v>
      </c>
      <c r="N45" s="409">
        <f>N28+N41</f>
        <v>1899981.1228999998</v>
      </c>
      <c r="O45" s="7">
        <f>N45/N20</f>
        <v>0.46772514465854675</v>
      </c>
      <c r="P45" s="254">
        <f>P28+P41</f>
        <v>1835919.5960000001</v>
      </c>
      <c r="Q45" s="7">
        <f>P45/P20</f>
        <v>0.46198499008947214</v>
      </c>
      <c r="S45" s="260">
        <f>S28+S41</f>
        <v>2134266.9440052314</v>
      </c>
      <c r="T45" s="7">
        <f>S45/S20</f>
        <v>0.50767234143670659</v>
      </c>
      <c r="U45" s="260">
        <f>U28+U41</f>
        <v>2176666.0410151556</v>
      </c>
      <c r="V45" s="7">
        <f>U45/U20</f>
        <v>0.50775161299761018</v>
      </c>
      <c r="W45" s="260">
        <f>W28+W41</f>
        <v>2219912.363189334</v>
      </c>
      <c r="X45" s="7">
        <f>W45/W20</f>
        <v>0.50783015996571623</v>
      </c>
      <c r="Y45" s="260">
        <f>Y28+Y41</f>
        <v>2264022.8897867114</v>
      </c>
      <c r="Z45" s="7">
        <f>Y45/Y20</f>
        <v>0.50790798839532492</v>
      </c>
      <c r="AA45" s="260">
        <f>AA28+AA41</f>
        <v>2286153.4067818495</v>
      </c>
      <c r="AB45" s="7">
        <f>AA45/AA20</f>
        <v>0.50798510430096622</v>
      </c>
      <c r="AC45" s="5">
        <f>AC28+AC41</f>
        <v>2217993.0726668024</v>
      </c>
      <c r="AD45" s="7">
        <f>AC45/AC20</f>
        <v>0.50749910625497785</v>
      </c>
      <c r="AE45" s="5">
        <f>AE28+AE41</f>
        <v>2334184.7148212986</v>
      </c>
      <c r="AF45" s="7">
        <f>AE45/AE20</f>
        <v>0.50767701717395985</v>
      </c>
      <c r="AG45" s="5">
        <f>AG28+AG41</f>
        <v>2358608.0686847209</v>
      </c>
      <c r="AH45" s="7">
        <f>AG45/AG20</f>
        <v>0.50751874255416718</v>
      </c>
      <c r="AI45" s="5">
        <f>AI28+AI41</f>
        <v>2383308.1012882343</v>
      </c>
      <c r="AJ45" s="7">
        <f>AI45/AI20</f>
        <v>0.5073575846677203</v>
      </c>
      <c r="AK45" s="5">
        <f>AK28+AK41</f>
        <v>2408288.5527752824</v>
      </c>
      <c r="AL45" s="7">
        <f>AK45/AK20</f>
        <v>0.50719349584072926</v>
      </c>
      <c r="AM45" s="5">
        <f>AM28+AM41</f>
        <v>2433553.2298914264</v>
      </c>
      <c r="AN45" s="7">
        <f>AM45/AM20</f>
        <v>0.50702642779691542</v>
      </c>
      <c r="AO45" s="7"/>
      <c r="AP45" s="193">
        <f>AP28+AP41</f>
        <v>2216204.3289556564</v>
      </c>
      <c r="AQ45" s="7">
        <f>AP45/AP20</f>
        <v>0.50783217858506235</v>
      </c>
    </row>
    <row r="46" spans="1:43" customFormat="1" x14ac:dyDescent="0.25">
      <c r="A46" s="194"/>
      <c r="D46" s="409"/>
      <c r="E46" s="7"/>
      <c r="F46" s="409"/>
      <c r="G46" s="7"/>
      <c r="H46" s="260"/>
      <c r="I46" s="7"/>
      <c r="J46" s="340"/>
      <c r="K46" s="7"/>
      <c r="L46" s="340"/>
      <c r="M46" s="7"/>
      <c r="N46" s="409"/>
      <c r="O46" s="7"/>
      <c r="P46" s="254"/>
      <c r="Q46" s="7"/>
      <c r="S46" s="26"/>
      <c r="T46" s="7"/>
      <c r="U46" s="260"/>
      <c r="V46" s="7"/>
      <c r="W46" s="260"/>
      <c r="X46" s="7"/>
      <c r="Y46" s="260"/>
      <c r="Z46" s="7"/>
      <c r="AA46" s="260"/>
      <c r="AB46" s="7"/>
      <c r="AC46" s="5"/>
      <c r="AD46" s="7"/>
      <c r="AE46" s="5"/>
      <c r="AF46" s="7"/>
      <c r="AG46" s="5"/>
      <c r="AH46" s="7"/>
      <c r="AI46" s="5"/>
      <c r="AJ46" s="7"/>
      <c r="AK46" s="5"/>
      <c r="AL46" s="7"/>
      <c r="AM46" s="5"/>
      <c r="AN46" s="7"/>
      <c r="AO46" s="7"/>
      <c r="AP46" s="193"/>
      <c r="AQ46" s="7"/>
    </row>
    <row r="47" spans="1:43" customFormat="1" ht="15" hidden="1" customHeight="1" outlineLevel="1" x14ac:dyDescent="0.25">
      <c r="A47" s="194" t="s">
        <v>71</v>
      </c>
      <c r="D47" s="409"/>
      <c r="E47" s="7"/>
      <c r="F47" s="409"/>
      <c r="G47" s="7"/>
      <c r="H47" s="260"/>
      <c r="I47" s="7"/>
      <c r="J47" s="340"/>
      <c r="K47" s="7"/>
      <c r="L47" s="340"/>
      <c r="M47" s="7"/>
      <c r="N47" s="409"/>
      <c r="O47" s="7"/>
      <c r="P47" s="254"/>
      <c r="Q47" s="7"/>
      <c r="S47" s="260"/>
      <c r="T47" s="7"/>
      <c r="U47" s="260"/>
      <c r="V47" s="7"/>
      <c r="W47" s="260"/>
      <c r="X47" s="7"/>
      <c r="Y47" s="260"/>
      <c r="Z47" s="7"/>
      <c r="AA47" s="260"/>
      <c r="AB47" s="7"/>
      <c r="AC47" s="5"/>
      <c r="AD47" s="7"/>
      <c r="AE47" s="5"/>
      <c r="AF47" s="7"/>
      <c r="AG47" s="5"/>
      <c r="AH47" s="7"/>
      <c r="AI47" s="5"/>
      <c r="AJ47" s="7"/>
      <c r="AK47" s="5"/>
      <c r="AL47" s="7"/>
      <c r="AM47" s="5"/>
      <c r="AN47" s="7"/>
      <c r="AO47" s="7"/>
      <c r="AP47" s="193"/>
      <c r="AQ47" s="7"/>
    </row>
    <row r="48" spans="1:43" customFormat="1" ht="15" hidden="1" customHeight="1" outlineLevel="1" x14ac:dyDescent="0.25">
      <c r="A48" s="194"/>
      <c r="D48" s="409"/>
      <c r="E48" s="7"/>
      <c r="F48" s="409"/>
      <c r="G48" s="7"/>
      <c r="H48" s="260"/>
      <c r="I48" s="7"/>
      <c r="J48" s="340"/>
      <c r="K48" s="7"/>
      <c r="L48" s="340"/>
      <c r="M48" s="7"/>
      <c r="N48" s="409"/>
      <c r="O48" s="7"/>
      <c r="P48" s="254"/>
      <c r="Q48" s="7"/>
      <c r="S48" s="260"/>
      <c r="T48" s="7"/>
      <c r="U48" s="260"/>
      <c r="V48" s="7"/>
      <c r="W48" s="260"/>
      <c r="X48" s="7"/>
      <c r="Y48" s="260"/>
      <c r="Z48" s="7"/>
      <c r="AA48" s="260"/>
      <c r="AB48" s="7"/>
      <c r="AC48" s="5"/>
      <c r="AD48" s="7"/>
      <c r="AE48" s="5"/>
      <c r="AF48" s="7"/>
      <c r="AG48" s="5"/>
      <c r="AH48" s="7"/>
      <c r="AI48" s="5"/>
      <c r="AJ48" s="7"/>
      <c r="AK48" s="5"/>
      <c r="AL48" s="7"/>
      <c r="AM48" s="5"/>
      <c r="AN48" s="7"/>
      <c r="AO48" s="7"/>
      <c r="AP48" s="193"/>
      <c r="AQ48" s="7"/>
    </row>
    <row r="49" spans="1:43" customFormat="1" ht="15" hidden="1" customHeight="1" outlineLevel="1" x14ac:dyDescent="0.25">
      <c r="A49" s="194"/>
      <c r="B49" t="s">
        <v>272</v>
      </c>
      <c r="D49" s="409"/>
      <c r="E49" s="9"/>
      <c r="F49" s="409"/>
      <c r="G49" s="9"/>
      <c r="H49" s="260"/>
      <c r="I49" s="9"/>
      <c r="J49" s="340"/>
      <c r="K49" s="9"/>
      <c r="L49" s="340"/>
      <c r="M49" s="9"/>
      <c r="N49" s="409"/>
      <c r="O49" s="9"/>
      <c r="P49" s="254"/>
      <c r="Q49" s="9"/>
      <c r="S49" s="260"/>
      <c r="T49" s="9"/>
      <c r="U49" s="260"/>
      <c r="V49" s="9"/>
      <c r="W49" s="260"/>
      <c r="X49" s="9"/>
      <c r="Y49" s="260"/>
      <c r="Z49" s="9"/>
      <c r="AA49" s="260"/>
      <c r="AB49" s="9"/>
      <c r="AC49" s="5"/>
      <c r="AD49" s="9"/>
      <c r="AE49" s="5"/>
      <c r="AF49" s="9"/>
      <c r="AG49" s="5"/>
      <c r="AH49" s="9"/>
      <c r="AI49" s="5"/>
      <c r="AJ49" s="9"/>
      <c r="AK49" s="5"/>
      <c r="AL49" s="9"/>
      <c r="AM49" s="5"/>
      <c r="AN49" s="9"/>
      <c r="AO49" s="9"/>
      <c r="AP49" s="193">
        <f>+(S49+U49+W49+Y49+AA49)/5</f>
        <v>0</v>
      </c>
      <c r="AQ49" s="7">
        <f>+AP49/AP$20</f>
        <v>0</v>
      </c>
    </row>
    <row r="50" spans="1:43" customFormat="1" ht="15" hidden="1" customHeight="1" outlineLevel="1" x14ac:dyDescent="0.25">
      <c r="A50" s="194"/>
      <c r="B50" t="s">
        <v>527</v>
      </c>
      <c r="D50" s="409"/>
      <c r="E50" s="9"/>
      <c r="F50" s="409"/>
      <c r="G50" s="9"/>
      <c r="H50" s="260"/>
      <c r="I50" s="9"/>
      <c r="J50" s="340"/>
      <c r="K50" s="9"/>
      <c r="L50" s="340"/>
      <c r="M50" s="9"/>
      <c r="N50" s="409"/>
      <c r="O50" s="9"/>
      <c r="P50" s="254"/>
      <c r="Q50" s="9"/>
      <c r="S50" s="260"/>
      <c r="T50" s="9"/>
      <c r="U50" s="260"/>
      <c r="V50" s="9"/>
      <c r="W50" s="260"/>
      <c r="X50" s="9"/>
      <c r="Y50" s="260"/>
      <c r="Z50" s="9"/>
      <c r="AA50" s="260"/>
      <c r="AB50" s="9"/>
      <c r="AC50" s="5"/>
      <c r="AD50" s="9"/>
      <c r="AE50" s="5"/>
      <c r="AF50" s="9"/>
      <c r="AG50" s="5"/>
      <c r="AH50" s="9"/>
      <c r="AI50" s="5"/>
      <c r="AJ50" s="9"/>
      <c r="AK50" s="5"/>
      <c r="AL50" s="9"/>
      <c r="AM50" s="5"/>
      <c r="AN50" s="9"/>
      <c r="AO50" s="9"/>
      <c r="AP50" s="193">
        <f>+(S50+U50+W50+Y50+AA50)/5</f>
        <v>0</v>
      </c>
      <c r="AQ50" s="7">
        <f>+AP50/AP$20</f>
        <v>0</v>
      </c>
    </row>
    <row r="51" spans="1:43" s="427" customFormat="1" ht="15" hidden="1" customHeight="1" outlineLevel="1" x14ac:dyDescent="0.25">
      <c r="A51" s="194"/>
      <c r="B51" s="427" t="s">
        <v>11</v>
      </c>
      <c r="D51" s="409"/>
      <c r="E51" s="9"/>
      <c r="F51" s="409"/>
      <c r="G51" s="9"/>
      <c r="H51" s="409"/>
      <c r="I51" s="9"/>
      <c r="J51" s="409"/>
      <c r="K51" s="9"/>
      <c r="L51" s="409"/>
      <c r="M51" s="9"/>
      <c r="N51" s="409"/>
      <c r="O51" s="9"/>
      <c r="P51" s="409"/>
      <c r="Q51" s="9"/>
      <c r="S51" s="409"/>
      <c r="T51" s="9"/>
      <c r="U51" s="409"/>
      <c r="V51" s="9"/>
      <c r="W51" s="409"/>
      <c r="X51" s="9"/>
      <c r="Y51" s="409"/>
      <c r="Z51" s="9"/>
      <c r="AA51" s="409"/>
      <c r="AB51" s="9"/>
      <c r="AC51" s="5"/>
      <c r="AD51" s="9"/>
      <c r="AE51" s="5"/>
      <c r="AF51" s="9"/>
      <c r="AG51" s="5"/>
      <c r="AH51" s="9"/>
      <c r="AI51" s="5"/>
      <c r="AJ51" s="9"/>
      <c r="AK51" s="5"/>
      <c r="AL51" s="9"/>
      <c r="AM51" s="5"/>
      <c r="AN51" s="9"/>
      <c r="AO51" s="9"/>
      <c r="AP51" s="409"/>
      <c r="AQ51" s="7"/>
    </row>
    <row r="52" spans="1:43" s="427" customFormat="1" ht="15" hidden="1" customHeight="1" outlineLevel="1" x14ac:dyDescent="0.25">
      <c r="A52" s="194"/>
      <c r="B52" s="427" t="s">
        <v>346</v>
      </c>
      <c r="D52" s="409"/>
      <c r="E52" s="9"/>
      <c r="F52" s="409"/>
      <c r="G52" s="9"/>
      <c r="H52" s="409"/>
      <c r="I52" s="9"/>
      <c r="J52" s="409"/>
      <c r="K52" s="9"/>
      <c r="L52" s="409"/>
      <c r="M52" s="9"/>
      <c r="N52" s="409"/>
      <c r="O52" s="9"/>
      <c r="P52" s="409"/>
      <c r="Q52" s="9"/>
      <c r="S52" s="409"/>
      <c r="T52" s="9"/>
      <c r="U52" s="409"/>
      <c r="V52" s="9"/>
      <c r="W52" s="409"/>
      <c r="X52" s="9"/>
      <c r="Y52" s="409"/>
      <c r="Z52" s="9"/>
      <c r="AA52" s="409"/>
      <c r="AB52" s="9"/>
      <c r="AC52" s="5"/>
      <c r="AD52" s="9"/>
      <c r="AE52" s="5"/>
      <c r="AF52" s="9"/>
      <c r="AG52" s="5"/>
      <c r="AH52" s="9"/>
      <c r="AI52" s="5"/>
      <c r="AJ52" s="9"/>
      <c r="AK52" s="5"/>
      <c r="AL52" s="9"/>
      <c r="AM52" s="5"/>
      <c r="AN52" s="9"/>
      <c r="AO52" s="9"/>
      <c r="AP52" s="409"/>
      <c r="AQ52" s="7"/>
    </row>
    <row r="53" spans="1:43" s="427" customFormat="1" ht="15" hidden="1" customHeight="1" outlineLevel="1" x14ac:dyDescent="0.25">
      <c r="A53" s="194"/>
      <c r="B53" s="427" t="s">
        <v>13</v>
      </c>
      <c r="D53" s="409"/>
      <c r="E53" s="9"/>
      <c r="F53" s="409"/>
      <c r="G53" s="9"/>
      <c r="H53" s="409"/>
      <c r="I53" s="9"/>
      <c r="J53" s="409"/>
      <c r="K53" s="9"/>
      <c r="L53" s="409"/>
      <c r="M53" s="9"/>
      <c r="N53" s="409"/>
      <c r="O53" s="9"/>
      <c r="P53" s="409"/>
      <c r="Q53" s="9"/>
      <c r="S53" s="409"/>
      <c r="T53" s="9"/>
      <c r="U53" s="409"/>
      <c r="V53" s="9"/>
      <c r="W53" s="409"/>
      <c r="X53" s="9"/>
      <c r="Y53" s="409"/>
      <c r="Z53" s="9"/>
      <c r="AA53" s="409"/>
      <c r="AB53" s="9"/>
      <c r="AC53" s="5"/>
      <c r="AD53" s="9"/>
      <c r="AE53" s="5"/>
      <c r="AF53" s="9"/>
      <c r="AG53" s="5"/>
      <c r="AH53" s="9"/>
      <c r="AI53" s="5"/>
      <c r="AJ53" s="9"/>
      <c r="AK53" s="5"/>
      <c r="AL53" s="9"/>
      <c r="AM53" s="5"/>
      <c r="AN53" s="9"/>
      <c r="AO53" s="9"/>
      <c r="AP53" s="409"/>
      <c r="AQ53" s="7"/>
    </row>
    <row r="54" spans="1:43" customFormat="1" ht="15" hidden="1" customHeight="1" outlineLevel="1" x14ac:dyDescent="0.25">
      <c r="A54" s="194"/>
      <c r="B54" s="427" t="s">
        <v>12</v>
      </c>
      <c r="D54" s="409"/>
      <c r="E54" s="9"/>
      <c r="F54" s="409"/>
      <c r="G54" s="9"/>
      <c r="H54" s="260"/>
      <c r="I54" s="9"/>
      <c r="J54" s="340"/>
      <c r="K54" s="9"/>
      <c r="L54" s="340"/>
      <c r="M54" s="9"/>
      <c r="N54" s="409"/>
      <c r="O54" s="9"/>
      <c r="P54" s="254"/>
      <c r="Q54" s="9"/>
      <c r="S54" s="260"/>
      <c r="T54" s="9"/>
      <c r="U54" s="260"/>
      <c r="V54" s="9"/>
      <c r="W54" s="260"/>
      <c r="X54" s="9"/>
      <c r="Y54" s="260"/>
      <c r="Z54" s="9"/>
      <c r="AA54" s="260"/>
      <c r="AB54" s="9"/>
      <c r="AC54" s="5"/>
      <c r="AD54" s="9"/>
      <c r="AE54" s="5"/>
      <c r="AF54" s="9"/>
      <c r="AG54" s="5"/>
      <c r="AH54" s="9"/>
      <c r="AI54" s="5"/>
      <c r="AJ54" s="9"/>
      <c r="AK54" s="5"/>
      <c r="AL54" s="9"/>
      <c r="AM54" s="5"/>
      <c r="AN54" s="9"/>
      <c r="AO54" s="9"/>
      <c r="AP54" s="193">
        <f>+(S54+U54+W54+Y54+AA54)/5</f>
        <v>0</v>
      </c>
      <c r="AQ54" s="7">
        <f>+AP54/AP$20</f>
        <v>0</v>
      </c>
    </row>
    <row r="55" spans="1:43" customFormat="1" ht="15" hidden="1" customHeight="1" outlineLevel="1" x14ac:dyDescent="0.25">
      <c r="A55" s="194"/>
      <c r="B55" s="427" t="s">
        <v>14</v>
      </c>
      <c r="D55" s="409"/>
      <c r="E55" s="9"/>
      <c r="F55" s="409"/>
      <c r="G55" s="9"/>
      <c r="H55" s="260"/>
      <c r="I55" s="9"/>
      <c r="J55" s="340"/>
      <c r="K55" s="9"/>
      <c r="L55" s="340"/>
      <c r="M55" s="9"/>
      <c r="N55" s="409"/>
      <c r="O55" s="9"/>
      <c r="P55" s="254"/>
      <c r="Q55" s="9"/>
      <c r="S55" s="260"/>
      <c r="T55" s="9"/>
      <c r="U55" s="260"/>
      <c r="V55" s="9"/>
      <c r="W55" s="260"/>
      <c r="X55" s="9"/>
      <c r="Y55" s="260"/>
      <c r="Z55" s="9"/>
      <c r="AA55" s="260"/>
      <c r="AB55" s="9"/>
      <c r="AC55" s="5"/>
      <c r="AD55" s="9"/>
      <c r="AE55" s="5"/>
      <c r="AF55" s="9"/>
      <c r="AG55" s="5"/>
      <c r="AH55" s="9"/>
      <c r="AI55" s="5"/>
      <c r="AJ55" s="9"/>
      <c r="AK55" s="5"/>
      <c r="AL55" s="9"/>
      <c r="AM55" s="5"/>
      <c r="AN55" s="9"/>
      <c r="AO55" s="9"/>
      <c r="AP55" s="193">
        <f>+(S55+U55+W55+Y55+AA55)/5</f>
        <v>0</v>
      </c>
      <c r="AQ55" s="7">
        <f>+AP55/AP$20</f>
        <v>0</v>
      </c>
    </row>
    <row r="56" spans="1:43" customFormat="1" ht="15" hidden="1" customHeight="1" outlineLevel="1" x14ac:dyDescent="0.25">
      <c r="A56" s="194"/>
      <c r="B56" s="427" t="s">
        <v>15</v>
      </c>
      <c r="D56" s="409"/>
      <c r="E56" s="9"/>
      <c r="F56" s="409"/>
      <c r="G56" s="9"/>
      <c r="H56" s="260"/>
      <c r="I56" s="9"/>
      <c r="J56" s="340"/>
      <c r="K56" s="9"/>
      <c r="L56" s="340"/>
      <c r="M56" s="9"/>
      <c r="N56" s="409"/>
      <c r="O56" s="9"/>
      <c r="P56" s="254"/>
      <c r="Q56" s="9"/>
      <c r="S56" s="260"/>
      <c r="T56" s="9"/>
      <c r="U56" s="260"/>
      <c r="V56" s="9"/>
      <c r="W56" s="260"/>
      <c r="X56" s="9"/>
      <c r="Y56" s="260"/>
      <c r="Z56" s="9"/>
      <c r="AA56" s="260"/>
      <c r="AB56" s="9"/>
      <c r="AC56" s="5"/>
      <c r="AD56" s="9"/>
      <c r="AE56" s="5"/>
      <c r="AF56" s="9"/>
      <c r="AG56" s="5"/>
      <c r="AH56" s="9"/>
      <c r="AI56" s="5"/>
      <c r="AJ56" s="9"/>
      <c r="AK56" s="5"/>
      <c r="AL56" s="9"/>
      <c r="AM56" s="5"/>
      <c r="AN56" s="9"/>
      <c r="AO56" s="9"/>
      <c r="AP56" s="193">
        <f>+(S56+U56+W56+Y56+AA56)/5</f>
        <v>0</v>
      </c>
      <c r="AQ56" s="7">
        <f>+AP56/AP$20</f>
        <v>0</v>
      </c>
    </row>
    <row r="57" spans="1:43" customFormat="1" ht="15" hidden="1" customHeight="1" outlineLevel="1" x14ac:dyDescent="0.25">
      <c r="A57" s="194"/>
      <c r="D57" s="409"/>
      <c r="E57" s="7"/>
      <c r="F57" s="409"/>
      <c r="G57" s="7"/>
      <c r="H57" s="260"/>
      <c r="I57" s="7"/>
      <c r="J57" s="340"/>
      <c r="K57" s="7"/>
      <c r="L57" s="340"/>
      <c r="M57" s="7"/>
      <c r="N57" s="409"/>
      <c r="O57" s="7"/>
      <c r="P57" s="254"/>
      <c r="Q57" s="7"/>
      <c r="S57" s="260"/>
      <c r="T57" s="7"/>
      <c r="U57" s="260"/>
      <c r="V57" s="7"/>
      <c r="W57" s="260"/>
      <c r="X57" s="7"/>
      <c r="Y57" s="260"/>
      <c r="Z57" s="7"/>
      <c r="AA57" s="260"/>
      <c r="AB57" s="7"/>
      <c r="AC57" s="5"/>
      <c r="AD57" s="7"/>
      <c r="AE57" s="5"/>
      <c r="AF57" s="7"/>
      <c r="AG57" s="5"/>
      <c r="AH57" s="7"/>
      <c r="AI57" s="5"/>
      <c r="AJ57" s="7"/>
      <c r="AK57" s="5"/>
      <c r="AL57" s="7"/>
      <c r="AM57" s="5"/>
      <c r="AN57" s="7"/>
      <c r="AO57" s="7"/>
      <c r="AP57" s="193"/>
      <c r="AQ57" s="7"/>
    </row>
    <row r="58" spans="1:43" customFormat="1" ht="15" hidden="1" customHeight="1" outlineLevel="1" x14ac:dyDescent="0.25">
      <c r="A58" s="194" t="s">
        <v>72</v>
      </c>
      <c r="D58" s="409">
        <f>SUM(D49:D56)</f>
        <v>0</v>
      </c>
      <c r="E58" s="7" t="e">
        <f>+D58/D$20</f>
        <v>#DIV/0!</v>
      </c>
      <c r="F58" s="409">
        <f>SUM(F49:F56)</f>
        <v>0</v>
      </c>
      <c r="G58" s="7" t="e">
        <f>+F58/F$20</f>
        <v>#DIV/0!</v>
      </c>
      <c r="H58" s="260">
        <f>SUM(H49:H56)</f>
        <v>0</v>
      </c>
      <c r="I58" s="7" t="e">
        <f>+H58/H$20</f>
        <v>#DIV/0!</v>
      </c>
      <c r="J58" s="340">
        <f>SUM(J49:J56)</f>
        <v>0</v>
      </c>
      <c r="K58" s="7">
        <f>+J58/J$20</f>
        <v>0</v>
      </c>
      <c r="L58" s="340">
        <f>SUM(L49:L56)</f>
        <v>0</v>
      </c>
      <c r="M58" s="7">
        <f>+L58/L$20</f>
        <v>0</v>
      </c>
      <c r="N58" s="409">
        <f>SUM(N49:N56)</f>
        <v>0</v>
      </c>
      <c r="O58" s="7">
        <f>+N58/N$20</f>
        <v>0</v>
      </c>
      <c r="P58" s="254">
        <f>SUM(P49:P56)</f>
        <v>0</v>
      </c>
      <c r="Q58" s="7">
        <f>+P58/P$20</f>
        <v>0</v>
      </c>
      <c r="S58" s="260">
        <f>SUM(S49:S56)</f>
        <v>0</v>
      </c>
      <c r="T58" s="7">
        <f>+S58/S$20</f>
        <v>0</v>
      </c>
      <c r="U58" s="260">
        <f>SUM(U49:U56)</f>
        <v>0</v>
      </c>
      <c r="V58" s="7">
        <f>+U58/U$20</f>
        <v>0</v>
      </c>
      <c r="W58" s="260">
        <f>SUM(W49:W56)</f>
        <v>0</v>
      </c>
      <c r="X58" s="7">
        <f>+W58/W$20</f>
        <v>0</v>
      </c>
      <c r="Y58" s="260">
        <f>SUM(Y49:Y56)</f>
        <v>0</v>
      </c>
      <c r="Z58" s="7">
        <f>+Y58/Y$20</f>
        <v>0</v>
      </c>
      <c r="AA58" s="260">
        <f>SUM(AA49:AA56)</f>
        <v>0</v>
      </c>
      <c r="AB58" s="7">
        <f>+AA58/AA$20</f>
        <v>0</v>
      </c>
      <c r="AC58" s="5">
        <f>SUM(AC49:AC56)</f>
        <v>0</v>
      </c>
      <c r="AD58" s="7">
        <f>+AC58/AC$20</f>
        <v>0</v>
      </c>
      <c r="AE58" s="5">
        <f>SUM(AE49:AE56)</f>
        <v>0</v>
      </c>
      <c r="AF58" s="7">
        <f>+AE58/AE$20</f>
        <v>0</v>
      </c>
      <c r="AG58" s="5">
        <f>SUM(AG49:AG56)</f>
        <v>0</v>
      </c>
      <c r="AH58" s="7">
        <f>+AG58/AG$20</f>
        <v>0</v>
      </c>
      <c r="AI58" s="5">
        <f>SUM(AI49:AI56)</f>
        <v>0</v>
      </c>
      <c r="AJ58" s="7">
        <f>+AI58/AI$20</f>
        <v>0</v>
      </c>
      <c r="AK58" s="5">
        <f>SUM(AK49:AK56)</f>
        <v>0</v>
      </c>
      <c r="AL58" s="7">
        <f>+AK58/AK$20</f>
        <v>0</v>
      </c>
      <c r="AM58" s="5">
        <f>SUM(AM49:AM56)</f>
        <v>0</v>
      </c>
      <c r="AN58" s="7">
        <f>+AM58/AM$20</f>
        <v>0</v>
      </c>
      <c r="AO58" s="7"/>
      <c r="AP58" s="193">
        <f>SUM(AP49:AP56)</f>
        <v>0</v>
      </c>
      <c r="AQ58" s="7">
        <f>+AP58/AP$20</f>
        <v>0</v>
      </c>
    </row>
    <row r="59" spans="1:43" customFormat="1" ht="15" hidden="1" customHeight="1" outlineLevel="1" x14ac:dyDescent="0.25">
      <c r="A59" s="194"/>
      <c r="D59" s="409"/>
      <c r="E59" s="7"/>
      <c r="F59" s="409"/>
      <c r="G59" s="7"/>
      <c r="H59" s="260"/>
      <c r="I59" s="7"/>
      <c r="J59" s="340"/>
      <c r="K59" s="7"/>
      <c r="L59" s="340"/>
      <c r="M59" s="7"/>
      <c r="N59" s="409"/>
      <c r="O59" s="7"/>
      <c r="P59" s="254"/>
      <c r="Q59" s="7"/>
      <c r="S59" s="260"/>
      <c r="T59" s="7"/>
      <c r="U59" s="260"/>
      <c r="V59" s="7"/>
      <c r="W59" s="260"/>
      <c r="X59" s="7"/>
      <c r="Y59" s="260"/>
      <c r="Z59" s="7"/>
      <c r="AA59" s="260"/>
      <c r="AB59" s="7"/>
      <c r="AC59" s="5"/>
      <c r="AD59" s="7"/>
      <c r="AE59" s="5"/>
      <c r="AF59" s="7"/>
      <c r="AG59" s="5"/>
      <c r="AH59" s="7"/>
      <c r="AI59" s="5"/>
      <c r="AJ59" s="7"/>
      <c r="AK59" s="5"/>
      <c r="AL59" s="7"/>
      <c r="AM59" s="5"/>
      <c r="AN59" s="7"/>
      <c r="AO59" s="7"/>
      <c r="AP59" s="193"/>
      <c r="AQ59" s="7"/>
    </row>
    <row r="60" spans="1:43" customFormat="1" ht="15" hidden="1" customHeight="1" outlineLevel="1" x14ac:dyDescent="0.25">
      <c r="A60" s="194" t="s">
        <v>22</v>
      </c>
      <c r="D60" s="166">
        <f>+D43-D58</f>
        <v>0</v>
      </c>
      <c r="E60" s="15" t="e">
        <f>+D60/D$20</f>
        <v>#DIV/0!</v>
      </c>
      <c r="F60" s="166">
        <f>+F43-F58</f>
        <v>0</v>
      </c>
      <c r="G60" s="15" t="e">
        <f>+F60/F$20</f>
        <v>#DIV/0!</v>
      </c>
      <c r="H60" s="166">
        <f>+H43-H58</f>
        <v>0</v>
      </c>
      <c r="I60" s="15" t="e">
        <f>+H60/H$20</f>
        <v>#DIV/0!</v>
      </c>
      <c r="J60" s="166">
        <f>+J43-J58</f>
        <v>2054303.9906000004</v>
      </c>
      <c r="K60" s="15">
        <f>+J60/J$20</f>
        <v>0.52632382652189269</v>
      </c>
      <c r="L60" s="166">
        <f>+L43-L58</f>
        <v>2142339.2963999994</v>
      </c>
      <c r="M60" s="15">
        <f>+L60/L$20</f>
        <v>0.52964693640653815</v>
      </c>
      <c r="N60" s="166">
        <f>+N43-N58</f>
        <v>2162193.3071000003</v>
      </c>
      <c r="O60" s="15">
        <f>+N60/N$20</f>
        <v>0.53227485534145325</v>
      </c>
      <c r="P60" s="166">
        <f>+P43-P58</f>
        <v>2138061.4539999999</v>
      </c>
      <c r="Q60" s="15">
        <f>+P60/P$20</f>
        <v>0.53801500991052786</v>
      </c>
      <c r="S60" s="166">
        <f>+S43-S58</f>
        <v>2069757.5217856008</v>
      </c>
      <c r="T60" s="15">
        <f>+S60/S$20</f>
        <v>0.49232765856329336</v>
      </c>
      <c r="U60" s="166">
        <f>+U43-U58</f>
        <v>2110205.6996077551</v>
      </c>
      <c r="V60" s="15">
        <f>+U60/U$20</f>
        <v>0.49224838700238982</v>
      </c>
      <c r="W60" s="166">
        <f>+W43-W58</f>
        <v>2151455.3463204773</v>
      </c>
      <c r="X60" s="15">
        <f>+W60/W$20</f>
        <v>0.49216984003428377</v>
      </c>
      <c r="Y60" s="166">
        <f>+Y43-Y58</f>
        <v>2193522.4560536318</v>
      </c>
      <c r="Z60" s="15">
        <f>+Y60/Y$20</f>
        <v>0.49209201160467514</v>
      </c>
      <c r="AA60" s="166">
        <f>+AA43-AA58</f>
        <v>2214280.5378862815</v>
      </c>
      <c r="AB60" s="15">
        <f>+AA60/AA$20</f>
        <v>0.49201489569903373</v>
      </c>
      <c r="AC60" s="14">
        <f>+AC43-AC58</f>
        <v>2152444.323832646</v>
      </c>
      <c r="AD60" s="15">
        <f>+AC60/AC$20</f>
        <v>0.49250089374502215</v>
      </c>
      <c r="AE60" s="14">
        <f>+AE43-AE58</f>
        <v>2263590.3190275757</v>
      </c>
      <c r="AF60" s="15">
        <f>+AE60/AE$20</f>
        <v>0.4923229828260402</v>
      </c>
      <c r="AG60" s="14">
        <f>+AG43-AG58</f>
        <v>2288723.8836578825</v>
      </c>
      <c r="AH60" s="15">
        <f>+AG60/AG$20</f>
        <v>0.49248125744583282</v>
      </c>
      <c r="AI60" s="14">
        <f>+AI43-AI58</f>
        <v>2314183.7137776935</v>
      </c>
      <c r="AJ60" s="15">
        <f>+AI60/AI$20</f>
        <v>0.49264241533227976</v>
      </c>
      <c r="AK60" s="14">
        <f>+AK43-AK58</f>
        <v>2339975.3199371984</v>
      </c>
      <c r="AL60" s="15">
        <f>+AK60/AK$20</f>
        <v>0.4928065041592708</v>
      </c>
      <c r="AM60" s="14">
        <f>+AM43-AM58</f>
        <v>2366104.3352289521</v>
      </c>
      <c r="AN60" s="15">
        <f>+AM60/AM$20</f>
        <v>0.49297357220308458</v>
      </c>
      <c r="AO60" s="15"/>
      <c r="AP60" s="166">
        <f>+AP43-AP58</f>
        <v>2147844.3123307489</v>
      </c>
      <c r="AQ60" s="15">
        <f>+AP60/AP$20</f>
        <v>0.4921678214149377</v>
      </c>
    </row>
    <row r="61" spans="1:43" customFormat="1" ht="15" hidden="1" customHeight="1" outlineLevel="1" x14ac:dyDescent="0.25">
      <c r="A61" s="194"/>
      <c r="D61" s="409"/>
      <c r="E61" s="7"/>
      <c r="F61" s="409"/>
      <c r="G61" s="7"/>
      <c r="H61" s="260"/>
      <c r="I61" s="7"/>
      <c r="J61" s="340"/>
      <c r="K61" s="7"/>
      <c r="L61" s="340"/>
      <c r="M61" s="7"/>
      <c r="N61" s="409"/>
      <c r="O61" s="7"/>
      <c r="P61" s="254"/>
      <c r="Q61" s="7"/>
      <c r="S61" s="260"/>
      <c r="T61" s="7"/>
      <c r="U61" s="260"/>
      <c r="V61" s="7"/>
      <c r="W61" s="260"/>
      <c r="X61" s="7"/>
      <c r="Y61" s="260"/>
      <c r="Z61" s="7"/>
      <c r="AA61" s="260"/>
      <c r="AB61" s="7"/>
      <c r="AC61" s="5"/>
      <c r="AD61" s="7"/>
      <c r="AE61" s="5"/>
      <c r="AF61" s="7"/>
      <c r="AG61" s="5"/>
      <c r="AH61" s="7"/>
      <c r="AI61" s="5"/>
      <c r="AJ61" s="7"/>
      <c r="AK61" s="5"/>
      <c r="AL61" s="7"/>
      <c r="AM61" s="5"/>
      <c r="AN61" s="7"/>
      <c r="AO61" s="7"/>
      <c r="AP61" s="193"/>
      <c r="AQ61" s="7"/>
    </row>
    <row r="62" spans="1:43" customFormat="1" collapsed="1" x14ac:dyDescent="0.25">
      <c r="A62" s="194" t="s">
        <v>23</v>
      </c>
      <c r="D62" s="409"/>
      <c r="E62" s="7"/>
      <c r="F62" s="409"/>
      <c r="G62" s="7"/>
      <c r="H62" s="260"/>
      <c r="I62" s="7"/>
      <c r="J62" s="340"/>
      <c r="K62" s="7"/>
      <c r="L62" s="340"/>
      <c r="M62" s="7"/>
      <c r="N62" s="409"/>
      <c r="O62" s="7"/>
      <c r="P62" s="254"/>
      <c r="Q62" s="7"/>
      <c r="S62" s="260"/>
      <c r="T62" s="7"/>
      <c r="U62" s="260"/>
      <c r="V62" s="7"/>
      <c r="W62" s="260"/>
      <c r="X62" s="7"/>
      <c r="Y62" s="260"/>
      <c r="Z62" s="7"/>
      <c r="AA62" s="260"/>
      <c r="AB62" s="7"/>
      <c r="AC62" s="5"/>
      <c r="AD62" s="7"/>
      <c r="AE62" s="5"/>
      <c r="AF62" s="7"/>
      <c r="AG62" s="5"/>
      <c r="AH62" s="7"/>
      <c r="AI62" s="5"/>
      <c r="AJ62" s="7"/>
      <c r="AK62" s="5"/>
      <c r="AL62" s="7"/>
      <c r="AM62" s="5"/>
      <c r="AN62" s="7"/>
      <c r="AO62" s="7"/>
      <c r="AP62" s="193"/>
      <c r="AQ62" s="7"/>
    </row>
    <row r="63" spans="1:43" customFormat="1" x14ac:dyDescent="0.25">
      <c r="A63" s="194"/>
      <c r="D63" s="409"/>
      <c r="E63" s="7"/>
      <c r="F63" s="409"/>
      <c r="G63" s="7"/>
      <c r="H63" s="260"/>
      <c r="I63" s="7"/>
      <c r="J63" s="340"/>
      <c r="K63" s="7"/>
      <c r="L63" s="340"/>
      <c r="M63" s="7"/>
      <c r="N63" s="409"/>
      <c r="O63" s="7"/>
      <c r="P63" s="254"/>
      <c r="Q63" s="7"/>
      <c r="S63" s="260"/>
      <c r="T63" s="7"/>
      <c r="U63" s="260"/>
      <c r="V63" s="7"/>
      <c r="W63" s="260"/>
      <c r="X63" s="7"/>
      <c r="Y63" s="260"/>
      <c r="Z63" s="7"/>
      <c r="AA63" s="260"/>
      <c r="AB63" s="7"/>
      <c r="AC63" s="5"/>
      <c r="AD63" s="7"/>
      <c r="AE63" s="5"/>
      <c r="AF63" s="7"/>
      <c r="AG63" s="5"/>
      <c r="AH63" s="7"/>
      <c r="AI63" s="5"/>
      <c r="AJ63" s="7"/>
      <c r="AK63" s="5"/>
      <c r="AL63" s="7"/>
      <c r="AM63" s="5"/>
      <c r="AN63" s="7"/>
      <c r="AO63" s="7"/>
      <c r="AP63" s="193"/>
      <c r="AQ63" s="7"/>
    </row>
    <row r="64" spans="1:43" customFormat="1" x14ac:dyDescent="0.25">
      <c r="A64" s="194"/>
      <c r="B64" t="s">
        <v>24</v>
      </c>
      <c r="D64" s="11"/>
      <c r="E64" s="7" t="e">
        <f>+D64/D$20</f>
        <v>#DIV/0!</v>
      </c>
      <c r="F64" s="11"/>
      <c r="G64" s="7" t="e">
        <f>+F64/F$20</f>
        <v>#DIV/0!</v>
      </c>
      <c r="H64" s="11"/>
      <c r="I64" s="7" t="e">
        <f>+H64/H$20</f>
        <v>#DIV/0!</v>
      </c>
      <c r="J64" s="237">
        <v>59919.519999999997</v>
      </c>
      <c r="K64" s="7">
        <f t="shared" ref="K64:K71" si="24">+J64/J$20</f>
        <v>1.5351706073716992E-2</v>
      </c>
      <c r="L64" s="237">
        <v>42186.98</v>
      </c>
      <c r="M64" s="7">
        <f t="shared" ref="M64:M71" si="25">+L64/L$20</f>
        <v>1.0429816019708568E-2</v>
      </c>
      <c r="N64" s="237">
        <v>38079.47</v>
      </c>
      <c r="O64" s="7">
        <f t="shared" ref="O64:O67" si="26">+N64/N$20</f>
        <v>9.374159248006492E-3</v>
      </c>
      <c r="P64" s="409">
        <f>IF(H64+J64+L64=0,0,((+(L64+J64+H64))/(COUNTA(H64,J64,L64))))</f>
        <v>51053.25</v>
      </c>
      <c r="Q64" s="7">
        <f>+P64/P$20</f>
        <v>1.2846878069536842E-2</v>
      </c>
      <c r="S64" s="11">
        <f>+J64*1.035</f>
        <v>62016.703199999989</v>
      </c>
      <c r="T64" s="7">
        <f>+S64/S$20</f>
        <v>1.4751746500203545E-2</v>
      </c>
      <c r="U64" s="11">
        <f>+S64*1.035</f>
        <v>64187.28781199998</v>
      </c>
      <c r="V64" s="7">
        <f>+U64/U$20</f>
        <v>1.4972990025279633E-2</v>
      </c>
      <c r="W64" s="11">
        <f>+U64*1.035</f>
        <v>66433.842885419974</v>
      </c>
      <c r="X64" s="7">
        <f>+W64/W$20</f>
        <v>1.5197495909780057E-2</v>
      </c>
      <c r="Y64" s="11">
        <f>+W64*1.035</f>
        <v>68759.027386409667</v>
      </c>
      <c r="Z64" s="7">
        <f>+Y64/Y$20</f>
        <v>1.5425311926568212E-2</v>
      </c>
      <c r="AA64" s="11">
        <f>+Y64*1.035</f>
        <v>71165.593344933994</v>
      </c>
      <c r="AB64" s="7">
        <f>+AA64/AA$20</f>
        <v>1.5813051412352605E-2</v>
      </c>
      <c r="AC64" s="8">
        <f>+AA64*1.035</f>
        <v>73656.389112006684</v>
      </c>
      <c r="AD64" s="7">
        <f>+AC64/AC$20</f>
        <v>1.6853322088769104E-2</v>
      </c>
      <c r="AE64" s="8">
        <f>+AC64*1.035</f>
        <v>76234.362730926907</v>
      </c>
      <c r="AF64" s="7">
        <f>+AE64/AE$20</f>
        <v>1.6580707444293952E-2</v>
      </c>
      <c r="AG64" s="8">
        <f>+AE64*1.035</f>
        <v>78902.565426509347</v>
      </c>
      <c r="AH64" s="7">
        <f>+AG64/AG$20</f>
        <v>1.6978035190005427E-2</v>
      </c>
      <c r="AI64" s="8">
        <f>+AG64*1.035</f>
        <v>81664.155216437168</v>
      </c>
      <c r="AJ64" s="7">
        <f>+AI64/AI$20</f>
        <v>1.7384629592013676E-2</v>
      </c>
      <c r="AK64" s="8">
        <f>+AI64*1.035</f>
        <v>84522.400649012459</v>
      </c>
      <c r="AL64" s="7">
        <f>+AK64/AK$20</f>
        <v>1.7800695773196026E-2</v>
      </c>
      <c r="AM64" s="8">
        <f>+AK64*1.035</f>
        <v>87480.684671727882</v>
      </c>
      <c r="AN64" s="7">
        <f>+AM64/AM$20</f>
        <v>1.8226442925316028E-2</v>
      </c>
      <c r="AO64" s="7"/>
      <c r="AP64" s="194">
        <f>+(S64+U64+W64+Y64+AA64)/5</f>
        <v>66512.490925752718</v>
      </c>
      <c r="AQ64" s="7">
        <f>+AP64/AP$20</f>
        <v>1.5241005862424717E-2</v>
      </c>
    </row>
    <row r="65" spans="1:43" customFormat="1" x14ac:dyDescent="0.25">
      <c r="A65" s="194"/>
      <c r="B65" s="103" t="s">
        <v>25</v>
      </c>
      <c r="C65" s="165"/>
      <c r="D65" s="11"/>
      <c r="E65" s="7" t="e">
        <f>+D65/D$20</f>
        <v>#DIV/0!</v>
      </c>
      <c r="F65" s="11"/>
      <c r="G65" s="7" t="e">
        <f>+F65/F$20</f>
        <v>#DIV/0!</v>
      </c>
      <c r="H65" s="11"/>
      <c r="I65" s="7" t="e">
        <f>+H65/H$20</f>
        <v>#DIV/0!</v>
      </c>
      <c r="J65" s="237"/>
      <c r="K65" s="7">
        <f t="shared" si="24"/>
        <v>0</v>
      </c>
      <c r="L65" s="237"/>
      <c r="M65" s="7">
        <f t="shared" si="25"/>
        <v>0</v>
      </c>
      <c r="N65" s="237"/>
      <c r="O65" s="7">
        <f t="shared" si="26"/>
        <v>0</v>
      </c>
      <c r="P65" s="409">
        <f>IF(H65+J65+L65=0,0,((+(L65+J65+H65))/(COUNTA(H65,J65,L65))))</f>
        <v>0</v>
      </c>
      <c r="Q65" s="7">
        <f>+P65/P$20</f>
        <v>0</v>
      </c>
      <c r="S65" s="11"/>
      <c r="T65" s="7">
        <f>+S65/S$20</f>
        <v>0</v>
      </c>
      <c r="U65" s="11">
        <f>+S65*1.035</f>
        <v>0</v>
      </c>
      <c r="V65" s="7">
        <f>+U65/U$20</f>
        <v>0</v>
      </c>
      <c r="W65" s="11">
        <f>+U65*1.035</f>
        <v>0</v>
      </c>
      <c r="X65" s="7">
        <f>+W65/W$20</f>
        <v>0</v>
      </c>
      <c r="Y65" s="11">
        <f>+W65*1.035</f>
        <v>0</v>
      </c>
      <c r="Z65" s="7">
        <f>+Y65/Y$20</f>
        <v>0</v>
      </c>
      <c r="AA65" s="11">
        <f>+Y65*1.035</f>
        <v>0</v>
      </c>
      <c r="AB65" s="7">
        <f>+AA65/AA$20</f>
        <v>0</v>
      </c>
      <c r="AC65" s="8">
        <f>+AA65*1.035</f>
        <v>0</v>
      </c>
      <c r="AD65" s="7">
        <f>+AC65/AC$20</f>
        <v>0</v>
      </c>
      <c r="AE65" s="8">
        <f>+AC65*1.035</f>
        <v>0</v>
      </c>
      <c r="AF65" s="7">
        <f>+AE65/AE$20</f>
        <v>0</v>
      </c>
      <c r="AG65" s="8">
        <f>+AE65*1.035</f>
        <v>0</v>
      </c>
      <c r="AH65" s="7">
        <f>+AG65/AG$20</f>
        <v>0</v>
      </c>
      <c r="AI65" s="8">
        <f>+AG65*1.035</f>
        <v>0</v>
      </c>
      <c r="AJ65" s="7">
        <f>+AI65/AI$20</f>
        <v>0</v>
      </c>
      <c r="AK65" s="8">
        <f>+AI65*1.035</f>
        <v>0</v>
      </c>
      <c r="AL65" s="7">
        <f>+AK65/AK$20</f>
        <v>0</v>
      </c>
      <c r="AM65" s="8">
        <f>+AK65*1.035</f>
        <v>0</v>
      </c>
      <c r="AN65" s="7">
        <f>+AM65/AM$20</f>
        <v>0</v>
      </c>
      <c r="AO65" s="7"/>
      <c r="AP65" s="194">
        <f>+(S65+U65+W65+Y65+AA65)/5</f>
        <v>0</v>
      </c>
      <c r="AQ65" s="7">
        <f>+AP65/AP$20</f>
        <v>0</v>
      </c>
    </row>
    <row r="66" spans="1:43" customFormat="1" x14ac:dyDescent="0.25">
      <c r="A66" s="194"/>
      <c r="B66" t="s">
        <v>802</v>
      </c>
      <c r="D66" s="235"/>
      <c r="E66" s="7" t="e">
        <f>+D66/D$20</f>
        <v>#DIV/0!</v>
      </c>
      <c r="F66" s="235"/>
      <c r="G66" s="7" t="e">
        <f>+F66/F$20</f>
        <v>#DIV/0!</v>
      </c>
      <c r="H66" s="235"/>
      <c r="I66" s="7" t="e">
        <f>+H66/H$20</f>
        <v>#DIV/0!</v>
      </c>
      <c r="J66" s="235">
        <v>68023.960000000006</v>
      </c>
      <c r="K66" s="7">
        <f t="shared" si="24"/>
        <v>1.7428107566453833E-2</v>
      </c>
      <c r="L66" s="235">
        <v>67773.929999999993</v>
      </c>
      <c r="M66" s="7">
        <f t="shared" si="25"/>
        <v>1.6755634578076151E-2</v>
      </c>
      <c r="N66" s="235">
        <v>67773.919999999998</v>
      </c>
      <c r="O66" s="7">
        <f t="shared" si="26"/>
        <v>1.6684148149689375E-2</v>
      </c>
      <c r="P66" s="409">
        <f>IF(H66+J66+L66=0,0,((+(L66+J66+H66))/(COUNTA(H66,J66,L66))))</f>
        <v>67898.945000000007</v>
      </c>
      <c r="Q66" s="7">
        <f>+P66/P$20</f>
        <v>1.7085875384332799E-2</v>
      </c>
      <c r="S66" s="11">
        <f>L66*1.03</f>
        <v>69807.147899999996</v>
      </c>
      <c r="T66" s="7">
        <f>+S66/S$20</f>
        <v>1.6604838641648665E-2</v>
      </c>
      <c r="U66" s="11">
        <f>S66*1.03</f>
        <v>71901.362336999999</v>
      </c>
      <c r="V66" s="7">
        <f>+U66/U$20</f>
        <v>1.6772454761278269E-2</v>
      </c>
      <c r="W66" s="11">
        <f>U66*1.03</f>
        <v>74058.403207109994</v>
      </c>
      <c r="X66" s="7">
        <f>+W66/W$20</f>
        <v>1.6941700659497853E-2</v>
      </c>
      <c r="Y66" s="11">
        <f>W66*1.03</f>
        <v>76280.155303323292</v>
      </c>
      <c r="Z66" s="7">
        <f>+Y66/Y$20</f>
        <v>1.7112592107336788E-2</v>
      </c>
      <c r="AA66" s="11">
        <f>Y66*1.03</f>
        <v>78568.559962422994</v>
      </c>
      <c r="AB66" s="7">
        <f>+AA66/AA$20</f>
        <v>1.745799647954099E-2</v>
      </c>
      <c r="AC66" s="8">
        <f>+AA66*1.035</f>
        <v>81318.459561107797</v>
      </c>
      <c r="AD66" s="7">
        <f>+AC66/AC$20</f>
        <v>1.860648081270784E-2</v>
      </c>
      <c r="AE66" s="8">
        <f>+AC66*1.035</f>
        <v>84164.60564574656</v>
      </c>
      <c r="AF66" s="7">
        <f>+AE66/AE$20</f>
        <v>1.830550756096715E-2</v>
      </c>
      <c r="AG66" s="8">
        <f>+AE66*1.035</f>
        <v>87110.366843347685</v>
      </c>
      <c r="AH66" s="7">
        <f>+AG66/AG$20</f>
        <v>1.8744167134314031E-2</v>
      </c>
      <c r="AI66" s="8">
        <f>+AG66*1.035</f>
        <v>90159.229682864854</v>
      </c>
      <c r="AJ66" s="7">
        <f>+AI66/AI$20</f>
        <v>1.9193057323421754E-2</v>
      </c>
      <c r="AK66" s="8">
        <f>+AI66*1.035</f>
        <v>93314.802721765111</v>
      </c>
      <c r="AL66" s="7">
        <f>+AK66/AK$20</f>
        <v>1.9652404588976293E-2</v>
      </c>
      <c r="AM66" s="8">
        <f>+AK66*1.035</f>
        <v>96580.820817026877</v>
      </c>
      <c r="AN66" s="7">
        <f>+AM66/AM$20</f>
        <v>2.0122439883813788E-2</v>
      </c>
      <c r="AO66" s="7"/>
      <c r="AP66" s="194">
        <f>+(S66+U66+W66+Y66+AA66)/5</f>
        <v>74123.125741971264</v>
      </c>
      <c r="AQ66" s="7">
        <f>+AP66/AP$20</f>
        <v>1.6984944906599794E-2</v>
      </c>
    </row>
    <row r="67" spans="1:43" customFormat="1" x14ac:dyDescent="0.25">
      <c r="A67" s="194"/>
      <c r="B67" t="s">
        <v>101</v>
      </c>
      <c r="D67" s="11">
        <f>D20*0.04</f>
        <v>0</v>
      </c>
      <c r="E67" s="7" t="e">
        <f>+D67/D$20</f>
        <v>#DIV/0!</v>
      </c>
      <c r="F67" s="11">
        <f>F20*0.04</f>
        <v>0</v>
      </c>
      <c r="G67" s="7" t="e">
        <f>+F67/F$20</f>
        <v>#DIV/0!</v>
      </c>
      <c r="H67" s="11">
        <f>H20*0.04</f>
        <v>0</v>
      </c>
      <c r="I67" s="7" t="e">
        <f>+H67/H$20</f>
        <v>#DIV/0!</v>
      </c>
      <c r="J67" s="11">
        <f>J20*0.04</f>
        <v>156124.71919999999</v>
      </c>
      <c r="K67" s="7">
        <f t="shared" si="24"/>
        <v>0.04</v>
      </c>
      <c r="L67" s="11">
        <f>L20*0.04</f>
        <v>161793.76479999998</v>
      </c>
      <c r="M67" s="7">
        <f t="shared" si="25"/>
        <v>0.04</v>
      </c>
      <c r="N67" s="11">
        <f>N20*0.04</f>
        <v>162486.97720000002</v>
      </c>
      <c r="O67" s="7">
        <f t="shared" si="26"/>
        <v>0.04</v>
      </c>
      <c r="P67" s="409">
        <f>IF(H67+J67+L67=0,0,((+(L67+J67+H67))/(COUNTA(H67,J67,L67))))</f>
        <v>105972.82799999998</v>
      </c>
      <c r="Q67" s="7">
        <f>+P67/P$20</f>
        <v>2.6666666666666658E-2</v>
      </c>
      <c r="S67" s="194">
        <f>S20*T67</f>
        <v>168160.9786316333</v>
      </c>
      <c r="T67" s="41">
        <v>0.04</v>
      </c>
      <c r="U67" s="194">
        <f>U20*V67</f>
        <v>171474.86962491643</v>
      </c>
      <c r="V67" s="41">
        <f>+T67</f>
        <v>0.04</v>
      </c>
      <c r="W67" s="194">
        <f>W20*X67</f>
        <v>174854.70838039246</v>
      </c>
      <c r="X67" s="41">
        <f>+V67</f>
        <v>0.04</v>
      </c>
      <c r="Y67" s="194">
        <f>Y20*Z67</f>
        <v>178301.81383361373</v>
      </c>
      <c r="Z67" s="41">
        <f>+X67</f>
        <v>0.04</v>
      </c>
      <c r="AA67" s="194">
        <f>AA20*AB67</f>
        <v>180017.35778672525</v>
      </c>
      <c r="AB67" s="41">
        <f>+Z67</f>
        <v>0.04</v>
      </c>
      <c r="AC67" s="8">
        <f>AC20*0.04</f>
        <v>174817.49585997793</v>
      </c>
      <c r="AD67" s="7">
        <f>+AC67/AC$20</f>
        <v>0.04</v>
      </c>
      <c r="AE67" s="8">
        <f>AE20*0.04</f>
        <v>183911.00135395498</v>
      </c>
      <c r="AF67" s="7">
        <f>+AE67/AE$20</f>
        <v>0.04</v>
      </c>
      <c r="AG67" s="8">
        <f>AG20*0.04</f>
        <v>185893.27809370414</v>
      </c>
      <c r="AH67" s="7">
        <f>+AG67/AG$20</f>
        <v>0.04</v>
      </c>
      <c r="AI67" s="8">
        <f>AI20*0.04</f>
        <v>187899.67260263712</v>
      </c>
      <c r="AJ67" s="7">
        <f>+AI67/AI$20</f>
        <v>0.04</v>
      </c>
      <c r="AK67" s="8">
        <f>AK20*0.04</f>
        <v>189930.55490849924</v>
      </c>
      <c r="AL67" s="7">
        <f>+AK67/AK$20</f>
        <v>0.04</v>
      </c>
      <c r="AM67" s="8">
        <f>AM20*0.04</f>
        <v>191986.30260481514</v>
      </c>
      <c r="AN67" s="7">
        <f>+AM67/AM$20</f>
        <v>0.04</v>
      </c>
      <c r="AO67" s="7"/>
      <c r="AP67" s="194">
        <f>+(S67+U67+W67+Y67+AA67)/5</f>
        <v>174561.94565145625</v>
      </c>
      <c r="AQ67" s="7">
        <f>+AP67/AP$20</f>
        <v>4.0000000000000015E-2</v>
      </c>
    </row>
    <row r="68" spans="1:43" customFormat="1" x14ac:dyDescent="0.25">
      <c r="A68" s="194"/>
      <c r="D68" s="409"/>
      <c r="E68" s="7"/>
      <c r="F68" s="409"/>
      <c r="G68" s="7"/>
      <c r="H68" s="260"/>
      <c r="I68" s="7"/>
      <c r="J68" s="340"/>
      <c r="K68" s="7"/>
      <c r="L68" s="340"/>
      <c r="M68" s="7"/>
      <c r="N68" s="409"/>
      <c r="O68" s="7"/>
      <c r="P68" s="254"/>
      <c r="Q68" s="7"/>
      <c r="S68" s="260"/>
      <c r="T68" s="7"/>
      <c r="U68" s="260"/>
      <c r="V68" s="7"/>
      <c r="W68" s="260"/>
      <c r="X68" s="7"/>
      <c r="Y68" s="260"/>
      <c r="Z68" s="7"/>
      <c r="AA68" s="260"/>
      <c r="AB68" s="7"/>
      <c r="AC68" s="5"/>
      <c r="AD68" s="7"/>
      <c r="AE68" s="5"/>
      <c r="AF68" s="7"/>
      <c r="AG68" s="5"/>
      <c r="AH68" s="7"/>
      <c r="AI68" s="5"/>
      <c r="AJ68" s="7"/>
      <c r="AK68" s="5"/>
      <c r="AL68" s="7"/>
      <c r="AM68" s="5"/>
      <c r="AN68" s="7"/>
      <c r="AO68" s="7"/>
      <c r="AP68" s="193"/>
      <c r="AQ68" s="7"/>
    </row>
    <row r="69" spans="1:43" customFormat="1" x14ac:dyDescent="0.25">
      <c r="A69" s="194" t="s">
        <v>27</v>
      </c>
      <c r="D69" s="409">
        <f>SUM(D64:D67)</f>
        <v>0</v>
      </c>
      <c r="E69" s="7" t="e">
        <f>+D69/D$20</f>
        <v>#DIV/0!</v>
      </c>
      <c r="F69" s="409">
        <f>SUM(F64:F67)</f>
        <v>0</v>
      </c>
      <c r="G69" s="7" t="e">
        <f>+F69/F$20</f>
        <v>#DIV/0!</v>
      </c>
      <c r="H69" s="260">
        <f>SUM(H64:H67)</f>
        <v>0</v>
      </c>
      <c r="I69" s="7" t="e">
        <f>+H69/H$20</f>
        <v>#DIV/0!</v>
      </c>
      <c r="J69" s="340">
        <f>SUM(J64:J67)</f>
        <v>284068.19920000003</v>
      </c>
      <c r="K69" s="7">
        <f t="shared" si="24"/>
        <v>7.2779813640170832E-2</v>
      </c>
      <c r="L69" s="340">
        <f>SUM(L64:L67)</f>
        <v>271754.67479999998</v>
      </c>
      <c r="M69" s="7">
        <f t="shared" si="25"/>
        <v>6.7185450597784718E-2</v>
      </c>
      <c r="N69" s="409">
        <f>SUM(N64:N67)</f>
        <v>268340.36720000004</v>
      </c>
      <c r="O69" s="7">
        <f t="shared" ref="O69" si="27">+N69/N$20</f>
        <v>6.6058307397695873E-2</v>
      </c>
      <c r="P69" s="254">
        <f>SUM(P64:P67)</f>
        <v>224925.02299999999</v>
      </c>
      <c r="Q69" s="7">
        <f>+P69/P$20</f>
        <v>5.6599420120536301E-2</v>
      </c>
      <c r="S69" s="260">
        <f>SUM(S64:S67)</f>
        <v>299984.8297316333</v>
      </c>
      <c r="T69" s="7">
        <f>+S69/S$20</f>
        <v>7.1356585141852211E-2</v>
      </c>
      <c r="U69" s="260">
        <f>SUM(U64:U67)</f>
        <v>307563.51977391646</v>
      </c>
      <c r="V69" s="7">
        <f>+U69/U$20</f>
        <v>7.1745444786557908E-2</v>
      </c>
      <c r="W69" s="260">
        <f>SUM(W64:W67)</f>
        <v>315346.95447292243</v>
      </c>
      <c r="X69" s="7">
        <f>+W69/W$20</f>
        <v>7.2139196569277905E-2</v>
      </c>
      <c r="Y69" s="260">
        <f>SUM(Y64:Y67)</f>
        <v>323340.99652334669</v>
      </c>
      <c r="Z69" s="7">
        <f>+Y69/Y$20</f>
        <v>7.2537904033905004E-2</v>
      </c>
      <c r="AA69" s="260">
        <f>SUM(AA64:AA67)</f>
        <v>329751.51109408226</v>
      </c>
      <c r="AB69" s="7">
        <f>+AA69/AA$20</f>
        <v>7.3271047891893606E-2</v>
      </c>
      <c r="AC69" s="5">
        <f>SUM(AC64:AC67)</f>
        <v>329792.34453309246</v>
      </c>
      <c r="AD69" s="7">
        <f>+AC69/AC$20</f>
        <v>7.5459802901476955E-2</v>
      </c>
      <c r="AE69" s="5">
        <f>SUM(AE64:AE67)</f>
        <v>344309.96973062842</v>
      </c>
      <c r="AF69" s="7">
        <f>+AE69/AE$20</f>
        <v>7.4886215005261103E-2</v>
      </c>
      <c r="AG69" s="5">
        <f>SUM(AG64:AG67)</f>
        <v>351906.21036356117</v>
      </c>
      <c r="AH69" s="7">
        <f>+AG69/AG$20</f>
        <v>7.5722202324319463E-2</v>
      </c>
      <c r="AI69" s="5">
        <f>SUM(AI64:AI67)</f>
        <v>359723.05750193913</v>
      </c>
      <c r="AJ69" s="7">
        <f>+AI69/AI$20</f>
        <v>7.6577686915435428E-2</v>
      </c>
      <c r="AK69" s="5">
        <f>SUM(AK64:AK67)</f>
        <v>367767.75827927678</v>
      </c>
      <c r="AL69" s="7">
        <f>+AK69/AK$20</f>
        <v>7.7453100362172317E-2</v>
      </c>
      <c r="AM69" s="5">
        <f>SUM(AM64:AM67)</f>
        <v>376047.80809356994</v>
      </c>
      <c r="AN69" s="7">
        <f>+AM69/AM$20</f>
        <v>7.8348882809129827E-2</v>
      </c>
      <c r="AO69" s="7"/>
      <c r="AP69" s="193">
        <f>SUM(AP64:AP67)</f>
        <v>315197.56231918023</v>
      </c>
      <c r="AQ69" s="7">
        <f>+AP69/AP$20</f>
        <v>7.2225950769024522E-2</v>
      </c>
    </row>
    <row r="70" spans="1:43" customFormat="1" x14ac:dyDescent="0.25">
      <c r="A70" s="194"/>
      <c r="D70" s="409"/>
      <c r="E70" s="7"/>
      <c r="F70" s="409"/>
      <c r="G70" s="7"/>
      <c r="H70" s="260"/>
      <c r="I70" s="7"/>
      <c r="J70" s="340"/>
      <c r="K70" s="7"/>
      <c r="L70" s="340"/>
      <c r="M70" s="7"/>
      <c r="N70" s="409"/>
      <c r="O70" s="7"/>
      <c r="P70" s="254"/>
      <c r="Q70" s="7"/>
      <c r="S70" s="260"/>
      <c r="T70" s="7"/>
      <c r="U70" s="260"/>
      <c r="V70" s="7"/>
      <c r="W70" s="260"/>
      <c r="X70" s="7"/>
      <c r="Y70" s="260"/>
      <c r="Z70" s="7"/>
      <c r="AA70" s="260"/>
      <c r="AB70" s="7"/>
      <c r="AC70" s="5"/>
      <c r="AD70" s="7"/>
      <c r="AE70" s="5"/>
      <c r="AF70" s="7"/>
      <c r="AG70" s="5"/>
      <c r="AH70" s="7"/>
      <c r="AI70" s="5"/>
      <c r="AJ70" s="7"/>
      <c r="AK70" s="5"/>
      <c r="AL70" s="7"/>
      <c r="AM70" s="5"/>
      <c r="AN70" s="7"/>
      <c r="AO70" s="7"/>
      <c r="AP70" s="5"/>
      <c r="AQ70" s="7"/>
    </row>
    <row r="71" spans="1:43" customFormat="1" ht="15.75" thickBot="1" x14ac:dyDescent="0.3">
      <c r="A71" s="194" t="s">
        <v>28</v>
      </c>
      <c r="D71" s="236">
        <f>+D60-D69</f>
        <v>0</v>
      </c>
      <c r="E71" s="16" t="e">
        <f>+D71/D$20</f>
        <v>#DIV/0!</v>
      </c>
      <c r="F71" s="236">
        <f>+F60-F69</f>
        <v>0</v>
      </c>
      <c r="G71" s="16" t="e">
        <f>+F71/F$20</f>
        <v>#DIV/0!</v>
      </c>
      <c r="H71" s="236">
        <f>+H60-H69</f>
        <v>0</v>
      </c>
      <c r="I71" s="16" t="e">
        <f>+H71/H$20</f>
        <v>#DIV/0!</v>
      </c>
      <c r="J71" s="342">
        <f>+J60-J69</f>
        <v>1770235.7914000005</v>
      </c>
      <c r="K71" s="343">
        <f t="shared" si="24"/>
        <v>0.45354401288172191</v>
      </c>
      <c r="L71" s="342">
        <f>+L60-L69</f>
        <v>1870584.6215999995</v>
      </c>
      <c r="M71" s="16">
        <f t="shared" si="25"/>
        <v>0.4624614858087534</v>
      </c>
      <c r="N71" s="342">
        <f>+N60-N69</f>
        <v>1893852.9399000003</v>
      </c>
      <c r="O71" s="343">
        <f t="shared" ref="O71" si="28">+N71/N$20</f>
        <v>0.46621654794375739</v>
      </c>
      <c r="P71" s="236">
        <f>+P60-P69</f>
        <v>1913136.4309999999</v>
      </c>
      <c r="Q71" s="16">
        <f>+P71/P$20</f>
        <v>0.48141558978999149</v>
      </c>
      <c r="S71" s="236">
        <f>+S60-S69</f>
        <v>1769772.6920539676</v>
      </c>
      <c r="T71" s="16">
        <f>+S71/S$20</f>
        <v>0.42097107342144119</v>
      </c>
      <c r="U71" s="236">
        <f>+U60-U69</f>
        <v>1802642.1798338387</v>
      </c>
      <c r="V71" s="16">
        <f>+U71/U$20</f>
        <v>0.42050294221583195</v>
      </c>
      <c r="W71" s="236">
        <f>+W60-W69</f>
        <v>1836108.3918475548</v>
      </c>
      <c r="X71" s="16">
        <f>+W71/W$20</f>
        <v>0.42003064346500585</v>
      </c>
      <c r="Y71" s="236">
        <f>+Y60-Y69</f>
        <v>1870181.4595302851</v>
      </c>
      <c r="Z71" s="16">
        <f>+Y71/Y$20</f>
        <v>0.41955410757077011</v>
      </c>
      <c r="AA71" s="236">
        <f>+AA60-AA69</f>
        <v>1884529.0267921994</v>
      </c>
      <c r="AB71" s="16">
        <f>+AA71/AA$20</f>
        <v>0.41874384780714019</v>
      </c>
      <c r="AC71" s="9">
        <f>+AC60-AC69</f>
        <v>1822651.9792995537</v>
      </c>
      <c r="AD71" s="16">
        <f>+AC71/AC$20</f>
        <v>0.41704109084354518</v>
      </c>
      <c r="AE71" s="9">
        <f>+AE60-AE69</f>
        <v>1919280.3492969472</v>
      </c>
      <c r="AF71" s="16">
        <f>+AE71/AE$20</f>
        <v>0.4174367678207791</v>
      </c>
      <c r="AG71" s="9">
        <f>+AG60-AG69</f>
        <v>1936817.6732943212</v>
      </c>
      <c r="AH71" s="16">
        <f>+AG71/AG$20</f>
        <v>0.41675905512151334</v>
      </c>
      <c r="AI71" s="9">
        <f>+AI60-AI69</f>
        <v>1954460.6562757543</v>
      </c>
      <c r="AJ71" s="16">
        <f>+AI71/AI$20</f>
        <v>0.41606472841684433</v>
      </c>
      <c r="AK71" s="9">
        <f>+AK60-AK69</f>
        <v>1972207.5616579216</v>
      </c>
      <c r="AL71" s="16">
        <f>+AK71/AK$20</f>
        <v>0.41535340379709845</v>
      </c>
      <c r="AM71" s="9">
        <f>+AM60-AM69</f>
        <v>1990056.5271353822</v>
      </c>
      <c r="AN71" s="16">
        <f>+AM71/AM$20</f>
        <v>0.41462468939395475</v>
      </c>
      <c r="AO71" s="16"/>
      <c r="AP71" s="9">
        <f>+AP60-AP69</f>
        <v>1832646.7500115687</v>
      </c>
      <c r="AQ71" s="16">
        <f>+AP71/AP$20</f>
        <v>0.41994187064591321</v>
      </c>
    </row>
    <row r="72" spans="1:43" s="18" customFormat="1" ht="12" thickTop="1" x14ac:dyDescent="0.2">
      <c r="A72" s="564"/>
      <c r="E72" s="18">
        <v>1</v>
      </c>
      <c r="G72" s="18">
        <v>1</v>
      </c>
      <c r="I72" s="18">
        <v>1</v>
      </c>
      <c r="K72" s="18">
        <v>1</v>
      </c>
      <c r="M72" s="18">
        <v>1</v>
      </c>
      <c r="O72" s="18">
        <v>1</v>
      </c>
      <c r="Q72" s="18">
        <v>1</v>
      </c>
      <c r="T72" s="18">
        <v>1</v>
      </c>
      <c r="V72" s="18">
        <v>2</v>
      </c>
      <c r="X72" s="18">
        <v>3</v>
      </c>
      <c r="Z72" s="18">
        <v>4</v>
      </c>
      <c r="AB72" s="18">
        <v>5</v>
      </c>
      <c r="AD72" s="18">
        <v>6</v>
      </c>
      <c r="AF72" s="18">
        <v>7</v>
      </c>
      <c r="AH72" s="18">
        <v>8</v>
      </c>
      <c r="AJ72" s="18">
        <v>9</v>
      </c>
      <c r="AL72" s="18">
        <v>10</v>
      </c>
      <c r="AN72" s="18">
        <v>11</v>
      </c>
      <c r="AQ72" s="18">
        <v>3</v>
      </c>
    </row>
    <row r="73" spans="1:43" customFormat="1" x14ac:dyDescent="0.25">
      <c r="A73" s="194" t="s">
        <v>239</v>
      </c>
      <c r="D73" s="1115">
        <f>IPMT(Pricing!$E37,E72,Pricing!$E38,-Pricing!$E35)</f>
        <v>604911.89375000005</v>
      </c>
      <c r="E73" s="1115"/>
      <c r="F73" s="1115">
        <f>IPMT(Pricing!$E37,G72,Pricing!$E38,-Pricing!$E35)</f>
        <v>604911.89375000005</v>
      </c>
      <c r="G73" s="1115"/>
      <c r="H73" s="1115">
        <f>IPMT(Pricing!$E37,I72,Pricing!$E38,-Pricing!$E35)</f>
        <v>604911.89375000005</v>
      </c>
      <c r="I73" s="1115"/>
      <c r="J73" s="1115">
        <f>IPMT(Pricing!$E37,K72,Pricing!$E38,-Pricing!$E35)</f>
        <v>604911.89375000005</v>
      </c>
      <c r="K73" s="1115"/>
      <c r="L73" s="1115">
        <f>IPMT(Pricing!$E37,M72,Pricing!$E38,-Pricing!$E35)</f>
        <v>604911.89375000005</v>
      </c>
      <c r="M73" s="1115"/>
      <c r="N73" s="1115">
        <f>IPMT(Pricing!$E37,O72,Pricing!$E38,-Pricing!$E35)</f>
        <v>604911.89375000005</v>
      </c>
      <c r="O73" s="1115"/>
      <c r="P73" s="1115">
        <f>IPMT(Pricing!$E37,Q72,Pricing!$E38,-Pricing!$E35)</f>
        <v>604911.89375000005</v>
      </c>
      <c r="Q73" s="1115"/>
      <c r="R73" s="260"/>
      <c r="S73" s="1115">
        <f>IPMT(Pricing!$E37,T72,Pricing!$E38,-Pricing!$E35)</f>
        <v>604911.89375000005</v>
      </c>
      <c r="T73" s="1115"/>
      <c r="U73" s="1115">
        <f>IPMT(Pricing!$E37,V72,Pricing!$E38,-Pricing!$E35)</f>
        <v>595689.19764226431</v>
      </c>
      <c r="V73" s="1115"/>
      <c r="W73" s="1115">
        <f>IPMT(Pricing!$E37,X72,Pricing!$E38,-Pricing!$E35)</f>
        <v>586012.28375122254</v>
      </c>
      <c r="X73" s="1115"/>
      <c r="Y73" s="1115">
        <f>IPMT(Pricing!$E37,Z72,Pricing!$E38,-Pricing!$E35)</f>
        <v>575858.78185104707</v>
      </c>
      <c r="Z73" s="1115"/>
      <c r="AA73" s="1115">
        <f>IPMT(Pricing!$E37,AB72,Pricing!$E38,-Pricing!$E35)</f>
        <v>565205.21998228785</v>
      </c>
      <c r="AB73" s="1115"/>
      <c r="AC73" s="1120">
        <f>IPMT(Pricing!$E37,AD72,Pricing!$E38,-Pricing!$E35)</f>
        <v>554026.97019149212</v>
      </c>
      <c r="AD73" s="1120"/>
      <c r="AE73" s="1120">
        <f>IPMT(Pricing!$E37,AF72,Pricing!$E38,-Pricing!$E35)</f>
        <v>542298.19159850001</v>
      </c>
      <c r="AF73" s="1120"/>
      <c r="AG73" s="1120">
        <f>IPMT(Pricing!$E37,AH72,Pricing!$E38,-Pricing!$E35)</f>
        <v>529991.77065980271</v>
      </c>
      <c r="AH73" s="1120"/>
      <c r="AI73" s="1120">
        <f>IPMT(Pricing!$E37,AJ72,Pricing!$E38,-Pricing!$E35)</f>
        <v>517079.25848987477</v>
      </c>
      <c r="AJ73" s="1120"/>
      <c r="AK73" s="1120">
        <f>IPMT(Pricing!$E37,AL72,Pricing!$E38,-Pricing!$E35)</f>
        <v>503530.8050955779</v>
      </c>
      <c r="AL73" s="1120"/>
      <c r="AM73" s="1120">
        <f>IPMT(Pricing!$E37,AN72,Pricing!$E38,-Pricing!$E35)</f>
        <v>489315.09037161188</v>
      </c>
      <c r="AN73" s="1120"/>
      <c r="AO73" s="250"/>
      <c r="AP73" s="1120">
        <f>IPMT(Pricing!$E37,AQ72,Pricing!$E38,-Pricing!$E35)</f>
        <v>586012.28375122254</v>
      </c>
      <c r="AQ73" s="1120"/>
    </row>
    <row r="74" spans="1:43" customFormat="1" ht="14.65" hidden="1" customHeight="1" x14ac:dyDescent="0.25">
      <c r="A74" s="194" t="s">
        <v>240</v>
      </c>
      <c r="D74" s="1115">
        <f>IPMT(Pricing!$G37,E72,Pricing!$G38,-Pricing!$G35)</f>
        <v>0</v>
      </c>
      <c r="E74" s="1115"/>
      <c r="F74" s="1115">
        <f>IPMT(Pricing!$G37,G72,Pricing!$G38,-Pricing!$G35)</f>
        <v>0</v>
      </c>
      <c r="G74" s="1115"/>
      <c r="H74" s="1115">
        <f>IPMT(Pricing!$G37,I72,Pricing!$G38,-Pricing!$G35)</f>
        <v>0</v>
      </c>
      <c r="I74" s="1115"/>
      <c r="J74" s="1115">
        <f>IPMT(Pricing!$G37,K72,Pricing!$G38,-Pricing!$G35)</f>
        <v>0</v>
      </c>
      <c r="K74" s="1115"/>
      <c r="L74" s="1115">
        <f>IPMT(Pricing!$G37,M72,Pricing!$G38,-Pricing!$G35)</f>
        <v>0</v>
      </c>
      <c r="M74" s="1115"/>
      <c r="N74" s="1115">
        <f>IPMT(Pricing!$G37,O72,Pricing!$G38,-Pricing!$G35)</f>
        <v>0</v>
      </c>
      <c r="O74" s="1115"/>
      <c r="P74" s="1115">
        <f>IPMT(Pricing!$G37,Q72,Pricing!$G38,-Pricing!$G35)</f>
        <v>0</v>
      </c>
      <c r="Q74" s="1115"/>
      <c r="R74" s="260"/>
      <c r="S74" s="1115">
        <f>IPMT(Pricing!$G37,T72,Pricing!$G38,-Pricing!$G35)</f>
        <v>0</v>
      </c>
      <c r="T74" s="1115"/>
      <c r="U74" s="1115">
        <f>IPMT(Pricing!$G37,V72,Pricing!$G38,-Pricing!$G35)</f>
        <v>0</v>
      </c>
      <c r="V74" s="1115"/>
      <c r="W74" s="1115">
        <f>IPMT(Pricing!$G37,X72,Pricing!$G38,-Pricing!$G35)</f>
        <v>0</v>
      </c>
      <c r="X74" s="1115"/>
      <c r="Y74" s="1115">
        <f>IPMT(Pricing!$G37,Z72,Pricing!$G38,-Pricing!$G35)</f>
        <v>0</v>
      </c>
      <c r="Z74" s="1115"/>
      <c r="AA74" s="1115">
        <f>IPMT(Pricing!$G37,AB72,Pricing!$G38,-Pricing!$G35)</f>
        <v>0</v>
      </c>
      <c r="AB74" s="1115"/>
      <c r="AC74" s="1120">
        <f>IPMT(Pricing!$G37,AD72,Pricing!$G38,-Pricing!$G35)</f>
        <v>0</v>
      </c>
      <c r="AD74" s="1120"/>
      <c r="AE74" s="1120">
        <f>IPMT(Pricing!$G37,AF72,Pricing!$G38,-Pricing!$G35)</f>
        <v>0</v>
      </c>
      <c r="AF74" s="1120"/>
      <c r="AG74" s="1120">
        <f>IPMT(Pricing!$G37,AH72,Pricing!$G38,-Pricing!$G35)</f>
        <v>0</v>
      </c>
      <c r="AH74" s="1120"/>
      <c r="AI74" s="1120">
        <f>IPMT(Pricing!$G37,AJ72,Pricing!$G38,-Pricing!$G35)</f>
        <v>0</v>
      </c>
      <c r="AJ74" s="1120"/>
      <c r="AK74" s="1120">
        <f>IPMT(Pricing!$G37,AL72,Pricing!$G38,-Pricing!$G35)</f>
        <v>0</v>
      </c>
      <c r="AL74" s="1120"/>
      <c r="AM74" s="1120">
        <f>IPMT(Pricing!$G37,AN72,Pricing!$G38,-Pricing!$G35)</f>
        <v>0</v>
      </c>
      <c r="AN74" s="1120"/>
      <c r="AO74" s="250"/>
      <c r="AP74" s="1120">
        <f>IPMT(Pricing!$G37,AQ72,Pricing!$G38,-Pricing!$G35)</f>
        <v>0</v>
      </c>
      <c r="AQ74" s="1120"/>
    </row>
    <row r="75" spans="1:43" customFormat="1" ht="14.65" hidden="1" customHeight="1" x14ac:dyDescent="0.25">
      <c r="A75" s="194"/>
      <c r="D75" s="1115"/>
      <c r="E75" s="1115"/>
      <c r="F75" s="1115"/>
      <c r="G75" s="1115"/>
      <c r="H75" s="1115"/>
      <c r="I75" s="1115"/>
      <c r="J75" s="1115"/>
      <c r="K75" s="1115"/>
      <c r="L75" s="1115"/>
      <c r="M75" s="1115"/>
      <c r="N75" s="1115"/>
      <c r="O75" s="1115"/>
      <c r="P75" s="1115"/>
      <c r="Q75" s="1115"/>
      <c r="R75" s="260"/>
      <c r="S75" s="1115"/>
      <c r="T75" s="1115"/>
      <c r="U75" s="1115"/>
      <c r="V75" s="1115"/>
      <c r="W75" s="1115"/>
      <c r="X75" s="1115"/>
      <c r="Y75" s="1115"/>
      <c r="Z75" s="1115"/>
      <c r="AA75" s="1115"/>
      <c r="AB75" s="1115"/>
      <c r="AC75" s="1120"/>
      <c r="AD75" s="1120"/>
      <c r="AE75" s="1120"/>
      <c r="AF75" s="1120"/>
      <c r="AG75" s="1120"/>
      <c r="AH75" s="1120"/>
      <c r="AI75" s="1120"/>
      <c r="AJ75" s="1120"/>
      <c r="AK75" s="1120"/>
      <c r="AL75" s="1120"/>
      <c r="AM75" s="1120"/>
      <c r="AN75" s="1120"/>
      <c r="AO75" s="250"/>
      <c r="AP75" s="1120"/>
      <c r="AQ75" s="1120"/>
    </row>
    <row r="76" spans="1:43" customFormat="1" hidden="1" x14ac:dyDescent="0.25">
      <c r="A76" s="194" t="s">
        <v>269</v>
      </c>
      <c r="D76" s="1115">
        <f>Pricing!$E35*Pricing!$E44</f>
        <v>0</v>
      </c>
      <c r="E76" s="1115"/>
      <c r="F76" s="1115">
        <f>Pricing!$E35*Pricing!$E44</f>
        <v>0</v>
      </c>
      <c r="G76" s="1115"/>
      <c r="H76" s="1115">
        <f>Pricing!$E35*Pricing!$E44</f>
        <v>0</v>
      </c>
      <c r="I76" s="1115"/>
      <c r="J76" s="1115">
        <f>Pricing!$E35*Pricing!$E44</f>
        <v>0</v>
      </c>
      <c r="K76" s="1115"/>
      <c r="L76" s="1115">
        <f>Pricing!$E35*Pricing!$E44</f>
        <v>0</v>
      </c>
      <c r="M76" s="1115"/>
      <c r="N76" s="1115">
        <f>Pricing!$E35*Pricing!$E44</f>
        <v>0</v>
      </c>
      <c r="O76" s="1115"/>
      <c r="P76" s="1115">
        <f>Pricing!$E35*Pricing!$E44</f>
        <v>0</v>
      </c>
      <c r="Q76" s="1115"/>
      <c r="R76" s="260"/>
      <c r="S76" s="1115">
        <f>Pricing!$E35*Pricing!$E44</f>
        <v>0</v>
      </c>
      <c r="T76" s="1115"/>
      <c r="U76" s="1115">
        <f>Pricing!$E35*Pricing!$E44</f>
        <v>0</v>
      </c>
      <c r="V76" s="1115"/>
      <c r="W76" s="1115">
        <f>Pricing!$E35*Pricing!$E44</f>
        <v>0</v>
      </c>
      <c r="X76" s="1115"/>
      <c r="Y76" s="1115">
        <f>Pricing!$E35*Pricing!$E44</f>
        <v>0</v>
      </c>
      <c r="Z76" s="1115"/>
      <c r="AA76" s="1115">
        <f>Pricing!$E35*Pricing!$E44</f>
        <v>0</v>
      </c>
      <c r="AB76" s="1115"/>
      <c r="AC76" s="1120">
        <f>Pricing!$E35*Pricing!$E44</f>
        <v>0</v>
      </c>
      <c r="AD76" s="1120"/>
      <c r="AE76" s="1120">
        <f>Pricing!$E35*Pricing!$E44</f>
        <v>0</v>
      </c>
      <c r="AF76" s="1120"/>
      <c r="AG76" s="1120">
        <f>Pricing!$E35*Pricing!$E44</f>
        <v>0</v>
      </c>
      <c r="AH76" s="1120"/>
      <c r="AI76" s="1120">
        <f>Pricing!$E35*Pricing!$E44</f>
        <v>0</v>
      </c>
      <c r="AJ76" s="1120"/>
      <c r="AK76" s="1120">
        <f>Pricing!$E35*Pricing!$E44</f>
        <v>0</v>
      </c>
      <c r="AL76" s="1120"/>
      <c r="AM76" s="1120">
        <f>Pricing!$E35*Pricing!$E44</f>
        <v>0</v>
      </c>
      <c r="AN76" s="1120"/>
      <c r="AO76" s="250"/>
      <c r="AP76" s="1120">
        <f>Pricing!$E35*Pricing!$E44</f>
        <v>0</v>
      </c>
      <c r="AQ76" s="1120"/>
    </row>
    <row r="77" spans="1:43" customFormat="1" x14ac:dyDescent="0.25">
      <c r="A77" s="194"/>
      <c r="D77" s="409"/>
      <c r="E77" s="409"/>
      <c r="F77" s="409"/>
      <c r="G77" s="409"/>
      <c r="H77" s="260"/>
      <c r="I77" s="260"/>
      <c r="J77" s="260"/>
      <c r="K77" s="260"/>
      <c r="L77" s="260"/>
      <c r="M77" s="260"/>
      <c r="N77" s="409"/>
      <c r="O77" s="409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</row>
    <row r="78" spans="1:43" customFormat="1" x14ac:dyDescent="0.25">
      <c r="A78" s="194" t="s">
        <v>79</v>
      </c>
      <c r="D78" s="1116">
        <f>+D71-D73-D74-D75-D76</f>
        <v>-604911.89375000005</v>
      </c>
      <c r="E78" s="1116"/>
      <c r="F78" s="1116">
        <f>+F71-F73-F74-F75-F76</f>
        <v>-604911.89375000005</v>
      </c>
      <c r="G78" s="1116"/>
      <c r="H78" s="1116">
        <f>+H71-H73-H74-H75-H76</f>
        <v>-604911.89375000005</v>
      </c>
      <c r="I78" s="1116"/>
      <c r="J78" s="1116">
        <f>+J71-J73-J74-J75-J76</f>
        <v>1165323.8976500004</v>
      </c>
      <c r="K78" s="1116"/>
      <c r="L78" s="1116">
        <f>+L71-L73-L74-L75-L76</f>
        <v>1265672.7278499994</v>
      </c>
      <c r="M78" s="1116"/>
      <c r="N78" s="1116">
        <f>+N71-N73-N74-N75-N76</f>
        <v>1288941.0461500003</v>
      </c>
      <c r="O78" s="1116"/>
      <c r="P78" s="1116">
        <f>+P71-P73-P74-P75-P76</f>
        <v>1308224.5372499998</v>
      </c>
      <c r="Q78" s="1116"/>
      <c r="R78" s="259"/>
      <c r="S78" s="1116">
        <f>+S71-S73-S74-S75-S76</f>
        <v>1164860.7983039676</v>
      </c>
      <c r="T78" s="1116"/>
      <c r="U78" s="1116">
        <f>+U71-U73-U74-U75-U76</f>
        <v>1206952.9821915743</v>
      </c>
      <c r="V78" s="1116"/>
      <c r="W78" s="1116">
        <f>+W71-W73-W74-W75-W76</f>
        <v>1250096.1080963323</v>
      </c>
      <c r="X78" s="1116"/>
      <c r="Y78" s="1116">
        <f>+Y71-Y73-Y74-Y75-Y76</f>
        <v>1294322.6776792379</v>
      </c>
      <c r="Z78" s="1116"/>
      <c r="AA78" s="1116">
        <f>+AA71-AA73-AA74-AA75-AA76</f>
        <v>1319323.8068099115</v>
      </c>
      <c r="AB78" s="1116"/>
      <c r="AC78" s="1116">
        <f>+AC71-AC73-AC74-AC75-AC76</f>
        <v>1268625.0091080614</v>
      </c>
      <c r="AD78" s="1116"/>
      <c r="AE78" s="1116">
        <f>+AE71-AE73-AE74-AE75-AE76</f>
        <v>1376982.1576984474</v>
      </c>
      <c r="AF78" s="1116"/>
      <c r="AG78" s="1116">
        <f>+AG71-AG73-AG74-AG75-AG76</f>
        <v>1406825.9026345185</v>
      </c>
      <c r="AH78" s="1116"/>
      <c r="AI78" s="1116">
        <f>+AI71-AI73-AI74-AI75-AI76</f>
        <v>1437381.3977858797</v>
      </c>
      <c r="AJ78" s="1116"/>
      <c r="AK78" s="1116">
        <f>+AK71-AK73-AK74-AK75-AK76</f>
        <v>1468676.7565623438</v>
      </c>
      <c r="AL78" s="1116"/>
      <c r="AM78" s="1116">
        <f>+AM71-AM73-AM74-AM75-AM76</f>
        <v>1500741.4367637704</v>
      </c>
      <c r="AN78" s="1116"/>
      <c r="AO78" s="249"/>
      <c r="AP78" s="1116">
        <f>+AP71-AP73-AP74-AP75-AP76</f>
        <v>1246634.4662603461</v>
      </c>
      <c r="AQ78" s="1116"/>
    </row>
    <row r="79" spans="1:43" customFormat="1" x14ac:dyDescent="0.25">
      <c r="A79" s="194"/>
      <c r="D79" s="409"/>
      <c r="E79" s="409"/>
      <c r="F79" s="409"/>
      <c r="G79" s="409"/>
      <c r="H79" s="260"/>
      <c r="I79" s="260"/>
      <c r="J79" s="260"/>
      <c r="K79" s="260"/>
      <c r="L79" s="260"/>
      <c r="M79" s="260"/>
      <c r="N79" s="409"/>
      <c r="O79" s="409"/>
      <c r="P79" s="260"/>
      <c r="Q79" s="260"/>
      <c r="R79" s="260"/>
      <c r="S79" s="1124" t="s">
        <v>762</v>
      </c>
      <c r="T79" s="1124"/>
      <c r="U79" s="260"/>
      <c r="V79" s="260"/>
      <c r="W79" s="260"/>
      <c r="X79" s="260"/>
      <c r="Y79" s="260"/>
      <c r="Z79" s="260"/>
      <c r="AA79" s="260"/>
      <c r="AB79" s="260"/>
    </row>
    <row r="80" spans="1:43" customFormat="1" x14ac:dyDescent="0.25">
      <c r="A80" s="194" t="s">
        <v>242</v>
      </c>
      <c r="D80" s="1115">
        <f>PPMT(Pricing!$E37,E72,Pricing!$E38,-Pricing!$E35)</f>
        <v>187262.8651316906</v>
      </c>
      <c r="E80" s="1115"/>
      <c r="F80" s="1115">
        <f>PPMT(Pricing!$E37,G72,Pricing!$E38,-Pricing!$E35)</f>
        <v>187262.8651316906</v>
      </c>
      <c r="G80" s="1115"/>
      <c r="H80" s="1115">
        <f>PPMT(Pricing!$E37,I72,Pricing!$E38,-Pricing!$E35)</f>
        <v>187262.8651316906</v>
      </c>
      <c r="I80" s="1115"/>
      <c r="J80" s="1115">
        <f>PPMT(Pricing!$E37,K72,Pricing!$E38,-Pricing!$E35)</f>
        <v>187262.8651316906</v>
      </c>
      <c r="K80" s="1115"/>
      <c r="L80" s="1115">
        <f>PPMT(Pricing!$E37,M72,Pricing!$E38,-Pricing!$E35)</f>
        <v>187262.8651316906</v>
      </c>
      <c r="M80" s="1115"/>
      <c r="N80" s="1115">
        <f>PPMT(Pricing!$E37,O72,Pricing!$E38,-Pricing!$E35)</f>
        <v>187262.8651316906</v>
      </c>
      <c r="O80" s="1115"/>
      <c r="P80" s="1115">
        <f>PPMT(Pricing!$E37,Q72,Pricing!$E38,-Pricing!$E35)</f>
        <v>187262.8651316906</v>
      </c>
      <c r="Q80" s="1115"/>
      <c r="R80" s="260"/>
      <c r="S80" s="1115">
        <f>PPMT(Pricing!$E37,T72,Pricing!$E38,-Pricing!$E35)/2</f>
        <v>93631.432565845302</v>
      </c>
      <c r="T80" s="1115"/>
      <c r="U80" s="1115">
        <f>PPMT(Pricing!$E37,V72,Pricing!$E38,-Pricing!$E35)</f>
        <v>196485.56123942634</v>
      </c>
      <c r="V80" s="1115"/>
      <c r="W80" s="1115">
        <f>PPMT(Pricing!$E37,X72,Pricing!$E38,-Pricing!$E35)</f>
        <v>206162.47513046814</v>
      </c>
      <c r="X80" s="1115"/>
      <c r="Y80" s="1115">
        <f>PPMT(Pricing!$E37,Z72,Pricing!$E38,-Pricing!$E35)</f>
        <v>216315.97703064364</v>
      </c>
      <c r="Z80" s="1115"/>
      <c r="AA80" s="1115">
        <f>PPMT(Pricing!$E37,AB72,Pricing!$E38,-Pricing!$E35)</f>
        <v>226969.53889940283</v>
      </c>
      <c r="AB80" s="1115"/>
      <c r="AC80" s="1120">
        <f>PPMT(Pricing!$E37,AD72,Pricing!$E38,-Pricing!$E35)</f>
        <v>238147.78869019842</v>
      </c>
      <c r="AD80" s="1120"/>
      <c r="AE80" s="1120">
        <f>PPMT(Pricing!$E37,AF72,Pricing!$E38,-Pricing!$E35)</f>
        <v>249876.56728319073</v>
      </c>
      <c r="AF80" s="1120"/>
      <c r="AG80" s="1120">
        <f>PPMT(Pricing!$E37,AH72,Pricing!$E38,-Pricing!$E35)</f>
        <v>262182.98822188785</v>
      </c>
      <c r="AH80" s="1120"/>
      <c r="AI80" s="1120">
        <f>PPMT(Pricing!$E37,AJ72,Pricing!$E38,-Pricing!$E35)</f>
        <v>275095.50039181591</v>
      </c>
      <c r="AJ80" s="1120"/>
      <c r="AK80" s="1120">
        <f>PPMT(Pricing!$E37,AL72,Pricing!$E38,-Pricing!$E35)</f>
        <v>288643.95378611278</v>
      </c>
      <c r="AL80" s="1120"/>
      <c r="AM80" s="1120">
        <f>PPMT(Pricing!$E37,AN72,Pricing!$E38,-Pricing!$E35)</f>
        <v>302859.66851007892</v>
      </c>
      <c r="AN80" s="1120"/>
      <c r="AO80" s="250"/>
      <c r="AP80" s="1120">
        <f>PPMT(Pricing!$E37,AQ72,Pricing!$E38,-Pricing!$E35)</f>
        <v>206162.47513046814</v>
      </c>
      <c r="AQ80" s="1120"/>
    </row>
    <row r="81" spans="1:43" customFormat="1" ht="14.65" hidden="1" customHeight="1" x14ac:dyDescent="0.25">
      <c r="A81" s="194" t="s">
        <v>243</v>
      </c>
      <c r="D81" s="1117">
        <f>PPMT(Pricing!$G37,ProForma!E72,Pricing!$G38,-Pricing!$G35)</f>
        <v>0</v>
      </c>
      <c r="E81" s="1117"/>
      <c r="F81" s="1117">
        <f>PPMT(Pricing!$G37,ProForma!G72,Pricing!$G38,-Pricing!$G35)</f>
        <v>0</v>
      </c>
      <c r="G81" s="1117"/>
      <c r="H81" s="1117">
        <f>PPMT(Pricing!$G37,ProForma!I72,Pricing!$G38,-Pricing!$G35)</f>
        <v>0</v>
      </c>
      <c r="I81" s="1117"/>
      <c r="J81" s="1117">
        <f>PPMT(Pricing!$G37,ProForma!K72,Pricing!$G38,-Pricing!$G35)</f>
        <v>0</v>
      </c>
      <c r="K81" s="1117"/>
      <c r="L81" s="1117">
        <f>PPMT(Pricing!$G37,ProForma!M72,Pricing!$G38,-Pricing!$G35)</f>
        <v>0</v>
      </c>
      <c r="M81" s="1117"/>
      <c r="N81" s="1117">
        <f>PPMT(Pricing!$G37,ProForma!O72,Pricing!$G38,-Pricing!$G35)</f>
        <v>0</v>
      </c>
      <c r="O81" s="1117"/>
      <c r="P81" s="1117">
        <f>PPMT(Pricing!$G37,ProForma!Q72,Pricing!$G38,-Pricing!$G35)</f>
        <v>0</v>
      </c>
      <c r="Q81" s="1117"/>
      <c r="R81" s="260"/>
      <c r="S81" s="1122">
        <f>PPMT(Pricing!$G37,ProForma!T72,Pricing!$G38,-Pricing!$G35)</f>
        <v>0</v>
      </c>
      <c r="T81" s="1122"/>
      <c r="U81" s="1117">
        <f>PPMT(Pricing!$G37,ProForma!V72,Pricing!$G38,-Pricing!$G35)</f>
        <v>0</v>
      </c>
      <c r="V81" s="1117"/>
      <c r="W81" s="1117">
        <f>PPMT(Pricing!$G37,ProForma!X72,Pricing!$G38,-Pricing!$G35)</f>
        <v>0</v>
      </c>
      <c r="X81" s="1117"/>
      <c r="Y81" s="1117">
        <f>PPMT(Pricing!$G37,ProForma!Z72,Pricing!$G38,-Pricing!$G35)</f>
        <v>0</v>
      </c>
      <c r="Z81" s="1117"/>
      <c r="AA81" s="1117">
        <f>PPMT(Pricing!$G37,ProForma!AB72,Pricing!$G38,-Pricing!$G35)</f>
        <v>0</v>
      </c>
      <c r="AB81" s="1117"/>
      <c r="AC81" s="1121">
        <f>PPMT(Pricing!$G37,ProForma!AD72,Pricing!$G38,-Pricing!$G35)</f>
        <v>0</v>
      </c>
      <c r="AD81" s="1121"/>
      <c r="AE81" s="1121">
        <f>PPMT(Pricing!$G37,ProForma!AF72,Pricing!$G38,-Pricing!$G35)</f>
        <v>0</v>
      </c>
      <c r="AF81" s="1121"/>
      <c r="AG81" s="1121">
        <f>PPMT(Pricing!$G37,ProForma!AH72,Pricing!$G38,-Pricing!$G35)</f>
        <v>0</v>
      </c>
      <c r="AH81" s="1121"/>
      <c r="AI81" s="1121">
        <f>PPMT(Pricing!$G37,ProForma!AJ72,Pricing!$G38,-Pricing!$G35)</f>
        <v>0</v>
      </c>
      <c r="AJ81" s="1121"/>
      <c r="AK81" s="1121">
        <f>PPMT(Pricing!$G37,ProForma!AL72,Pricing!$G38,-Pricing!$G35)</f>
        <v>0</v>
      </c>
      <c r="AL81" s="1121"/>
      <c r="AM81" s="1121">
        <f>PPMT(Pricing!$G37,ProForma!AN72,Pricing!$G38,-Pricing!$G35)</f>
        <v>0</v>
      </c>
      <c r="AN81" s="1121"/>
      <c r="AO81" s="251"/>
      <c r="AP81" s="1121">
        <f>PPMT(Pricing!$G37,ProForma!AQ72,Pricing!$G38,-Pricing!$G35)</f>
        <v>0</v>
      </c>
      <c r="AQ81" s="1121"/>
    </row>
    <row r="82" spans="1:43" customFormat="1" x14ac:dyDescent="0.25">
      <c r="A82" s="194"/>
      <c r="D82" s="261"/>
      <c r="E82" s="261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0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</row>
    <row r="83" spans="1:43" customFormat="1" ht="15.75" thickBot="1" x14ac:dyDescent="0.3">
      <c r="A83" s="194" t="s">
        <v>80</v>
      </c>
      <c r="D83" s="1118">
        <f>+D78-D80-D81</f>
        <v>-792174.75888169068</v>
      </c>
      <c r="E83" s="1118"/>
      <c r="F83" s="1118">
        <f>+F78-F80-F81</f>
        <v>-792174.75888169068</v>
      </c>
      <c r="G83" s="1118"/>
      <c r="H83" s="1118">
        <f>+H78-H80-H81</f>
        <v>-792174.75888169068</v>
      </c>
      <c r="I83" s="1118"/>
      <c r="J83" s="1118">
        <f>+J78-J80-J81</f>
        <v>978061.03251830977</v>
      </c>
      <c r="K83" s="1118"/>
      <c r="L83" s="1118">
        <f>+L78-L80-L81</f>
        <v>1078409.8627183088</v>
      </c>
      <c r="M83" s="1118"/>
      <c r="N83" s="1118">
        <f>+N78-N80-N81</f>
        <v>1101678.1810183097</v>
      </c>
      <c r="O83" s="1118"/>
      <c r="P83" s="1118">
        <f>+P78-P80-P81</f>
        <v>1120961.6721183092</v>
      </c>
      <c r="Q83" s="1118"/>
      <c r="R83" s="260"/>
      <c r="S83" s="1118">
        <f>+S78-S80-S81</f>
        <v>1071229.3657381223</v>
      </c>
      <c r="T83" s="1118"/>
      <c r="U83" s="1118">
        <f>+U78-U80-U81</f>
        <v>1010467.4209521479</v>
      </c>
      <c r="V83" s="1118"/>
      <c r="W83" s="1118">
        <f>+W78-W80-W81</f>
        <v>1043933.6329658641</v>
      </c>
      <c r="X83" s="1118"/>
      <c r="Y83" s="1118">
        <f>+Y78-Y80-Y81</f>
        <v>1078006.7006485942</v>
      </c>
      <c r="Z83" s="1118"/>
      <c r="AA83" s="1118">
        <f>+AA78-AA80-AA81</f>
        <v>1092354.2679105087</v>
      </c>
      <c r="AB83" s="1118"/>
      <c r="AC83" s="1123">
        <f>+AC78-AC80-AC81</f>
        <v>1030477.220417863</v>
      </c>
      <c r="AD83" s="1123"/>
      <c r="AE83" s="1123">
        <f>+AE78-AE80-AE81</f>
        <v>1127105.5904152566</v>
      </c>
      <c r="AF83" s="1123"/>
      <c r="AG83" s="1123">
        <f>+AG78-AG80-AG81</f>
        <v>1144642.9144126307</v>
      </c>
      <c r="AH83" s="1123"/>
      <c r="AI83" s="1123">
        <f>+AI78-AI80-AI81</f>
        <v>1162285.8973940639</v>
      </c>
      <c r="AJ83" s="1123"/>
      <c r="AK83" s="1123">
        <f>+AK78-AK80-AK81</f>
        <v>1180032.802776231</v>
      </c>
      <c r="AL83" s="1123"/>
      <c r="AM83" s="1123">
        <f>+AM78-AM80-AM81</f>
        <v>1197881.7682536915</v>
      </c>
      <c r="AN83" s="1123"/>
      <c r="AO83" s="252"/>
      <c r="AP83" s="1123">
        <f>+AP78-AP80-AP81</f>
        <v>1040471.991129878</v>
      </c>
      <c r="AQ83" s="1123"/>
    </row>
    <row r="84" spans="1:43" ht="15.75" thickTop="1" x14ac:dyDescent="0.25"/>
    <row r="85" spans="1:43" x14ac:dyDescent="0.25">
      <c r="A85" s="194" t="s">
        <v>244</v>
      </c>
      <c r="D85" s="578">
        <f>D83/Pricing!$E43</f>
        <v>-0.11316256872097948</v>
      </c>
      <c r="E85" s="578"/>
      <c r="F85" s="578">
        <f>F83/Pricing!$E43</f>
        <v>-0.11316256872097948</v>
      </c>
      <c r="G85" s="578"/>
      <c r="H85" s="578">
        <f>H83/Pricing!$E43</f>
        <v>-0.11316256872097948</v>
      </c>
      <c r="I85" s="578"/>
      <c r="J85" s="578">
        <f>J83/Pricing!$E43</f>
        <v>0.13971651780714606</v>
      </c>
      <c r="K85" s="578"/>
      <c r="L85" s="578">
        <f>L83/Pricing!$E43</f>
        <v>0.15405139943049914</v>
      </c>
      <c r="M85" s="578"/>
      <c r="N85" s="578">
        <f>N83/Pricing!$E43</f>
        <v>0.15737529057841024</v>
      </c>
      <c r="O85" s="578"/>
      <c r="P85" s="578">
        <f>P83/Pricing!$E43</f>
        <v>0.160129947126499</v>
      </c>
      <c r="Q85" s="578"/>
      <c r="R85" s="578"/>
      <c r="S85" s="578">
        <f>S83/Pricing!D51</f>
        <v>0.15302566177114951</v>
      </c>
      <c r="T85" s="578"/>
      <c r="U85" s="578">
        <f>U83/Pricing!F51</f>
        <v>0.1443457869387704</v>
      </c>
      <c r="V85" s="578"/>
      <c r="W85" s="578">
        <f>W83/Pricing!H51</f>
        <v>0.14912645240983299</v>
      </c>
      <c r="X85" s="578"/>
      <c r="Y85" s="578">
        <f>Y83/Pricing!J51</f>
        <v>0.1539938075230213</v>
      </c>
      <c r="Z85" s="578"/>
      <c r="AA85" s="578">
        <f>AA83/Pricing!L51</f>
        <v>0.15604336483099124</v>
      </c>
      <c r="AB85" s="578"/>
      <c r="AC85" s="578">
        <f>AC83/Pricing!$N51</f>
        <v>0.14720419700769077</v>
      </c>
      <c r="AD85" s="578"/>
      <c r="AE85" s="578">
        <f>AE83/Pricing!$N51</f>
        <v>0.16100760899176203</v>
      </c>
      <c r="AF85" s="578"/>
      <c r="AG85" s="578">
        <f>AG83/Pricing!$N51</f>
        <v>0.16351282467780148</v>
      </c>
      <c r="AH85" s="578"/>
      <c r="AI85" s="578">
        <f>AI83/Pricing!$N51</f>
        <v>0.16603313380365395</v>
      </c>
      <c r="AJ85" s="578"/>
      <c r="AK85" s="578">
        <f>AK83/Pricing!$N51</f>
        <v>0.16856828829750489</v>
      </c>
      <c r="AL85" s="578"/>
      <c r="AM85" s="578">
        <f>AM83/Pricing!$N51</f>
        <v>0.17111802212807142</v>
      </c>
      <c r="AN85" s="578"/>
      <c r="AO85" s="578"/>
      <c r="AP85" s="578">
        <f>AP83/Pricing!N51</f>
        <v>0.14863195510635263</v>
      </c>
    </row>
    <row r="87" spans="1:43" s="194" customFormat="1" x14ac:dyDescent="0.25">
      <c r="A87" s="194" t="s">
        <v>261</v>
      </c>
      <c r="D87" s="581">
        <f>+D71/(D73+D80+D74+D81+D76)</f>
        <v>0</v>
      </c>
      <c r="E87" s="581"/>
      <c r="F87" s="581">
        <f>+F71/(F73+F80+F74+F81+F76)</f>
        <v>0</v>
      </c>
      <c r="G87" s="581"/>
      <c r="H87" s="581">
        <f>+H71/(H73+H80+H74+H81+H76)</f>
        <v>0</v>
      </c>
      <c r="I87" s="581"/>
      <c r="J87" s="581">
        <f>+J71/(J73+J80+J74+J81+J76)</f>
        <v>2.2346531135365053</v>
      </c>
      <c r="K87" s="581"/>
      <c r="L87" s="581">
        <f>+L71/(L73+L80+L74+L81+L76)</f>
        <v>2.3613282304534606</v>
      </c>
      <c r="M87" s="581"/>
      <c r="N87" s="581">
        <f>+N71/(N73+N80+N74+N81+N76)</f>
        <v>2.3907009389866745</v>
      </c>
      <c r="O87" s="581"/>
      <c r="P87" s="581">
        <f>+P71/(P73+P80+P74+P81+P76)</f>
        <v>2.4150434099929736</v>
      </c>
      <c r="Q87" s="581"/>
      <c r="R87" s="581"/>
      <c r="S87" s="581">
        <f>+S71/(S73+S80+S74+S81+S76)</f>
        <v>2.5335188604375376</v>
      </c>
      <c r="T87" s="581"/>
      <c r="U87" s="581">
        <f>+U71/(U73+U80+U74+U81+U76)</f>
        <v>2.2755612440601114</v>
      </c>
      <c r="V87" s="581"/>
      <c r="W87" s="581">
        <f>+W71/(W73+W80+W74+W81+W76)</f>
        <v>2.3178072404624204</v>
      </c>
      <c r="X87" s="581"/>
      <c r="Y87" s="581">
        <f>+Y71/(Y73+Y80+Y74+Y81+Y76)</f>
        <v>2.3608192997343305</v>
      </c>
      <c r="Z87" s="581"/>
      <c r="AA87" s="581">
        <f>+AA71/(AA73+AA80+AA74+AA81+AA76)</f>
        <v>2.3789309185419896</v>
      </c>
      <c r="AB87" s="579"/>
      <c r="AC87" s="580" t="e">
        <f>+AC71/(AC73+AC80+AC74+AC81+AC76+#REF!)</f>
        <v>#REF!</v>
      </c>
      <c r="AE87" s="580" t="e">
        <f>+AE71/(AE73+AE80+AE74+AE81+AE76+#REF!)</f>
        <v>#REF!</v>
      </c>
      <c r="AG87" s="580" t="e">
        <f>+AG71/(AG73+AG80+AG74+AG81+AG76+#REF!)</f>
        <v>#REF!</v>
      </c>
      <c r="AI87" s="580" t="e">
        <f>+AI71/(AI73+AI80+AI74+AI81+AI76+#REF!)</f>
        <v>#REF!</v>
      </c>
      <c r="AK87" s="580" t="e">
        <f>+AK71/(AK73+AK80+AK74+AK81+AK76+#REF!)</f>
        <v>#REF!</v>
      </c>
      <c r="AM87" s="580" t="e">
        <f>+AM71/(AM73+AM80+AM74+AM81+AM76+#REF!)</f>
        <v>#REF!</v>
      </c>
      <c r="AP87" s="580" t="e">
        <f>+AP71/(AP73+AP80+AP74+AP81+AP76+#REF!)</f>
        <v>#REF!</v>
      </c>
    </row>
    <row r="88" spans="1:43" s="194" customFormat="1" x14ac:dyDescent="0.25">
      <c r="D88" s="657"/>
      <c r="E88" s="657"/>
      <c r="F88" s="657"/>
      <c r="G88" s="657"/>
      <c r="H88" s="657"/>
      <c r="I88" s="657"/>
      <c r="J88" s="657"/>
      <c r="K88" s="657"/>
      <c r="L88" s="657"/>
      <c r="M88" s="657"/>
      <c r="N88" s="657"/>
      <c r="O88" s="657"/>
      <c r="P88" s="657"/>
      <c r="Q88" s="657"/>
      <c r="R88" s="657"/>
      <c r="S88" s="657"/>
      <c r="T88" s="657"/>
      <c r="U88" s="657"/>
      <c r="V88" s="657"/>
      <c r="W88" s="657"/>
      <c r="X88" s="657"/>
      <c r="Y88" s="657"/>
      <c r="Z88" s="657"/>
      <c r="AA88" s="657"/>
    </row>
    <row r="89" spans="1:43" s="194" customFormat="1" x14ac:dyDescent="0.25">
      <c r="A89" s="194" t="s">
        <v>199</v>
      </c>
      <c r="D89" s="581">
        <f>+(D71+D67)/(D73+D80)</f>
        <v>0</v>
      </c>
      <c r="E89" s="657"/>
      <c r="F89" s="581">
        <f>+(F71+F67)/(F73+F80)</f>
        <v>0</v>
      </c>
      <c r="G89" s="657"/>
      <c r="H89" s="581">
        <f>+(H71+H67)/(H73+H80)</f>
        <v>0</v>
      </c>
      <c r="I89" s="657"/>
      <c r="J89" s="581">
        <f>+(J71+J67)/(J73+J80)</f>
        <v>2.4317367967131829</v>
      </c>
      <c r="K89" s="657"/>
      <c r="L89" s="581">
        <f>+(L71+L67)/(L73+L80)</f>
        <v>2.5655682204127515</v>
      </c>
      <c r="M89" s="657"/>
      <c r="N89" s="581">
        <f>+(N71+N67)/(N73+N80)</f>
        <v>2.5958160040379545</v>
      </c>
      <c r="O89" s="657"/>
      <c r="P89" s="581">
        <f>+(P71+P67)/(P73+P80)</f>
        <v>2.5488179677049629</v>
      </c>
      <c r="Q89" s="657"/>
      <c r="R89" s="657"/>
      <c r="S89" s="581">
        <f>+(S71+S67)/(S73+S80)</f>
        <v>2.7742497819088277</v>
      </c>
      <c r="T89" s="657"/>
      <c r="U89" s="581">
        <f>+(U71+U67)/(U73+U80)</f>
        <v>2.4920221546134678</v>
      </c>
      <c r="V89" s="657"/>
      <c r="W89" s="581">
        <f>+(W71+W67)/(W73+W80)</f>
        <v>2.5385346827596655</v>
      </c>
      <c r="X89" s="657"/>
      <c r="Y89" s="581">
        <f>+(Y71+Y67)/(Y73+Y80)</f>
        <v>2.5858981877379339</v>
      </c>
      <c r="Z89" s="657"/>
      <c r="AA89" s="581">
        <f>+(AA71+AA67)/(AA73+AA80)</f>
        <v>2.6061754195418128</v>
      </c>
      <c r="AC89" s="581">
        <f>+(AC71+AC67)/(AC73+AC80)</f>
        <v>2.5215010359322103</v>
      </c>
      <c r="AE89" s="581">
        <f>+(AE71+AE67)/(AE73+AE80)</f>
        <v>2.6549588043173298</v>
      </c>
      <c r="AG89" s="581">
        <f>+(AG71+AG67)/(AG73+AG80)</f>
        <v>2.6795993277855081</v>
      </c>
      <c r="AI89" s="581">
        <f>+(AI71+AI67)/(AI73+AI80)</f>
        <v>2.7044036746421352</v>
      </c>
      <c r="AK89" s="581">
        <f>+(AK71+AK67)/(AK73+AK80)</f>
        <v>2.7293701198188907</v>
      </c>
      <c r="AM89" s="581">
        <f>+(AM71+AM67)/(AM73+AM80)</f>
        <v>2.754496789093074</v>
      </c>
      <c r="AP89" s="581">
        <f>+(AP71+AP67)/(AP73+AP80)</f>
        <v>2.5337953187205708</v>
      </c>
    </row>
    <row r="90" spans="1:43" s="194" customFormat="1" x14ac:dyDescent="0.25">
      <c r="D90" s="657"/>
      <c r="E90" s="657"/>
      <c r="F90" s="657"/>
      <c r="G90" s="657"/>
      <c r="H90" s="657"/>
      <c r="I90" s="657"/>
      <c r="J90" s="657"/>
      <c r="K90" s="657"/>
      <c r="L90" s="657"/>
      <c r="M90" s="657"/>
      <c r="N90" s="657"/>
      <c r="O90" s="657"/>
      <c r="P90" s="657"/>
      <c r="Q90" s="657"/>
      <c r="R90" s="657"/>
      <c r="S90" s="657"/>
      <c r="T90" s="657"/>
      <c r="U90" s="657"/>
      <c r="V90" s="657"/>
      <c r="W90" s="657"/>
      <c r="X90" s="657"/>
      <c r="Y90" s="657"/>
      <c r="Z90" s="657"/>
      <c r="AA90" s="657"/>
    </row>
    <row r="91" spans="1:43" s="194" customFormat="1" x14ac:dyDescent="0.25">
      <c r="A91" s="194" t="s">
        <v>200</v>
      </c>
      <c r="D91" s="581">
        <f>+(D71+D67+D39)/(D73+D80)</f>
        <v>0</v>
      </c>
      <c r="E91" s="657"/>
      <c r="F91" s="581">
        <f>+(F71+F67+F39)/(F73+F80)</f>
        <v>0</v>
      </c>
      <c r="G91" s="657"/>
      <c r="H91" s="581">
        <f>+(H71+H67+H39)/(H73+H80)</f>
        <v>0</v>
      </c>
      <c r="I91" s="657"/>
      <c r="J91" s="581">
        <f>+(J71+J67+J39)/(J73+J80)</f>
        <v>2.5795495590956907</v>
      </c>
      <c r="K91" s="657"/>
      <c r="L91" s="581">
        <f>+(L71+L67+L39)/(L73+L80)</f>
        <v>2.7187482128822191</v>
      </c>
      <c r="M91" s="657"/>
      <c r="N91" s="581">
        <f>+(N71+N67+N39)/(N73+N80)</f>
        <v>2.7496523028264144</v>
      </c>
      <c r="O91" s="657"/>
      <c r="P91" s="581">
        <f>+(P71+P67+P39)/(P73+P80)</f>
        <v>2.6491488859889549</v>
      </c>
      <c r="Q91" s="657"/>
      <c r="R91" s="657"/>
      <c r="S91" s="581">
        <f>+(S71+S67+S39)/(S73+S80)</f>
        <v>2.9547979730122949</v>
      </c>
      <c r="T91" s="657"/>
      <c r="U91" s="581">
        <f>+(U71+U67+U39)/(U73+U80)</f>
        <v>2.6543678375284854</v>
      </c>
      <c r="V91" s="657"/>
      <c r="W91" s="581">
        <f>+(W71+W67+W39)/(W73+W80)</f>
        <v>2.7040802644825996</v>
      </c>
      <c r="X91" s="657"/>
      <c r="Y91" s="581">
        <f>+(Y71+Y67+Y39)/(Y73+Y80)</f>
        <v>2.754707353740637</v>
      </c>
      <c r="Z91" s="657"/>
      <c r="AA91" s="581">
        <f>+(AA71+AA67+AA39)/(AA73+AA80)</f>
        <v>2.77660879529168</v>
      </c>
      <c r="AC91" s="581">
        <f>+(AC71+AC67+AC39)/(AC73+AC80)</f>
        <v>2.6870113862999436</v>
      </c>
      <c r="AE91" s="581">
        <f>+(AE71+AE67+AE39)/(AE73+AE80)</f>
        <v>2.8290785291242471</v>
      </c>
      <c r="AG91" s="581">
        <f>+(AG71+AG67+AG39)/(AG73+AG80)</f>
        <v>2.855595794483206</v>
      </c>
      <c r="AI91" s="581">
        <f>+(AI71+AI67+AI39)/(AI73+AI80)</f>
        <v>2.8822997169888023</v>
      </c>
      <c r="AK91" s="581">
        <f>+(AK71+AK67+AK39)/(AK73+AK80)</f>
        <v>2.9091889219004763</v>
      </c>
      <c r="AM91" s="581">
        <f>+(AM71+AM67+AM39)/(AM73+AM80)</f>
        <v>2.9362618924862707</v>
      </c>
      <c r="AP91" s="581">
        <f>+(AP71+AP67+AP39)/(AP73+AP80)</f>
        <v>2.699063724171173</v>
      </c>
    </row>
  </sheetData>
  <customSheetViews>
    <customSheetView guid="{BBA80CC4-398C-41FE-99C8-A75F96D5CA58}" scale="70" showPageBreaks="1" fitToPage="1" printArea="1" hiddenRows="1" hiddenColumns="1" topLeftCell="A19">
      <selection activeCell="I22" sqref="I22"/>
      <pageMargins left="0.7" right="0.7" top="0.75" bottom="0.75" header="0.3" footer="0.3"/>
      <pageSetup scale="35" orientation="landscape"/>
    </customSheetView>
    <customSheetView guid="{03C358DA-88A4-4E12-84B7-BB4E50E89831}" scale="70" showPageBreaks="1" fitToPage="1" printArea="1" hiddenRows="1" hiddenColumns="1" topLeftCell="A28">
      <selection activeCell="H94" sqref="H94"/>
      <pageMargins left="0.7" right="0.7" top="0.75" bottom="0.75" header="0.3" footer="0.3"/>
      <pageSetup scale="35" orientation="landscape"/>
    </customSheetView>
  </customSheetViews>
  <mergeCells count="261">
    <mergeCell ref="N11:O11"/>
    <mergeCell ref="N73:O73"/>
    <mergeCell ref="N74:O74"/>
    <mergeCell ref="N75:O75"/>
    <mergeCell ref="N76:O76"/>
    <mergeCell ref="N78:O78"/>
    <mergeCell ref="N80:O80"/>
    <mergeCell ref="N81:O81"/>
    <mergeCell ref="N83:O83"/>
    <mergeCell ref="AS6:AT7"/>
    <mergeCell ref="AC83:AD83"/>
    <mergeCell ref="AE83:AF83"/>
    <mergeCell ref="AG83:AH83"/>
    <mergeCell ref="AI83:AJ83"/>
    <mergeCell ref="AK83:AL83"/>
    <mergeCell ref="H73:I73"/>
    <mergeCell ref="H6:I7"/>
    <mergeCell ref="S8:T8"/>
    <mergeCell ref="S9:T9"/>
    <mergeCell ref="H78:I78"/>
    <mergeCell ref="H80:I80"/>
    <mergeCell ref="H81:I81"/>
    <mergeCell ref="H83:I83"/>
    <mergeCell ref="H74:I74"/>
    <mergeCell ref="H75:I75"/>
    <mergeCell ref="H76:I76"/>
    <mergeCell ref="S10:T10"/>
    <mergeCell ref="S6:T7"/>
    <mergeCell ref="J6:K7"/>
    <mergeCell ref="L6:M7"/>
    <mergeCell ref="J11:K11"/>
    <mergeCell ref="H11:I11"/>
    <mergeCell ref="L11:M11"/>
    <mergeCell ref="H4:I4"/>
    <mergeCell ref="H8:I8"/>
    <mergeCell ref="H9:I9"/>
    <mergeCell ref="H10:I10"/>
    <mergeCell ref="U6:V7"/>
    <mergeCell ref="W6:X7"/>
    <mergeCell ref="L8:M8"/>
    <mergeCell ref="L9:M9"/>
    <mergeCell ref="L10:M10"/>
    <mergeCell ref="P8:Q8"/>
    <mergeCell ref="P9:Q9"/>
    <mergeCell ref="P10:Q10"/>
    <mergeCell ref="W10:X10"/>
    <mergeCell ref="N4:O4"/>
    <mergeCell ref="N6:O7"/>
    <mergeCell ref="N8:O8"/>
    <mergeCell ref="N9:O9"/>
    <mergeCell ref="N10:O10"/>
    <mergeCell ref="S3:AQ3"/>
    <mergeCell ref="J4:K4"/>
    <mergeCell ref="L4:M4"/>
    <mergeCell ref="P4:Q4"/>
    <mergeCell ref="S4:T4"/>
    <mergeCell ref="U4:V4"/>
    <mergeCell ref="W4:X4"/>
    <mergeCell ref="Y4:Z4"/>
    <mergeCell ref="AA4:AB4"/>
    <mergeCell ref="AC4:AD4"/>
    <mergeCell ref="AM4:AN4"/>
    <mergeCell ref="AP4:AQ4"/>
    <mergeCell ref="AE4:AF4"/>
    <mergeCell ref="AG4:AH4"/>
    <mergeCell ref="AI4:AJ4"/>
    <mergeCell ref="AK4:AL4"/>
    <mergeCell ref="P11:Q11"/>
    <mergeCell ref="U8:V8"/>
    <mergeCell ref="S11:T11"/>
    <mergeCell ref="W8:X8"/>
    <mergeCell ref="Y8:Z8"/>
    <mergeCell ref="AA8:AB8"/>
    <mergeCell ref="AP8:AQ8"/>
    <mergeCell ref="U9:V9"/>
    <mergeCell ref="W9:X9"/>
    <mergeCell ref="Y9:Z9"/>
    <mergeCell ref="AA9:AB9"/>
    <mergeCell ref="AP9:AQ9"/>
    <mergeCell ref="AC9:AD9"/>
    <mergeCell ref="AE9:AF9"/>
    <mergeCell ref="AG9:AH9"/>
    <mergeCell ref="AI9:AJ9"/>
    <mergeCell ref="AK9:AL9"/>
    <mergeCell ref="AM9:AN9"/>
    <mergeCell ref="AC8:AD8"/>
    <mergeCell ref="AE8:AF8"/>
    <mergeCell ref="AG8:AH8"/>
    <mergeCell ref="AI8:AJ8"/>
    <mergeCell ref="AK8:AL8"/>
    <mergeCell ref="AM8:AN8"/>
    <mergeCell ref="U11:V11"/>
    <mergeCell ref="W11:X11"/>
    <mergeCell ref="Y11:Z11"/>
    <mergeCell ref="AA11:AB11"/>
    <mergeCell ref="AP11:AQ11"/>
    <mergeCell ref="AC10:AD10"/>
    <mergeCell ref="U10:V10"/>
    <mergeCell ref="AE10:AF10"/>
    <mergeCell ref="AG10:AH10"/>
    <mergeCell ref="AI10:AJ10"/>
    <mergeCell ref="AK10:AL10"/>
    <mergeCell ref="AM10:AN10"/>
    <mergeCell ref="AC11:AD11"/>
    <mergeCell ref="AE11:AF11"/>
    <mergeCell ref="AG11:AH11"/>
    <mergeCell ref="AI11:AJ11"/>
    <mergeCell ref="AK11:AL11"/>
    <mergeCell ref="AM11:AN11"/>
    <mergeCell ref="Y10:Z10"/>
    <mergeCell ref="AA10:AB10"/>
    <mergeCell ref="AP10:AQ10"/>
    <mergeCell ref="S73:T73"/>
    <mergeCell ref="S78:T78"/>
    <mergeCell ref="S80:T80"/>
    <mergeCell ref="S83:T83"/>
    <mergeCell ref="P74:Q74"/>
    <mergeCell ref="S74:T74"/>
    <mergeCell ref="S79:T79"/>
    <mergeCell ref="AA73:AB73"/>
    <mergeCell ref="AA78:AB78"/>
    <mergeCell ref="AA83:AB83"/>
    <mergeCell ref="U73:V73"/>
    <mergeCell ref="U78:V78"/>
    <mergeCell ref="U80:V80"/>
    <mergeCell ref="U83:V83"/>
    <mergeCell ref="W73:X73"/>
    <mergeCell ref="W78:X78"/>
    <mergeCell ref="W80:X80"/>
    <mergeCell ref="W83:X83"/>
    <mergeCell ref="S76:T76"/>
    <mergeCell ref="U76:V76"/>
    <mergeCell ref="W76:X76"/>
    <mergeCell ref="U74:V74"/>
    <mergeCell ref="W74:X74"/>
    <mergeCell ref="U75:V75"/>
    <mergeCell ref="AC74:AD74"/>
    <mergeCell ref="AE74:AF74"/>
    <mergeCell ref="AG74:AH74"/>
    <mergeCell ref="AI74:AJ74"/>
    <mergeCell ref="AK74:AL74"/>
    <mergeCell ref="AM74:AN74"/>
    <mergeCell ref="AM83:AN83"/>
    <mergeCell ref="AC73:AD73"/>
    <mergeCell ref="AE73:AF73"/>
    <mergeCell ref="AG73:AH73"/>
    <mergeCell ref="AI73:AJ73"/>
    <mergeCell ref="AK73:AL73"/>
    <mergeCell ref="AM73:AN73"/>
    <mergeCell ref="AC75:AD75"/>
    <mergeCell ref="AE75:AF75"/>
    <mergeCell ref="AG75:AH75"/>
    <mergeCell ref="AI75:AJ75"/>
    <mergeCell ref="AK75:AL75"/>
    <mergeCell ref="AG81:AH81"/>
    <mergeCell ref="AI81:AJ81"/>
    <mergeCell ref="AK81:AL81"/>
    <mergeCell ref="AM81:AN81"/>
    <mergeCell ref="AM78:AN78"/>
    <mergeCell ref="A4:B4"/>
    <mergeCell ref="AP73:AQ73"/>
    <mergeCell ref="AP78:AQ78"/>
    <mergeCell ref="AP80:AQ80"/>
    <mergeCell ref="AP83:AQ83"/>
    <mergeCell ref="Y73:Z73"/>
    <mergeCell ref="Y78:Z78"/>
    <mergeCell ref="Y80:Z80"/>
    <mergeCell ref="Y83:Z83"/>
    <mergeCell ref="J75:K75"/>
    <mergeCell ref="L75:M75"/>
    <mergeCell ref="P75:Q75"/>
    <mergeCell ref="S75:T75"/>
    <mergeCell ref="L76:M76"/>
    <mergeCell ref="J76:K76"/>
    <mergeCell ref="J83:K83"/>
    <mergeCell ref="J80:K80"/>
    <mergeCell ref="J78:K78"/>
    <mergeCell ref="J73:K73"/>
    <mergeCell ref="L73:M73"/>
    <mergeCell ref="L78:M78"/>
    <mergeCell ref="L80:M80"/>
    <mergeCell ref="L83:M83"/>
    <mergeCell ref="J74:K74"/>
    <mergeCell ref="W75:X75"/>
    <mergeCell ref="Y75:Z75"/>
    <mergeCell ref="AM75:AN75"/>
    <mergeCell ref="AC76:AD76"/>
    <mergeCell ref="AE76:AF76"/>
    <mergeCell ref="AG76:AH76"/>
    <mergeCell ref="AI76:AJ76"/>
    <mergeCell ref="AK76:AL76"/>
    <mergeCell ref="AM76:AN76"/>
    <mergeCell ref="AA75:AB75"/>
    <mergeCell ref="P81:Q81"/>
    <mergeCell ref="S81:T81"/>
    <mergeCell ref="U81:V81"/>
    <mergeCell ref="W81:X81"/>
    <mergeCell ref="Y81:Z81"/>
    <mergeCell ref="AA81:AB81"/>
    <mergeCell ref="AA80:AB80"/>
    <mergeCell ref="AK80:AL80"/>
    <mergeCell ref="AM80:AN80"/>
    <mergeCell ref="Y74:Z74"/>
    <mergeCell ref="AA74:AB74"/>
    <mergeCell ref="AP74:AQ74"/>
    <mergeCell ref="J81:K81"/>
    <mergeCell ref="P83:Q83"/>
    <mergeCell ref="AC78:AD78"/>
    <mergeCell ref="AE78:AF78"/>
    <mergeCell ref="AG78:AH78"/>
    <mergeCell ref="AI78:AJ78"/>
    <mergeCell ref="AK78:AL78"/>
    <mergeCell ref="AC80:AD80"/>
    <mergeCell ref="AE80:AF80"/>
    <mergeCell ref="AG80:AH80"/>
    <mergeCell ref="AI80:AJ80"/>
    <mergeCell ref="Y76:Z76"/>
    <mergeCell ref="AA76:AB76"/>
    <mergeCell ref="AP76:AQ76"/>
    <mergeCell ref="P76:Q76"/>
    <mergeCell ref="AP81:AQ81"/>
    <mergeCell ref="P78:Q78"/>
    <mergeCell ref="P80:Q80"/>
    <mergeCell ref="AC81:AD81"/>
    <mergeCell ref="AP75:AQ75"/>
    <mergeCell ref="AE81:AF81"/>
    <mergeCell ref="F81:G81"/>
    <mergeCell ref="F83:G83"/>
    <mergeCell ref="D78:E78"/>
    <mergeCell ref="D80:E80"/>
    <mergeCell ref="D81:E81"/>
    <mergeCell ref="D83:E83"/>
    <mergeCell ref="D3:Q3"/>
    <mergeCell ref="F4:G4"/>
    <mergeCell ref="F8:G8"/>
    <mergeCell ref="F9:G9"/>
    <mergeCell ref="F10:G10"/>
    <mergeCell ref="F11:G11"/>
    <mergeCell ref="D73:E73"/>
    <mergeCell ref="D74:E74"/>
    <mergeCell ref="D75:E75"/>
    <mergeCell ref="D76:E76"/>
    <mergeCell ref="F73:G73"/>
    <mergeCell ref="F74:G74"/>
    <mergeCell ref="P73:Q73"/>
    <mergeCell ref="L81:M81"/>
    <mergeCell ref="L74:M74"/>
    <mergeCell ref="J8:K8"/>
    <mergeCell ref="J9:K9"/>
    <mergeCell ref="J10:K10"/>
    <mergeCell ref="D4:E4"/>
    <mergeCell ref="D8:E8"/>
    <mergeCell ref="D9:E9"/>
    <mergeCell ref="D10:E10"/>
    <mergeCell ref="D11:E11"/>
    <mergeCell ref="F75:G75"/>
    <mergeCell ref="F76:G76"/>
    <mergeCell ref="F78:G78"/>
    <mergeCell ref="F80:G80"/>
    <mergeCell ref="F6:G7"/>
    <mergeCell ref="D6:E7"/>
  </mergeCells>
  <conditionalFormatting sqref="T58 V58 X58 Z58 AB58">
    <cfRule type="cellIs" dxfId="16" priority="1" operator="greaterThan">
      <formula>$Q$58</formula>
    </cfRule>
  </conditionalFormatting>
  <pageMargins left="0.7" right="0.7" top="0.75" bottom="0.75" header="0.3" footer="0.3"/>
  <pageSetup scale="35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14999847407452621"/>
  </sheetPr>
  <dimension ref="A1:AO79"/>
  <sheetViews>
    <sheetView workbookViewId="0">
      <selection activeCell="R9" sqref="R9"/>
    </sheetView>
  </sheetViews>
  <sheetFormatPr defaultColWidth="8.7109375" defaultRowHeight="15" x14ac:dyDescent="0.25"/>
  <cols>
    <col min="1" max="1" width="8.7109375" style="427"/>
    <col min="2" max="2" width="42.42578125" style="722" customWidth="1"/>
    <col min="3" max="41" width="8.7109375" style="722"/>
  </cols>
  <sheetData>
    <row r="1" spans="2:41" s="427" customFormat="1" x14ac:dyDescent="0.25"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722"/>
      <c r="Q1" s="722"/>
      <c r="R1" s="722"/>
      <c r="S1" s="722"/>
      <c r="T1" s="722"/>
      <c r="U1" s="722"/>
      <c r="V1" s="722"/>
      <c r="W1" s="722"/>
      <c r="X1" s="722"/>
      <c r="Y1" s="722"/>
      <c r="Z1" s="722"/>
      <c r="AA1" s="722"/>
      <c r="AB1" s="722"/>
      <c r="AC1" s="722"/>
      <c r="AD1" s="722"/>
      <c r="AE1" s="722"/>
      <c r="AF1" s="722"/>
      <c r="AG1" s="722"/>
      <c r="AH1" s="722"/>
      <c r="AI1" s="722"/>
      <c r="AJ1" s="722"/>
      <c r="AK1" s="722"/>
      <c r="AL1" s="722"/>
      <c r="AM1" s="722"/>
      <c r="AN1" s="722"/>
      <c r="AO1" s="722"/>
    </row>
    <row r="2" spans="2:41" ht="15" customHeight="1" x14ac:dyDescent="0.25">
      <c r="B2" s="1140" t="s">
        <v>1039</v>
      </c>
      <c r="C2" s="1231">
        <v>2017</v>
      </c>
      <c r="D2" s="1232"/>
      <c r="E2" s="1232"/>
      <c r="F2" s="1232"/>
      <c r="G2" s="1232"/>
      <c r="H2" s="1232"/>
      <c r="I2" s="1233"/>
      <c r="J2" s="1234">
        <v>2018</v>
      </c>
      <c r="K2" s="1235"/>
      <c r="L2" s="1235"/>
      <c r="M2" s="1235"/>
      <c r="N2" s="1235"/>
      <c r="O2" s="1235"/>
      <c r="P2" s="1235"/>
      <c r="Q2" s="1235"/>
      <c r="R2" s="1235"/>
      <c r="S2" s="1235"/>
      <c r="T2" s="1236"/>
      <c r="U2" s="969"/>
      <c r="V2" s="1142" t="s">
        <v>1040</v>
      </c>
      <c r="W2" s="1145"/>
      <c r="X2" s="1146"/>
      <c r="Y2" s="969"/>
      <c r="Z2" s="1142" t="s">
        <v>1041</v>
      </c>
      <c r="AA2" s="1143"/>
      <c r="AB2" s="1144"/>
      <c r="AC2" s="969"/>
      <c r="AD2" s="1227" t="s">
        <v>1042</v>
      </c>
      <c r="AE2" s="1228"/>
      <c r="AF2" s="1229"/>
    </row>
    <row r="3" spans="2:41" ht="15.75" thickBot="1" x14ac:dyDescent="0.3">
      <c r="B3" s="1141"/>
      <c r="C3" s="1032" t="s">
        <v>778</v>
      </c>
      <c r="D3" s="1032" t="s">
        <v>779</v>
      </c>
      <c r="E3" s="1032" t="s">
        <v>780</v>
      </c>
      <c r="F3" s="1032" t="s">
        <v>781</v>
      </c>
      <c r="G3" s="1032" t="s">
        <v>782</v>
      </c>
      <c r="H3" s="1032" t="s">
        <v>783</v>
      </c>
      <c r="I3" s="1033" t="s">
        <v>784</v>
      </c>
      <c r="J3" s="1032" t="s">
        <v>773</v>
      </c>
      <c r="K3" s="1032" t="s">
        <v>774</v>
      </c>
      <c r="L3" s="1032" t="s">
        <v>775</v>
      </c>
      <c r="M3" s="1032" t="s">
        <v>776</v>
      </c>
      <c r="N3" s="1032" t="s">
        <v>777</v>
      </c>
      <c r="O3" s="1032" t="s">
        <v>778</v>
      </c>
      <c r="P3" s="1032" t="s">
        <v>779</v>
      </c>
      <c r="Q3" s="1032" t="s">
        <v>780</v>
      </c>
      <c r="R3" s="1032" t="s">
        <v>781</v>
      </c>
      <c r="S3" s="1032" t="s">
        <v>782</v>
      </c>
      <c r="T3" s="1033" t="s">
        <v>783</v>
      </c>
      <c r="U3" s="970"/>
      <c r="V3" s="1034">
        <v>2016</v>
      </c>
      <c r="W3" s="1032">
        <v>2017</v>
      </c>
      <c r="X3" s="1033">
        <v>2018</v>
      </c>
      <c r="Y3" s="970"/>
      <c r="Z3" s="1034">
        <v>2016</v>
      </c>
      <c r="AA3" s="1032">
        <v>2017</v>
      </c>
      <c r="AB3" s="1033">
        <v>2018</v>
      </c>
      <c r="AC3" s="970"/>
      <c r="AD3" s="1034">
        <v>2016</v>
      </c>
      <c r="AE3" s="1032">
        <v>2017</v>
      </c>
      <c r="AF3" s="1033">
        <v>2018</v>
      </c>
    </row>
    <row r="4" spans="2:41" ht="15.75" thickBot="1" x14ac:dyDescent="0.3">
      <c r="B4" s="971" t="s">
        <v>1043</v>
      </c>
      <c r="C4" s="972">
        <v>81.92</v>
      </c>
      <c r="D4" s="973">
        <v>70.812903225806451</v>
      </c>
      <c r="E4" s="973">
        <v>79.948387096774184</v>
      </c>
      <c r="F4" s="973">
        <v>77.28</v>
      </c>
      <c r="G4" s="973">
        <v>83.251612903225805</v>
      </c>
      <c r="H4" s="973">
        <v>74.773333333333326</v>
      </c>
      <c r="I4" s="974">
        <v>59.690322580645159</v>
      </c>
      <c r="J4" s="973">
        <v>74.400000000000006</v>
      </c>
      <c r="K4" s="973">
        <v>73.8</v>
      </c>
      <c r="L4" s="973">
        <v>73.08387096774193</v>
      </c>
      <c r="M4" s="973">
        <v>80.08</v>
      </c>
      <c r="N4" s="973">
        <v>84.645161290322577</v>
      </c>
      <c r="O4" s="973">
        <v>83.333333333333329</v>
      </c>
      <c r="P4" s="973">
        <v>73.00645161290322</v>
      </c>
      <c r="Q4" s="973">
        <v>80.619354838709683</v>
      </c>
      <c r="R4" s="973">
        <v>69.946666666666673</v>
      </c>
      <c r="S4" s="973">
        <v>85.419354838709666</v>
      </c>
      <c r="T4" s="974">
        <v>78.133333333333326</v>
      </c>
      <c r="U4" s="975"/>
      <c r="V4" s="972">
        <v>51.755932203389833</v>
      </c>
      <c r="W4" s="973">
        <v>75.075449101796409</v>
      </c>
      <c r="X4" s="974">
        <v>77.897005988023949</v>
      </c>
      <c r="Y4" s="975"/>
      <c r="Z4" s="972">
        <v>51.755932203389833</v>
      </c>
      <c r="AA4" s="973">
        <v>78.487912087912093</v>
      </c>
      <c r="AB4" s="974">
        <v>77.916483516483524</v>
      </c>
      <c r="AC4" s="975"/>
      <c r="AD4" s="972">
        <v>51.755932203389833</v>
      </c>
      <c r="AE4" s="973">
        <v>73.233972602739726</v>
      </c>
      <c r="AF4" s="974">
        <v>76.350684931506848</v>
      </c>
    </row>
    <row r="5" spans="2:41" ht="15.75" thickBot="1" x14ac:dyDescent="0.3">
      <c r="B5" s="976" t="s">
        <v>1044</v>
      </c>
      <c r="C5" s="977">
        <v>76.5016501650165</v>
      </c>
      <c r="D5" s="978">
        <v>70.368891727882456</v>
      </c>
      <c r="E5" s="978">
        <v>72.788246566592136</v>
      </c>
      <c r="F5" s="978">
        <v>68.275577557755767</v>
      </c>
      <c r="G5" s="978">
        <v>74.84829128074098</v>
      </c>
      <c r="H5" s="978">
        <v>65.849834983498354</v>
      </c>
      <c r="I5" s="979">
        <v>53.569147237304371</v>
      </c>
      <c r="J5" s="978">
        <v>61.793356755030338</v>
      </c>
      <c r="K5" s="978">
        <v>63.94978783592645</v>
      </c>
      <c r="L5" s="978">
        <v>69.450654742893633</v>
      </c>
      <c r="M5" s="978">
        <v>70.61056105610561</v>
      </c>
      <c r="N5" s="978">
        <v>75.359310124560835</v>
      </c>
      <c r="O5" s="978">
        <v>80.63531353135312</v>
      </c>
      <c r="P5" s="978">
        <v>70.145320983711272</v>
      </c>
      <c r="Q5" s="978">
        <v>73.890130948578729</v>
      </c>
      <c r="R5" s="978">
        <v>66.749174917491757</v>
      </c>
      <c r="S5" s="978">
        <v>76.325455126157777</v>
      </c>
      <c r="T5" s="979">
        <v>64.125412541254121</v>
      </c>
      <c r="U5" s="975"/>
      <c r="V5" s="977">
        <v>69.078952548789275</v>
      </c>
      <c r="W5" s="978">
        <v>67.722475840398403</v>
      </c>
      <c r="X5" s="979">
        <v>70.329637754194579</v>
      </c>
      <c r="Y5" s="975"/>
      <c r="Z5" s="977">
        <v>60.553802633010548</v>
      </c>
      <c r="AA5" s="978">
        <v>69.714938526819708</v>
      </c>
      <c r="AB5" s="979">
        <v>69.146447611794144</v>
      </c>
      <c r="AC5" s="975"/>
      <c r="AD5" s="977">
        <v>68.167893266807482</v>
      </c>
      <c r="AE5" s="978">
        <v>66.332564763325649</v>
      </c>
      <c r="AF5" s="979">
        <v>68.906144039061445</v>
      </c>
    </row>
    <row r="6" spans="2:41" ht="15.75" thickBot="1" x14ac:dyDescent="0.3">
      <c r="B6" s="1035" t="s">
        <v>1045</v>
      </c>
      <c r="C6" s="980">
        <v>107.08265746333045</v>
      </c>
      <c r="D6" s="975">
        <v>100.6309769658459</v>
      </c>
      <c r="E6" s="975">
        <v>109.83694602896007</v>
      </c>
      <c r="F6" s="975">
        <v>113.18835045317219</v>
      </c>
      <c r="G6" s="975">
        <v>111.22713889481544</v>
      </c>
      <c r="H6" s="975">
        <v>113.551284300213</v>
      </c>
      <c r="I6" s="981">
        <v>111.42668057832762</v>
      </c>
      <c r="J6" s="975">
        <v>120.40129215660939</v>
      </c>
      <c r="K6" s="975">
        <v>115.40304119435997</v>
      </c>
      <c r="L6" s="975">
        <v>105.2313635318464</v>
      </c>
      <c r="M6" s="975">
        <v>113.41079691516708</v>
      </c>
      <c r="N6" s="975">
        <v>112.32210214028395</v>
      </c>
      <c r="O6" s="975">
        <v>103.34595313619153</v>
      </c>
      <c r="P6" s="975">
        <v>104.07886169607285</v>
      </c>
      <c r="Q6" s="975">
        <v>109.10706721417765</v>
      </c>
      <c r="R6" s="975">
        <v>104.79030902348579</v>
      </c>
      <c r="S6" s="975">
        <v>111.91463542211528</v>
      </c>
      <c r="T6" s="981">
        <v>121.84457025218732</v>
      </c>
      <c r="U6" s="975"/>
      <c r="V6" s="980">
        <v>74.922867666291694</v>
      </c>
      <c r="W6" s="975">
        <v>110.85750804315947</v>
      </c>
      <c r="X6" s="981">
        <v>110.75985669125394</v>
      </c>
      <c r="Y6" s="975"/>
      <c r="Z6" s="980">
        <v>85.470986053608115</v>
      </c>
      <c r="AA6" s="975">
        <v>112.58406554818572</v>
      </c>
      <c r="AB6" s="981">
        <v>112.6832776051296</v>
      </c>
      <c r="AC6" s="975"/>
      <c r="AD6" s="980">
        <v>75.92420672415146</v>
      </c>
      <c r="AE6" s="975">
        <v>110.40425296992251</v>
      </c>
      <c r="AF6" s="981">
        <v>110.8038854825852</v>
      </c>
    </row>
    <row r="7" spans="2:41" ht="15.75" thickBot="1" x14ac:dyDescent="0.3">
      <c r="B7" s="1036" t="s">
        <v>1046</v>
      </c>
      <c r="C7" s="982" t="s">
        <v>1047</v>
      </c>
      <c r="D7" s="983" t="s">
        <v>1048</v>
      </c>
      <c r="E7" s="983" t="s">
        <v>1047</v>
      </c>
      <c r="F7" s="983" t="s">
        <v>1047</v>
      </c>
      <c r="G7" s="983" t="s">
        <v>1047</v>
      </c>
      <c r="H7" s="983" t="s">
        <v>1047</v>
      </c>
      <c r="I7" s="984" t="s">
        <v>1049</v>
      </c>
      <c r="J7" s="983" t="s">
        <v>1047</v>
      </c>
      <c r="K7" s="983" t="s">
        <v>1047</v>
      </c>
      <c r="L7" s="983" t="s">
        <v>1047</v>
      </c>
      <c r="M7" s="983" t="s">
        <v>1049</v>
      </c>
      <c r="N7" s="983" t="s">
        <v>1049</v>
      </c>
      <c r="O7" s="983" t="s">
        <v>1047</v>
      </c>
      <c r="P7" s="983" t="s">
        <v>1048</v>
      </c>
      <c r="Q7" s="983" t="s">
        <v>1047</v>
      </c>
      <c r="R7" s="983" t="s">
        <v>1047</v>
      </c>
      <c r="S7" s="983" t="s">
        <v>1049</v>
      </c>
      <c r="T7" s="984" t="s">
        <v>1049</v>
      </c>
      <c r="U7" s="975"/>
      <c r="V7" s="982" t="s">
        <v>1050</v>
      </c>
      <c r="W7" s="983" t="s">
        <v>1047</v>
      </c>
      <c r="X7" s="984" t="s">
        <v>1047</v>
      </c>
      <c r="Y7" s="975"/>
      <c r="Z7" s="982" t="s">
        <v>1051</v>
      </c>
      <c r="AA7" s="983" t="s">
        <v>1047</v>
      </c>
      <c r="AB7" s="984" t="s">
        <v>1049</v>
      </c>
      <c r="AC7" s="975"/>
      <c r="AD7" s="982" t="s">
        <v>1050</v>
      </c>
      <c r="AE7" s="983" t="s">
        <v>1047</v>
      </c>
      <c r="AF7" s="984" t="s">
        <v>1049</v>
      </c>
    </row>
    <row r="8" spans="2:41" ht="18.75" thickBot="1" x14ac:dyDescent="0.3">
      <c r="B8" s="985" t="s">
        <v>1052</v>
      </c>
      <c r="C8" s="427"/>
      <c r="D8" s="427"/>
      <c r="E8" s="427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723"/>
      <c r="V8" s="103"/>
      <c r="W8" s="103"/>
      <c r="X8" s="103"/>
      <c r="Y8" s="723"/>
      <c r="Z8" s="103"/>
      <c r="AA8" s="103"/>
      <c r="AB8" s="103"/>
      <c r="AC8" s="723"/>
      <c r="AD8" s="103"/>
      <c r="AE8" s="103"/>
      <c r="AF8" s="103"/>
    </row>
    <row r="9" spans="2:41" ht="15.75" thickBot="1" x14ac:dyDescent="0.3">
      <c r="B9" s="986" t="s">
        <v>1043</v>
      </c>
      <c r="C9" s="972"/>
      <c r="D9" s="973"/>
      <c r="E9" s="973"/>
      <c r="F9" s="973"/>
      <c r="G9" s="973">
        <v>77.835649248198905</v>
      </c>
      <c r="H9" s="973">
        <v>32.264150943396224</v>
      </c>
      <c r="I9" s="974">
        <v>11.793136781053649</v>
      </c>
      <c r="J9" s="973">
        <v>20.981955518254299</v>
      </c>
      <c r="K9" s="973">
        <v>8.3927822073017211</v>
      </c>
      <c r="L9" s="973">
        <v>-2.0408163265306123</v>
      </c>
      <c r="M9" s="973">
        <v>7.5573065902578795</v>
      </c>
      <c r="N9" s="973">
        <v>7.4353095316082545</v>
      </c>
      <c r="O9" s="973">
        <v>1.7252604166666667</v>
      </c>
      <c r="P9" s="973">
        <v>3.0976676384839652</v>
      </c>
      <c r="Q9" s="973">
        <v>0.83925112976113625</v>
      </c>
      <c r="R9" s="973">
        <v>-9.4893029675638374</v>
      </c>
      <c r="S9" s="973">
        <v>2.6038437693738374</v>
      </c>
      <c r="T9" s="974">
        <v>4.4935805991440798</v>
      </c>
      <c r="U9" s="975"/>
      <c r="V9" s="972"/>
      <c r="W9" s="973">
        <v>45.056703464959007</v>
      </c>
      <c r="X9" s="974">
        <v>3.7582950484941295</v>
      </c>
      <c r="Y9" s="975"/>
      <c r="Z9" s="972"/>
      <c r="AA9" s="973">
        <v>51.650079027600647</v>
      </c>
      <c r="AB9" s="974">
        <v>-0.72804659498207891</v>
      </c>
      <c r="AC9" s="975"/>
      <c r="AD9" s="972"/>
      <c r="AE9" s="973">
        <v>41.498702631701725</v>
      </c>
      <c r="AF9" s="974">
        <v>4.2558285697183731</v>
      </c>
    </row>
    <row r="10" spans="2:41" ht="15.75" thickBot="1" x14ac:dyDescent="0.3">
      <c r="B10" s="976" t="s">
        <v>1044</v>
      </c>
      <c r="C10" s="977">
        <v>-7.4919513030921383</v>
      </c>
      <c r="D10" s="978">
        <v>12.539905503767081</v>
      </c>
      <c r="E10" s="978">
        <v>11.962662736428396</v>
      </c>
      <c r="F10" s="978">
        <v>11.824324324324323</v>
      </c>
      <c r="G10" s="978">
        <v>17.218957108915845</v>
      </c>
      <c r="H10" s="978">
        <v>16.256372906045154</v>
      </c>
      <c r="I10" s="979">
        <v>4.3065920398009947</v>
      </c>
      <c r="J10" s="978">
        <v>26.309776399543004</v>
      </c>
      <c r="K10" s="978">
        <v>6.1949500880798594</v>
      </c>
      <c r="L10" s="978">
        <v>3.6833949219215643</v>
      </c>
      <c r="M10" s="978">
        <v>7.8512917454316318</v>
      </c>
      <c r="N10" s="978">
        <v>1.6149870801033592</v>
      </c>
      <c r="O10" s="978">
        <v>5.4033649698015536</v>
      </c>
      <c r="P10" s="978">
        <v>-0.31771247021445598</v>
      </c>
      <c r="Q10" s="978">
        <v>1.5138218516893376</v>
      </c>
      <c r="R10" s="978">
        <v>-2.2356495468277946</v>
      </c>
      <c r="S10" s="978">
        <v>1.9735438446767655</v>
      </c>
      <c r="T10" s="979">
        <v>-2.6187194587144469</v>
      </c>
      <c r="U10" s="975"/>
      <c r="V10" s="977">
        <v>3.9643706208417648</v>
      </c>
      <c r="W10" s="978">
        <v>-1.9636613734593287</v>
      </c>
      <c r="X10" s="979">
        <v>3.8497734783655426</v>
      </c>
      <c r="Y10" s="975"/>
      <c r="Z10" s="977">
        <v>-13.920037120098986</v>
      </c>
      <c r="AA10" s="978">
        <v>15.128919234570118</v>
      </c>
      <c r="AB10" s="979">
        <v>-0.81545064377682408</v>
      </c>
      <c r="AC10" s="975"/>
      <c r="AD10" s="977">
        <v>3.6518090134547583</v>
      </c>
      <c r="AE10" s="978">
        <v>-2.6923650057636377</v>
      </c>
      <c r="AF10" s="979">
        <v>3.8798127057476437</v>
      </c>
    </row>
    <row r="11" spans="2:41" ht="14.65" customHeight="1" thickBot="1" x14ac:dyDescent="0.3">
      <c r="B11" s="1035" t="s">
        <v>1045</v>
      </c>
      <c r="C11" s="980"/>
      <c r="D11" s="975"/>
      <c r="E11" s="975"/>
      <c r="F11" s="975"/>
      <c r="G11" s="975">
        <v>51.712362602714599</v>
      </c>
      <c r="H11" s="975">
        <v>13.769376798197607</v>
      </c>
      <c r="I11" s="981">
        <v>7.1774416121235758</v>
      </c>
      <c r="J11" s="975">
        <v>-4.2180589920733809</v>
      </c>
      <c r="K11" s="975">
        <v>2.0696201819379763</v>
      </c>
      <c r="L11" s="975">
        <v>-5.5208563075724664</v>
      </c>
      <c r="M11" s="975">
        <v>-0.27258380536383797</v>
      </c>
      <c r="N11" s="975">
        <v>5.7278189160391468</v>
      </c>
      <c r="O11" s="975">
        <v>-3.4895513574814969</v>
      </c>
      <c r="P11" s="975">
        <v>3.4262657823516429</v>
      </c>
      <c r="Q11" s="975">
        <v>-0.66451120608358361</v>
      </c>
      <c r="R11" s="975">
        <v>-7.4195280663276577</v>
      </c>
      <c r="S11" s="975">
        <v>0.6181014221268285</v>
      </c>
      <c r="T11" s="981">
        <v>7.303559799507064</v>
      </c>
      <c r="U11" s="975"/>
      <c r="V11" s="980"/>
      <c r="W11" s="975">
        <v>47.962179633755561</v>
      </c>
      <c r="X11" s="981">
        <v>-8.808726953118487E-2</v>
      </c>
      <c r="Y11" s="975"/>
      <c r="Z11" s="980"/>
      <c r="AA11" s="975">
        <v>31.721968759752066</v>
      </c>
      <c r="AB11" s="981">
        <v>8.8122645474580819E-2</v>
      </c>
      <c r="AC11" s="975"/>
      <c r="AD11" s="980"/>
      <c r="AE11" s="975">
        <v>45.413772146535926</v>
      </c>
      <c r="AF11" s="981">
        <v>0.36197202726562555</v>
      </c>
    </row>
    <row r="12" spans="2:41" ht="15.75" thickBot="1" x14ac:dyDescent="0.3">
      <c r="B12" s="1036" t="s">
        <v>1046</v>
      </c>
      <c r="C12" s="982"/>
      <c r="D12" s="983"/>
      <c r="E12" s="983"/>
      <c r="F12" s="983"/>
      <c r="G12" s="983" t="s">
        <v>1047</v>
      </c>
      <c r="H12" s="983" t="s">
        <v>1047</v>
      </c>
      <c r="I12" s="984" t="s">
        <v>1047</v>
      </c>
      <c r="J12" s="983" t="s">
        <v>1048</v>
      </c>
      <c r="K12" s="983" t="s">
        <v>1048</v>
      </c>
      <c r="L12" s="983" t="s">
        <v>1048</v>
      </c>
      <c r="M12" s="983" t="s">
        <v>1047</v>
      </c>
      <c r="N12" s="983" t="s">
        <v>1047</v>
      </c>
      <c r="O12" s="983" t="s">
        <v>1047</v>
      </c>
      <c r="P12" s="983" t="s">
        <v>1048</v>
      </c>
      <c r="Q12" s="983" t="s">
        <v>1047</v>
      </c>
      <c r="R12" s="983" t="s">
        <v>1048</v>
      </c>
      <c r="S12" s="983" t="s">
        <v>1047</v>
      </c>
      <c r="T12" s="984" t="s">
        <v>1048</v>
      </c>
      <c r="U12" s="975"/>
      <c r="V12" s="982"/>
      <c r="W12" s="983" t="s">
        <v>1053</v>
      </c>
      <c r="X12" s="984" t="s">
        <v>1048</v>
      </c>
      <c r="Y12" s="975"/>
      <c r="Z12" s="982"/>
      <c r="AA12" s="983" t="s">
        <v>1047</v>
      </c>
      <c r="AB12" s="984" t="s">
        <v>1048</v>
      </c>
      <c r="AC12" s="975"/>
      <c r="AD12" s="982"/>
      <c r="AE12" s="983" t="s">
        <v>1053</v>
      </c>
      <c r="AF12" s="984" t="s">
        <v>1048</v>
      </c>
    </row>
    <row r="13" spans="2:41" ht="18" x14ac:dyDescent="0.25">
      <c r="B13" s="985"/>
      <c r="C13" s="427"/>
      <c r="D13" s="427"/>
      <c r="E13" s="427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427"/>
      <c r="S13" s="723"/>
      <c r="T13" s="427"/>
      <c r="U13" s="427"/>
      <c r="V13" s="427"/>
      <c r="W13" s="427"/>
      <c r="X13" s="987"/>
      <c r="Y13" s="988"/>
      <c r="Z13" s="103"/>
      <c r="AA13" s="103"/>
      <c r="AB13" s="987"/>
      <c r="AC13" s="988"/>
      <c r="AD13" s="427"/>
      <c r="AE13" s="427"/>
      <c r="AF13" s="987"/>
    </row>
    <row r="14" spans="2:41" ht="15" customHeight="1" x14ac:dyDescent="0.25">
      <c r="B14" s="1140" t="s">
        <v>513</v>
      </c>
      <c r="C14" s="1231">
        <v>2017</v>
      </c>
      <c r="D14" s="1232"/>
      <c r="E14" s="1232"/>
      <c r="F14" s="1232"/>
      <c r="G14" s="1232"/>
      <c r="H14" s="1232"/>
      <c r="I14" s="1233"/>
      <c r="J14" s="1234">
        <v>2018</v>
      </c>
      <c r="K14" s="1235"/>
      <c r="L14" s="1235"/>
      <c r="M14" s="1235"/>
      <c r="N14" s="1235"/>
      <c r="O14" s="1235"/>
      <c r="P14" s="1235"/>
      <c r="Q14" s="1235"/>
      <c r="R14" s="1235"/>
      <c r="S14" s="1235"/>
      <c r="T14" s="1236"/>
      <c r="U14" s="969"/>
      <c r="V14" s="1142" t="s">
        <v>1040</v>
      </c>
      <c r="W14" s="1145"/>
      <c r="X14" s="1146"/>
      <c r="Y14" s="969"/>
      <c r="Z14" s="1142" t="s">
        <v>1041</v>
      </c>
      <c r="AA14" s="1143"/>
      <c r="AB14" s="1144"/>
      <c r="AC14" s="969"/>
      <c r="AD14" s="1227" t="s">
        <v>1042</v>
      </c>
      <c r="AE14" s="1228"/>
      <c r="AF14" s="1229"/>
    </row>
    <row r="15" spans="2:41" ht="15.75" thickBot="1" x14ac:dyDescent="0.3">
      <c r="B15" s="1141"/>
      <c r="C15" s="1032" t="s">
        <v>778</v>
      </c>
      <c r="D15" s="1032" t="s">
        <v>779</v>
      </c>
      <c r="E15" s="1032" t="s">
        <v>780</v>
      </c>
      <c r="F15" s="1032" t="s">
        <v>781</v>
      </c>
      <c r="G15" s="1032" t="s">
        <v>782</v>
      </c>
      <c r="H15" s="1032" t="s">
        <v>783</v>
      </c>
      <c r="I15" s="1033" t="s">
        <v>784</v>
      </c>
      <c r="J15" s="1032" t="s">
        <v>773</v>
      </c>
      <c r="K15" s="1032" t="s">
        <v>774</v>
      </c>
      <c r="L15" s="1032" t="s">
        <v>775</v>
      </c>
      <c r="M15" s="1032" t="s">
        <v>776</v>
      </c>
      <c r="N15" s="1032" t="s">
        <v>777</v>
      </c>
      <c r="O15" s="1032" t="s">
        <v>778</v>
      </c>
      <c r="P15" s="1032" t="s">
        <v>779</v>
      </c>
      <c r="Q15" s="1032" t="s">
        <v>780</v>
      </c>
      <c r="R15" s="1032" t="s">
        <v>781</v>
      </c>
      <c r="S15" s="1032" t="s">
        <v>782</v>
      </c>
      <c r="T15" s="1033" t="s">
        <v>783</v>
      </c>
      <c r="U15" s="970"/>
      <c r="V15" s="1034">
        <v>2016</v>
      </c>
      <c r="W15" s="1032">
        <v>2017</v>
      </c>
      <c r="X15" s="1033">
        <v>2018</v>
      </c>
      <c r="Y15" s="970"/>
      <c r="Z15" s="1034">
        <v>2016</v>
      </c>
      <c r="AA15" s="1032">
        <v>2017</v>
      </c>
      <c r="AB15" s="1033">
        <v>2018</v>
      </c>
      <c r="AC15" s="970"/>
      <c r="AD15" s="1034">
        <v>2016</v>
      </c>
      <c r="AE15" s="1032">
        <v>2017</v>
      </c>
      <c r="AF15" s="1033">
        <v>2018</v>
      </c>
    </row>
    <row r="16" spans="2:41" ht="15.75" thickBot="1" x14ac:dyDescent="0.3">
      <c r="B16" s="971" t="s">
        <v>1043</v>
      </c>
      <c r="C16" s="989">
        <v>113.310673828125</v>
      </c>
      <c r="D16" s="990">
        <v>110.63327259475217</v>
      </c>
      <c r="E16" s="990">
        <v>112.25897998708844</v>
      </c>
      <c r="F16" s="990">
        <v>107.40180469289164</v>
      </c>
      <c r="G16" s="990">
        <v>112.22826410415374</v>
      </c>
      <c r="H16" s="990">
        <v>107.96534593437946</v>
      </c>
      <c r="I16" s="991">
        <v>103.20655425853869</v>
      </c>
      <c r="J16" s="990">
        <v>111.09301422129725</v>
      </c>
      <c r="K16" s="990">
        <v>111.68545102593883</v>
      </c>
      <c r="L16" s="990">
        <v>121.2767902542373</v>
      </c>
      <c r="M16" s="990">
        <v>111.4324975024975</v>
      </c>
      <c r="N16" s="990">
        <v>113.36134146341463</v>
      </c>
      <c r="O16" s="990">
        <v>113.5126784</v>
      </c>
      <c r="P16" s="990">
        <v>108.00940968540121</v>
      </c>
      <c r="Q16" s="990">
        <v>114.33005761843789</v>
      </c>
      <c r="R16" s="990">
        <v>109.68791841402974</v>
      </c>
      <c r="S16" s="990">
        <v>115.54361933534743</v>
      </c>
      <c r="T16" s="991">
        <v>108.2775085324232</v>
      </c>
      <c r="U16" s="975"/>
      <c r="V16" s="989">
        <v>112.82913544668587</v>
      </c>
      <c r="W16" s="990">
        <v>112.11152692700355</v>
      </c>
      <c r="X16" s="991">
        <v>112.64818492097656</v>
      </c>
      <c r="Y16" s="975"/>
      <c r="Z16" s="989">
        <v>112.82913544668587</v>
      </c>
      <c r="AA16" s="990">
        <v>109.32276433691756</v>
      </c>
      <c r="AB16" s="991">
        <v>111.40853999774342</v>
      </c>
      <c r="AC16" s="975"/>
      <c r="AD16" s="989">
        <v>112.82913544668587</v>
      </c>
      <c r="AE16" s="990">
        <v>111.63248974949869</v>
      </c>
      <c r="AF16" s="991">
        <v>112.02127257069039</v>
      </c>
    </row>
    <row r="17" spans="2:32" ht="15.75" thickBot="1" x14ac:dyDescent="0.3">
      <c r="B17" s="976" t="s">
        <v>1044</v>
      </c>
      <c r="C17" s="992">
        <v>97.479854400345104</v>
      </c>
      <c r="D17" s="993">
        <v>94.457181436514233</v>
      </c>
      <c r="E17" s="993">
        <v>95.929280386134266</v>
      </c>
      <c r="F17" s="993">
        <v>93.232581268882171</v>
      </c>
      <c r="G17" s="993">
        <v>95.244037764028164</v>
      </c>
      <c r="H17" s="993">
        <v>90.922761558701907</v>
      </c>
      <c r="I17" s="994">
        <v>85.24010433745714</v>
      </c>
      <c r="J17" s="993">
        <v>96.042864711202995</v>
      </c>
      <c r="K17" s="993">
        <v>97.397861487420499</v>
      </c>
      <c r="L17" s="993">
        <v>99.730712807541963</v>
      </c>
      <c r="M17" s="993">
        <v>94.424851600841308</v>
      </c>
      <c r="N17" s="993">
        <v>94.786936851027747</v>
      </c>
      <c r="O17" s="993">
        <v>99.425741328148973</v>
      </c>
      <c r="P17" s="993">
        <v>93.571949914627197</v>
      </c>
      <c r="Q17" s="993">
        <v>97.385177220661333</v>
      </c>
      <c r="R17" s="993">
        <v>93.92493943139678</v>
      </c>
      <c r="S17" s="993">
        <v>95.445967151375669</v>
      </c>
      <c r="T17" s="994">
        <v>92.823839423571798</v>
      </c>
      <c r="U17" s="975"/>
      <c r="V17" s="992">
        <v>98.684706482083158</v>
      </c>
      <c r="W17" s="993">
        <v>94.094012168698427</v>
      </c>
      <c r="X17" s="994">
        <v>95.959578609062163</v>
      </c>
      <c r="Y17" s="975"/>
      <c r="Z17" s="992">
        <v>93.69927859132153</v>
      </c>
      <c r="AA17" s="993">
        <v>93.24899648849005</v>
      </c>
      <c r="AB17" s="994">
        <v>94.16024703984894</v>
      </c>
      <c r="AC17" s="975"/>
      <c r="AD17" s="992">
        <v>98.66376003254544</v>
      </c>
      <c r="AE17" s="993">
        <v>93.566577586030633</v>
      </c>
      <c r="AF17" s="994">
        <v>95.251797281736856</v>
      </c>
    </row>
    <row r="18" spans="2:32" ht="15.75" thickBot="1" x14ac:dyDescent="0.3">
      <c r="B18" s="1035" t="s">
        <v>1054</v>
      </c>
      <c r="C18" s="980">
        <v>116.24009342767731</v>
      </c>
      <c r="D18" s="975">
        <v>117.12531637322893</v>
      </c>
      <c r="E18" s="975">
        <v>117.02264369671481</v>
      </c>
      <c r="F18" s="975">
        <v>115.19771653982798</v>
      </c>
      <c r="G18" s="975">
        <v>117.83232498206853</v>
      </c>
      <c r="H18" s="975">
        <v>118.74402414039574</v>
      </c>
      <c r="I18" s="981">
        <v>121.07746120294991</v>
      </c>
      <c r="J18" s="975">
        <v>115.67024219378446</v>
      </c>
      <c r="K18" s="975">
        <v>114.6693051780851</v>
      </c>
      <c r="L18" s="975">
        <v>121.60425493827007</v>
      </c>
      <c r="M18" s="975">
        <v>118.01183228071352</v>
      </c>
      <c r="N18" s="975">
        <v>119.59595407284804</v>
      </c>
      <c r="O18" s="975">
        <v>114.16829976188748</v>
      </c>
      <c r="P18" s="975">
        <v>115.42926035414074</v>
      </c>
      <c r="Q18" s="975">
        <v>117.39985579056021</v>
      </c>
      <c r="R18" s="975">
        <v>116.78252770569664</v>
      </c>
      <c r="S18" s="975">
        <v>121.05657555137687</v>
      </c>
      <c r="T18" s="981">
        <v>116.6483838686456</v>
      </c>
      <c r="U18" s="975"/>
      <c r="V18" s="980">
        <v>114.33294931790745</v>
      </c>
      <c r="W18" s="975">
        <v>119.14841799497512</v>
      </c>
      <c r="X18" s="981">
        <v>117.39128761694913</v>
      </c>
      <c r="Y18" s="975"/>
      <c r="Z18" s="980">
        <v>120.41622640319468</v>
      </c>
      <c r="AA18" s="975">
        <v>117.23747005729068</v>
      </c>
      <c r="AB18" s="981">
        <v>118.31802007761826</v>
      </c>
      <c r="AC18" s="975"/>
      <c r="AD18" s="980">
        <v>114.35722235749763</v>
      </c>
      <c r="AE18" s="975">
        <v>119.30808268246982</v>
      </c>
      <c r="AF18" s="981">
        <v>117.60541613650878</v>
      </c>
    </row>
    <row r="19" spans="2:32" ht="15.75" thickBot="1" x14ac:dyDescent="0.3">
      <c r="B19" s="1036" t="s">
        <v>1046</v>
      </c>
      <c r="C19" s="982" t="s">
        <v>1047</v>
      </c>
      <c r="D19" s="983" t="s">
        <v>1049</v>
      </c>
      <c r="E19" s="983" t="s">
        <v>1049</v>
      </c>
      <c r="F19" s="983" t="s">
        <v>1049</v>
      </c>
      <c r="G19" s="983" t="s">
        <v>1049</v>
      </c>
      <c r="H19" s="983" t="s">
        <v>1049</v>
      </c>
      <c r="I19" s="984" t="s">
        <v>1049</v>
      </c>
      <c r="J19" s="983" t="s">
        <v>1049</v>
      </c>
      <c r="K19" s="983" t="s">
        <v>1049</v>
      </c>
      <c r="L19" s="983" t="s">
        <v>1049</v>
      </c>
      <c r="M19" s="983" t="s">
        <v>1049</v>
      </c>
      <c r="N19" s="983" t="s">
        <v>1049</v>
      </c>
      <c r="O19" s="983" t="s">
        <v>1047</v>
      </c>
      <c r="P19" s="983" t="s">
        <v>1049</v>
      </c>
      <c r="Q19" s="983" t="s">
        <v>1049</v>
      </c>
      <c r="R19" s="983" t="s">
        <v>1049</v>
      </c>
      <c r="S19" s="983" t="s">
        <v>1049</v>
      </c>
      <c r="T19" s="984" t="s">
        <v>1049</v>
      </c>
      <c r="U19" s="975"/>
      <c r="V19" s="982" t="s">
        <v>1055</v>
      </c>
      <c r="W19" s="983" t="s">
        <v>1049</v>
      </c>
      <c r="X19" s="984" t="s">
        <v>1049</v>
      </c>
      <c r="Y19" s="975"/>
      <c r="Z19" s="982" t="s">
        <v>1049</v>
      </c>
      <c r="AA19" s="983" t="s">
        <v>1049</v>
      </c>
      <c r="AB19" s="984" t="s">
        <v>1049</v>
      </c>
      <c r="AC19" s="975"/>
      <c r="AD19" s="982" t="s">
        <v>1055</v>
      </c>
      <c r="AE19" s="983" t="s">
        <v>1049</v>
      </c>
      <c r="AF19" s="984" t="s">
        <v>1049</v>
      </c>
    </row>
    <row r="20" spans="2:32" ht="18.75" thickBot="1" x14ac:dyDescent="0.3">
      <c r="B20" s="985" t="s">
        <v>1052</v>
      </c>
      <c r="C20" s="427"/>
      <c r="D20" s="427"/>
      <c r="E20" s="427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427"/>
      <c r="S20" s="103"/>
      <c r="T20" s="103"/>
      <c r="U20" s="723"/>
      <c r="V20" s="103"/>
      <c r="W20" s="103"/>
      <c r="X20" s="103"/>
      <c r="Y20" s="723"/>
      <c r="Z20" s="103"/>
      <c r="AA20" s="103"/>
      <c r="AB20" s="103"/>
      <c r="AC20" s="723"/>
      <c r="AD20" s="103"/>
      <c r="AE20" s="103"/>
      <c r="AF20" s="103"/>
    </row>
    <row r="21" spans="2:32" ht="15.75" thickBot="1" x14ac:dyDescent="0.3">
      <c r="B21" s="986" t="s">
        <v>1043</v>
      </c>
      <c r="C21" s="972"/>
      <c r="D21" s="973"/>
      <c r="E21" s="973"/>
      <c r="F21" s="973"/>
      <c r="G21" s="973">
        <v>0.17236897395401099</v>
      </c>
      <c r="H21" s="973">
        <v>-4.8467516948233538</v>
      </c>
      <c r="I21" s="974">
        <v>-1.1198375676946641</v>
      </c>
      <c r="J21" s="973">
        <v>-1.8782416520224059</v>
      </c>
      <c r="K21" s="973">
        <v>-1.8567955853321405</v>
      </c>
      <c r="L21" s="973">
        <v>7.6820555230376648</v>
      </c>
      <c r="M21" s="973">
        <v>-3.045270893866471</v>
      </c>
      <c r="N21" s="973">
        <v>-1.4178025677227073</v>
      </c>
      <c r="O21" s="973">
        <v>0.17827497185429339</v>
      </c>
      <c r="P21" s="973">
        <v>-2.3716761222115794</v>
      </c>
      <c r="Q21" s="973">
        <v>1.8449104308516457</v>
      </c>
      <c r="R21" s="973">
        <v>2.1285617384876154</v>
      </c>
      <c r="S21" s="973">
        <v>2.9541178932580272</v>
      </c>
      <c r="T21" s="974">
        <v>0.28913221677025924</v>
      </c>
      <c r="U21" s="975"/>
      <c r="V21" s="972"/>
      <c r="W21" s="973">
        <v>-0.63601348786492362</v>
      </c>
      <c r="X21" s="974">
        <v>0.4786822628171119</v>
      </c>
      <c r="Y21" s="975"/>
      <c r="Z21" s="972"/>
      <c r="AA21" s="973">
        <v>-3.1076823338996067</v>
      </c>
      <c r="AB21" s="974">
        <v>1.9079060737961167</v>
      </c>
      <c r="AC21" s="975"/>
      <c r="AD21" s="972"/>
      <c r="AE21" s="973">
        <v>-1.0605821736111956</v>
      </c>
      <c r="AF21" s="974">
        <v>0.34827031275941367</v>
      </c>
    </row>
    <row r="22" spans="2:32" ht="15.75" thickBot="1" x14ac:dyDescent="0.3">
      <c r="B22" s="976" t="s">
        <v>1044</v>
      </c>
      <c r="C22" s="977">
        <v>-5.9764543517084281</v>
      </c>
      <c r="D22" s="978">
        <v>0.10520098978161277</v>
      </c>
      <c r="E22" s="978">
        <v>-3.3140170161392422</v>
      </c>
      <c r="F22" s="978">
        <v>-0.65876224261908878</v>
      </c>
      <c r="G22" s="978">
        <v>-0.22785123526233492</v>
      </c>
      <c r="H22" s="978">
        <v>-0.6124539902624162</v>
      </c>
      <c r="I22" s="979">
        <v>-0.96778071787504727</v>
      </c>
      <c r="J22" s="978">
        <v>4.1934117783188132</v>
      </c>
      <c r="K22" s="978">
        <v>1.9863488932950084</v>
      </c>
      <c r="L22" s="978">
        <v>7.3065831614262633</v>
      </c>
      <c r="M22" s="978">
        <v>1.2718619708432843</v>
      </c>
      <c r="N22" s="978">
        <v>2.0254538668554773</v>
      </c>
      <c r="O22" s="978">
        <v>1.9961939210661845</v>
      </c>
      <c r="P22" s="978">
        <v>-0.93717757445685501</v>
      </c>
      <c r="Q22" s="978">
        <v>1.5176772187457204</v>
      </c>
      <c r="R22" s="978">
        <v>0.74261395865234536</v>
      </c>
      <c r="S22" s="978">
        <v>0.2120126278642176</v>
      </c>
      <c r="T22" s="979">
        <v>2.090871232108912</v>
      </c>
      <c r="U22" s="975"/>
      <c r="V22" s="977">
        <v>-4.2427585112796971</v>
      </c>
      <c r="W22" s="978">
        <v>-4.6518801920115171</v>
      </c>
      <c r="X22" s="979">
        <v>1.9826622304286696</v>
      </c>
      <c r="Y22" s="975"/>
      <c r="Z22" s="977">
        <v>-8.6371529429253435</v>
      </c>
      <c r="AA22" s="978">
        <v>-0.48056090676581698</v>
      </c>
      <c r="AB22" s="979">
        <v>0.97722290391765332</v>
      </c>
      <c r="AC22" s="975"/>
      <c r="AD22" s="977">
        <v>-4.0651922197937562</v>
      </c>
      <c r="AE22" s="978">
        <v>-5.1662154825981172</v>
      </c>
      <c r="AF22" s="979">
        <v>1.8010915213359537</v>
      </c>
    </row>
    <row r="23" spans="2:32" ht="15.75" thickBot="1" x14ac:dyDescent="0.3">
      <c r="B23" s="1035" t="s">
        <v>1054</v>
      </c>
      <c r="C23" s="980"/>
      <c r="D23" s="975"/>
      <c r="E23" s="975"/>
      <c r="F23" s="975"/>
      <c r="G23" s="975">
        <v>0.40113419844255693</v>
      </c>
      <c r="H23" s="975">
        <v>-4.2603906370181219</v>
      </c>
      <c r="I23" s="981">
        <v>-0.15354280750432778</v>
      </c>
      <c r="J23" s="975">
        <v>-5.8272911182323384</v>
      </c>
      <c r="K23" s="975">
        <v>-3.7682930316959435</v>
      </c>
      <c r="L23" s="975">
        <v>0.34990617588350648</v>
      </c>
      <c r="M23" s="975">
        <v>-4.2629144766319014</v>
      </c>
      <c r="N23" s="975">
        <v>-3.3748994040954505</v>
      </c>
      <c r="O23" s="975">
        <v>-1.7823399867437797</v>
      </c>
      <c r="P23" s="975">
        <v>-1.4480695306585996</v>
      </c>
      <c r="Q23" s="975">
        <v>0.32234111444533747</v>
      </c>
      <c r="R23" s="975">
        <v>1.3757314063779431</v>
      </c>
      <c r="S23" s="975">
        <v>2.7363039554714619</v>
      </c>
      <c r="T23" s="981">
        <v>-1.7648385145448564</v>
      </c>
      <c r="U23" s="975"/>
      <c r="V23" s="980"/>
      <c r="W23" s="975">
        <v>4.2117943303273551</v>
      </c>
      <c r="X23" s="981">
        <v>-1.4747408380194387</v>
      </c>
      <c r="Y23" s="975"/>
      <c r="Z23" s="980"/>
      <c r="AA23" s="975">
        <v>-2.6398073090751515</v>
      </c>
      <c r="AB23" s="981">
        <v>0.92167633760737466</v>
      </c>
      <c r="AC23" s="975"/>
      <c r="AD23" s="980"/>
      <c r="AE23" s="975">
        <v>4.3292939640445791</v>
      </c>
      <c r="AF23" s="981">
        <v>-1.427117515996428</v>
      </c>
    </row>
    <row r="24" spans="2:32" ht="15.75" thickBot="1" x14ac:dyDescent="0.3">
      <c r="B24" s="1036" t="s">
        <v>1046</v>
      </c>
      <c r="C24" s="982"/>
      <c r="D24" s="983"/>
      <c r="E24" s="983"/>
      <c r="F24" s="983"/>
      <c r="G24" s="983" t="s">
        <v>1048</v>
      </c>
      <c r="H24" s="983" t="s">
        <v>1056</v>
      </c>
      <c r="I24" s="984" t="s">
        <v>1051</v>
      </c>
      <c r="J24" s="983" t="s">
        <v>1056</v>
      </c>
      <c r="K24" s="983" t="s">
        <v>1051</v>
      </c>
      <c r="L24" s="983" t="s">
        <v>1048</v>
      </c>
      <c r="M24" s="983" t="s">
        <v>1056</v>
      </c>
      <c r="N24" s="983" t="s">
        <v>1056</v>
      </c>
      <c r="O24" s="983" t="s">
        <v>1051</v>
      </c>
      <c r="P24" s="983" t="s">
        <v>1051</v>
      </c>
      <c r="Q24" s="983" t="s">
        <v>1051</v>
      </c>
      <c r="R24" s="983" t="s">
        <v>1047</v>
      </c>
      <c r="S24" s="983" t="s">
        <v>1048</v>
      </c>
      <c r="T24" s="984" t="s">
        <v>1051</v>
      </c>
      <c r="U24" s="975"/>
      <c r="V24" s="982"/>
      <c r="W24" s="983" t="s">
        <v>1057</v>
      </c>
      <c r="X24" s="984" t="s">
        <v>1051</v>
      </c>
      <c r="Y24" s="975"/>
      <c r="Z24" s="982"/>
      <c r="AA24" s="983" t="s">
        <v>1051</v>
      </c>
      <c r="AB24" s="984" t="s">
        <v>1048</v>
      </c>
      <c r="AC24" s="975"/>
      <c r="AD24" s="982"/>
      <c r="AE24" s="983" t="s">
        <v>1057</v>
      </c>
      <c r="AF24" s="984" t="s">
        <v>1056</v>
      </c>
    </row>
    <row r="25" spans="2:32" ht="18" x14ac:dyDescent="0.25">
      <c r="B25" s="985"/>
      <c r="C25" s="427"/>
      <c r="D25" s="427"/>
      <c r="E25" s="427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427"/>
      <c r="S25" s="427"/>
      <c r="T25" s="427"/>
      <c r="U25" s="723"/>
      <c r="V25" s="427"/>
      <c r="W25" s="427"/>
      <c r="X25" s="987"/>
      <c r="Y25" s="988"/>
      <c r="Z25" s="103"/>
      <c r="AA25" s="103"/>
      <c r="AB25" s="987"/>
      <c r="AC25" s="988"/>
      <c r="AD25" s="427"/>
      <c r="AE25" s="427"/>
      <c r="AF25" s="987"/>
    </row>
    <row r="26" spans="2:32" ht="15" customHeight="1" x14ac:dyDescent="0.25">
      <c r="B26" s="1140" t="s">
        <v>41</v>
      </c>
      <c r="C26" s="1231">
        <v>2017</v>
      </c>
      <c r="D26" s="1232"/>
      <c r="E26" s="1232"/>
      <c r="F26" s="1232"/>
      <c r="G26" s="1232"/>
      <c r="H26" s="1232"/>
      <c r="I26" s="1233"/>
      <c r="J26" s="1234">
        <v>2018</v>
      </c>
      <c r="K26" s="1235"/>
      <c r="L26" s="1235"/>
      <c r="M26" s="1235"/>
      <c r="N26" s="1235"/>
      <c r="O26" s="1235"/>
      <c r="P26" s="1235"/>
      <c r="Q26" s="1235"/>
      <c r="R26" s="1235"/>
      <c r="S26" s="1235"/>
      <c r="T26" s="1236"/>
      <c r="U26" s="969"/>
      <c r="V26" s="1142" t="s">
        <v>1040</v>
      </c>
      <c r="W26" s="1145"/>
      <c r="X26" s="1146"/>
      <c r="Y26" s="969"/>
      <c r="Z26" s="1142" t="s">
        <v>1041</v>
      </c>
      <c r="AA26" s="1143"/>
      <c r="AB26" s="1144"/>
      <c r="AC26" s="969"/>
      <c r="AD26" s="1227" t="s">
        <v>1042</v>
      </c>
      <c r="AE26" s="1228"/>
      <c r="AF26" s="1229"/>
    </row>
    <row r="27" spans="2:32" ht="15.75" thickBot="1" x14ac:dyDescent="0.3">
      <c r="B27" s="1141"/>
      <c r="C27" s="1032" t="s">
        <v>778</v>
      </c>
      <c r="D27" s="1032" t="s">
        <v>779</v>
      </c>
      <c r="E27" s="1032" t="s">
        <v>780</v>
      </c>
      <c r="F27" s="1032" t="s">
        <v>781</v>
      </c>
      <c r="G27" s="1032" t="s">
        <v>782</v>
      </c>
      <c r="H27" s="1032" t="s">
        <v>783</v>
      </c>
      <c r="I27" s="1033" t="s">
        <v>784</v>
      </c>
      <c r="J27" s="1032" t="s">
        <v>773</v>
      </c>
      <c r="K27" s="1032" t="s">
        <v>774</v>
      </c>
      <c r="L27" s="1032" t="s">
        <v>775</v>
      </c>
      <c r="M27" s="1032" t="s">
        <v>776</v>
      </c>
      <c r="N27" s="1032" t="s">
        <v>777</v>
      </c>
      <c r="O27" s="1032" t="s">
        <v>778</v>
      </c>
      <c r="P27" s="1032" t="s">
        <v>779</v>
      </c>
      <c r="Q27" s="1032" t="s">
        <v>780</v>
      </c>
      <c r="R27" s="1032" t="s">
        <v>781</v>
      </c>
      <c r="S27" s="1032" t="s">
        <v>782</v>
      </c>
      <c r="T27" s="1033" t="s">
        <v>783</v>
      </c>
      <c r="U27" s="970"/>
      <c r="V27" s="1034">
        <v>2016</v>
      </c>
      <c r="W27" s="1032">
        <v>2017</v>
      </c>
      <c r="X27" s="1033">
        <v>2018</v>
      </c>
      <c r="Y27" s="970"/>
      <c r="Z27" s="1034">
        <v>2016</v>
      </c>
      <c r="AA27" s="1032">
        <v>2017</v>
      </c>
      <c r="AB27" s="1033">
        <v>2018</v>
      </c>
      <c r="AC27" s="970"/>
      <c r="AD27" s="1034">
        <v>2016</v>
      </c>
      <c r="AE27" s="1032">
        <v>2017</v>
      </c>
      <c r="AF27" s="1033">
        <v>2018</v>
      </c>
    </row>
    <row r="28" spans="2:32" ht="15.75" thickBot="1" x14ac:dyDescent="0.3">
      <c r="B28" s="971" t="s">
        <v>1043</v>
      </c>
      <c r="C28" s="989">
        <v>92.824104000000005</v>
      </c>
      <c r="D28" s="990">
        <v>78.342632258064512</v>
      </c>
      <c r="E28" s="990">
        <v>89.749243870967732</v>
      </c>
      <c r="F28" s="990">
        <v>83.000114666666661</v>
      </c>
      <c r="G28" s="990">
        <v>93.431839999999994</v>
      </c>
      <c r="H28" s="990">
        <v>80.729287999999997</v>
      </c>
      <c r="I28" s="991">
        <v>61.604325161290319</v>
      </c>
      <c r="J28" s="990">
        <v>82.653202580645157</v>
      </c>
      <c r="K28" s="990">
        <v>82.423862857142851</v>
      </c>
      <c r="L28" s="990">
        <v>88.633772903225804</v>
      </c>
      <c r="M28" s="990">
        <v>89.235144000000005</v>
      </c>
      <c r="N28" s="990">
        <v>95.954890322580638</v>
      </c>
      <c r="O28" s="990">
        <v>94.593898666666661</v>
      </c>
      <c r="P28" s="990">
        <v>78.853837419354832</v>
      </c>
      <c r="Q28" s="990">
        <v>92.172154838709673</v>
      </c>
      <c r="R28" s="990">
        <v>76.723042666666672</v>
      </c>
      <c r="S28" s="990">
        <v>98.696614193548385</v>
      </c>
      <c r="T28" s="991">
        <v>84.600826666666663</v>
      </c>
      <c r="U28" s="975"/>
      <c r="V28" s="989">
        <v>58.395770847457619</v>
      </c>
      <c r="W28" s="990">
        <v>84.168232335329336</v>
      </c>
      <c r="X28" s="991">
        <v>87.749563353293411</v>
      </c>
      <c r="Y28" s="975"/>
      <c r="Z28" s="989">
        <v>58.395770847457619</v>
      </c>
      <c r="AA28" s="990">
        <v>85.805155164835156</v>
      </c>
      <c r="AB28" s="991">
        <v>86.805616703296693</v>
      </c>
      <c r="AC28" s="975"/>
      <c r="AD28" s="989">
        <v>58.395770847457619</v>
      </c>
      <c r="AE28" s="990">
        <v>81.752906958904106</v>
      </c>
      <c r="AF28" s="991">
        <v>85.529008876712325</v>
      </c>
    </row>
    <row r="29" spans="2:32" ht="15.75" thickBot="1" x14ac:dyDescent="0.3">
      <c r="B29" s="976" t="s">
        <v>1044</v>
      </c>
      <c r="C29" s="992">
        <v>74.573697194719472</v>
      </c>
      <c r="D29" s="993">
        <v>66.468471734270196</v>
      </c>
      <c r="E29" s="993">
        <v>69.825241137016917</v>
      </c>
      <c r="F29" s="993">
        <v>63.655083333333337</v>
      </c>
      <c r="G29" s="993">
        <v>71.288534813158734</v>
      </c>
      <c r="H29" s="993">
        <v>59.872488448844884</v>
      </c>
      <c r="I29" s="994">
        <v>45.66239699776429</v>
      </c>
      <c r="J29" s="993">
        <v>59.348110028744806</v>
      </c>
      <c r="K29" s="993">
        <v>62.285725777934928</v>
      </c>
      <c r="L29" s="993">
        <v>69.263633024592778</v>
      </c>
      <c r="M29" s="993">
        <v>66.673917491749179</v>
      </c>
      <c r="N29" s="993">
        <v>71.430781699137654</v>
      </c>
      <c r="O29" s="993">
        <v>80.172258250825081</v>
      </c>
      <c r="P29" s="993">
        <v>65.636344618332799</v>
      </c>
      <c r="Q29" s="993">
        <v>71.958034972852118</v>
      </c>
      <c r="R29" s="993">
        <v>62.694122112211218</v>
      </c>
      <c r="S29" s="993">
        <v>72.849568827850533</v>
      </c>
      <c r="T29" s="994">
        <v>59.523669966996692</v>
      </c>
      <c r="U29" s="975"/>
      <c r="V29" s="992">
        <v>68.170361563670212</v>
      </c>
      <c r="W29" s="993">
        <v>63.722794658208336</v>
      </c>
      <c r="X29" s="994">
        <v>67.488024026205011</v>
      </c>
      <c r="Y29" s="975"/>
      <c r="Z29" s="992">
        <v>56.738476226743551</v>
      </c>
      <c r="AA29" s="993">
        <v>65.008480578827104</v>
      </c>
      <c r="AB29" s="994">
        <v>65.108465890545091</v>
      </c>
      <c r="AC29" s="975"/>
      <c r="AD29" s="992">
        <v>67.257006632004632</v>
      </c>
      <c r="AE29" s="993">
        <v>62.065110674081112</v>
      </c>
      <c r="AF29" s="994">
        <v>65.634340634748412</v>
      </c>
    </row>
    <row r="30" spans="2:32" ht="15.75" thickBot="1" x14ac:dyDescent="0.3">
      <c r="B30" s="1035" t="s">
        <v>1058</v>
      </c>
      <c r="C30" s="980">
        <v>124.47298108021499</v>
      </c>
      <c r="D30" s="975">
        <v>117.86435014071816</v>
      </c>
      <c r="E30" s="975">
        <v>128.53409799882289</v>
      </c>
      <c r="F30" s="975">
        <v>130.39039511115243</v>
      </c>
      <c r="G30" s="975">
        <v>131.0615237707957</v>
      </c>
      <c r="H30" s="975">
        <v>134.83536444117433</v>
      </c>
      <c r="I30" s="981">
        <v>134.91259594695953</v>
      </c>
      <c r="J30" s="975">
        <v>139.26846624199609</v>
      </c>
      <c r="K30" s="975">
        <v>132.33186549195187</v>
      </c>
      <c r="L30" s="975">
        <v>127.96581558428424</v>
      </c>
      <c r="M30" s="975">
        <v>133.8381594437476</v>
      </c>
      <c r="N30" s="975">
        <v>134.33268968935147</v>
      </c>
      <c r="O30" s="975">
        <v>117.98831756830694</v>
      </c>
      <c r="P30" s="975">
        <v>120.13746024078598</v>
      </c>
      <c r="Q30" s="975">
        <v>128.09153956675416</v>
      </c>
      <c r="R30" s="975">
        <v>122.37677166823741</v>
      </c>
      <c r="S30" s="975">
        <v>135.48002518282095</v>
      </c>
      <c r="T30" s="981">
        <v>142.12972203087304</v>
      </c>
      <c r="U30" s="975"/>
      <c r="V30" s="980">
        <v>85.661524316424149</v>
      </c>
      <c r="W30" s="975">
        <v>132.08496706207683</v>
      </c>
      <c r="X30" s="981">
        <v>130.0224219325506</v>
      </c>
      <c r="Y30" s="975"/>
      <c r="Z30" s="980">
        <v>102.9209360753557</v>
      </c>
      <c r="AA30" s="975">
        <v>131.99071013633474</v>
      </c>
      <c r="AB30" s="981">
        <v>133.32462302095558</v>
      </c>
      <c r="AC30" s="975"/>
      <c r="AD30" s="980">
        <v>86.824813906704037</v>
      </c>
      <c r="AE30" s="975">
        <v>131.7211974183183</v>
      </c>
      <c r="AF30" s="981">
        <v>130.31137061721498</v>
      </c>
    </row>
    <row r="31" spans="2:32" ht="15.75" thickBot="1" x14ac:dyDescent="0.3">
      <c r="B31" s="1036" t="s">
        <v>1046</v>
      </c>
      <c r="C31" s="982" t="s">
        <v>1049</v>
      </c>
      <c r="D31" s="983" t="s">
        <v>1047</v>
      </c>
      <c r="E31" s="983" t="s">
        <v>1047</v>
      </c>
      <c r="F31" s="983" t="s">
        <v>1049</v>
      </c>
      <c r="G31" s="983" t="s">
        <v>1049</v>
      </c>
      <c r="H31" s="983" t="s">
        <v>1049</v>
      </c>
      <c r="I31" s="984" t="s">
        <v>1049</v>
      </c>
      <c r="J31" s="983" t="s">
        <v>1049</v>
      </c>
      <c r="K31" s="983" t="s">
        <v>1047</v>
      </c>
      <c r="L31" s="983" t="s">
        <v>1047</v>
      </c>
      <c r="M31" s="983" t="s">
        <v>1049</v>
      </c>
      <c r="N31" s="983" t="s">
        <v>1049</v>
      </c>
      <c r="O31" s="983" t="s">
        <v>1049</v>
      </c>
      <c r="P31" s="983" t="s">
        <v>1047</v>
      </c>
      <c r="Q31" s="983" t="s">
        <v>1049</v>
      </c>
      <c r="R31" s="983" t="s">
        <v>1047</v>
      </c>
      <c r="S31" s="983" t="s">
        <v>1049</v>
      </c>
      <c r="T31" s="984" t="s">
        <v>1049</v>
      </c>
      <c r="U31" s="975"/>
      <c r="V31" s="982" t="s">
        <v>1050</v>
      </c>
      <c r="W31" s="983" t="s">
        <v>1049</v>
      </c>
      <c r="X31" s="984" t="s">
        <v>1049</v>
      </c>
      <c r="Y31" s="975"/>
      <c r="Z31" s="982" t="s">
        <v>1051</v>
      </c>
      <c r="AA31" s="983" t="s">
        <v>1049</v>
      </c>
      <c r="AB31" s="984" t="s">
        <v>1049</v>
      </c>
      <c r="AC31" s="975"/>
      <c r="AD31" s="982" t="s">
        <v>1050</v>
      </c>
      <c r="AE31" s="983" t="s">
        <v>1049</v>
      </c>
      <c r="AF31" s="984" t="s">
        <v>1049</v>
      </c>
    </row>
    <row r="32" spans="2:32" ht="18.75" thickBot="1" x14ac:dyDescent="0.3">
      <c r="B32" s="985" t="s">
        <v>1052</v>
      </c>
      <c r="C32" s="427"/>
      <c r="D32" s="427"/>
      <c r="E32" s="427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427"/>
      <c r="S32" s="103"/>
      <c r="T32" s="103"/>
      <c r="U32" s="723"/>
      <c r="V32" s="103"/>
      <c r="W32" s="103"/>
      <c r="X32" s="103"/>
      <c r="Y32" s="723"/>
      <c r="Z32" s="103"/>
      <c r="AA32" s="103"/>
      <c r="AB32" s="103"/>
      <c r="AC32" s="723"/>
      <c r="AD32" s="103"/>
      <c r="AE32" s="103"/>
      <c r="AF32" s="103"/>
    </row>
    <row r="33" spans="2:41" ht="15.75" thickBot="1" x14ac:dyDescent="0.3">
      <c r="B33" s="986" t="s">
        <v>1043</v>
      </c>
      <c r="C33" s="972"/>
      <c r="D33" s="973"/>
      <c r="E33" s="973"/>
      <c r="F33" s="973"/>
      <c r="G33" s="973">
        <v>78.142182732132483</v>
      </c>
      <c r="H33" s="973">
        <v>25.853635965903454</v>
      </c>
      <c r="I33" s="974">
        <v>10.54123523727513</v>
      </c>
      <c r="J33" s="973">
        <v>18.709622038279228</v>
      </c>
      <c r="K33" s="973">
        <v>6.3801498124578604</v>
      </c>
      <c r="L33" s="973">
        <v>5.4844625531797533</v>
      </c>
      <c r="M33" s="973">
        <v>4.2818952384380324</v>
      </c>
      <c r="N33" s="973">
        <v>5.912088954428274</v>
      </c>
      <c r="O33" s="973">
        <v>1.9066110960431859</v>
      </c>
      <c r="P33" s="973">
        <v>0.65252487254498603</v>
      </c>
      <c r="Q33" s="973">
        <v>2.6996449922467853</v>
      </c>
      <c r="R33" s="973">
        <v>-7.5627269012929554</v>
      </c>
      <c r="S33" s="973">
        <v>5.6348822773354215</v>
      </c>
      <c r="T33" s="974">
        <v>4.7957052051130029</v>
      </c>
      <c r="U33" s="975"/>
      <c r="V33" s="972"/>
      <c r="W33" s="973">
        <v>44.13412326586964</v>
      </c>
      <c r="X33" s="974">
        <v>4.2549676030927168</v>
      </c>
      <c r="Y33" s="975"/>
      <c r="Z33" s="972"/>
      <c r="AA33" s="973">
        <v>46.937276312315099</v>
      </c>
      <c r="AB33" s="974">
        <v>1.1659690336083088</v>
      </c>
      <c r="AC33" s="975"/>
      <c r="AD33" s="972"/>
      <c r="AE33" s="973">
        <v>39.997992615698777</v>
      </c>
      <c r="AF33" s="974">
        <v>4.6189206699480501</v>
      </c>
    </row>
    <row r="34" spans="2:41" ht="15.75" thickBot="1" x14ac:dyDescent="0.3">
      <c r="B34" s="976" t="s">
        <v>1044</v>
      </c>
      <c r="C34" s="977">
        <v>-13.020652605119039</v>
      </c>
      <c r="D34" s="978">
        <v>12.658298598256334</v>
      </c>
      <c r="E34" s="978">
        <v>8.2522010416205678</v>
      </c>
      <c r="F34" s="978">
        <v>11.087667897611762</v>
      </c>
      <c r="G34" s="978">
        <v>16.95187226718155</v>
      </c>
      <c r="H34" s="978">
        <v>15.54435611124773</v>
      </c>
      <c r="I34" s="979">
        <v>3.2971329545672123</v>
      </c>
      <c r="J34" s="978">
        <v>31.606465440249597</v>
      </c>
      <c r="K34" s="978">
        <v>8.304352303889619</v>
      </c>
      <c r="L34" s="978">
        <v>11.259108396481778</v>
      </c>
      <c r="M34" s="978">
        <v>9.2230113102050186</v>
      </c>
      <c r="N34" s="978">
        <v>3.673151765222006</v>
      </c>
      <c r="O34" s="978">
        <v>7.5074205339279363</v>
      </c>
      <c r="P34" s="978">
        <v>-1.2519125146492083</v>
      </c>
      <c r="Q34" s="978">
        <v>3.0544739998105417</v>
      </c>
      <c r="R34" s="978">
        <v>-1.5096378337767404</v>
      </c>
      <c r="S34" s="978">
        <v>2.189740634708135</v>
      </c>
      <c r="T34" s="979">
        <v>-0.58260227841743317</v>
      </c>
      <c r="U34" s="975"/>
      <c r="V34" s="977">
        <v>-0.44658656237236816</v>
      </c>
      <c r="W34" s="978">
        <v>-6.5241943910007096</v>
      </c>
      <c r="X34" s="979">
        <v>5.9087637135068256</v>
      </c>
      <c r="Y34" s="975"/>
      <c r="Z34" s="977">
        <v>-21.354895167249399</v>
      </c>
      <c r="AA34" s="978">
        <v>14.575654656346785</v>
      </c>
      <c r="AB34" s="979">
        <v>0.15380348967969823</v>
      </c>
      <c r="AC34" s="975"/>
      <c r="AD34" s="977">
        <v>-0.56183626223568828</v>
      </c>
      <c r="AE34" s="978">
        <v>-7.7194871105859413</v>
      </c>
      <c r="AF34" s="979">
        <v>5.7507832047705332</v>
      </c>
    </row>
    <row r="35" spans="2:41" ht="15.75" thickBot="1" x14ac:dyDescent="0.3">
      <c r="B35" s="1035" t="s">
        <v>1058</v>
      </c>
      <c r="C35" s="980"/>
      <c r="D35" s="975"/>
      <c r="E35" s="975"/>
      <c r="F35" s="975"/>
      <c r="G35" s="975">
        <v>52.320932772379273</v>
      </c>
      <c r="H35" s="975">
        <v>8.9223569212933267</v>
      </c>
      <c r="I35" s="981">
        <v>7.01287835926101</v>
      </c>
      <c r="J35" s="975">
        <v>-9.7995515332988266</v>
      </c>
      <c r="K35" s="975">
        <v>-1.7766622028565091</v>
      </c>
      <c r="L35" s="975">
        <v>-5.1902679488708099</v>
      </c>
      <c r="M35" s="975">
        <v>-4.5238782674959301</v>
      </c>
      <c r="N35" s="975">
        <v>2.1596113854786245</v>
      </c>
      <c r="O35" s="975">
        <v>-5.2096956750229237</v>
      </c>
      <c r="P35" s="975">
        <v>1.928581540859428</v>
      </c>
      <c r="Q35" s="975">
        <v>-0.34431208446555012</v>
      </c>
      <c r="R35" s="975">
        <v>-6.1458694377632099</v>
      </c>
      <c r="S35" s="975">
        <v>3.3713185112607724</v>
      </c>
      <c r="T35" s="981">
        <v>5.4098252486876923</v>
      </c>
      <c r="U35" s="975"/>
      <c r="V35" s="980"/>
      <c r="W35" s="975">
        <v>54.194042326598861</v>
      </c>
      <c r="X35" s="981">
        <v>-1.561529048613751</v>
      </c>
      <c r="Y35" s="975"/>
      <c r="Z35" s="980"/>
      <c r="AA35" s="975">
        <v>28.244762600774443</v>
      </c>
      <c r="AB35" s="981">
        <v>1.0106111886533682</v>
      </c>
      <c r="AC35" s="975"/>
      <c r="AD35" s="980"/>
      <c r="AE35" s="975">
        <v>51.709161806965447</v>
      </c>
      <c r="AF35" s="981">
        <v>-1.0703112549349176</v>
      </c>
    </row>
    <row r="36" spans="2:41" ht="15.75" thickBot="1" x14ac:dyDescent="0.3">
      <c r="B36" s="1036" t="s">
        <v>1046</v>
      </c>
      <c r="C36" s="982"/>
      <c r="D36" s="983"/>
      <c r="E36" s="983"/>
      <c r="F36" s="983"/>
      <c r="G36" s="983" t="s">
        <v>1049</v>
      </c>
      <c r="H36" s="983" t="s">
        <v>1047</v>
      </c>
      <c r="I36" s="984" t="s">
        <v>1047</v>
      </c>
      <c r="J36" s="983" t="s">
        <v>1051</v>
      </c>
      <c r="K36" s="983" t="s">
        <v>1048</v>
      </c>
      <c r="L36" s="983" t="s">
        <v>1048</v>
      </c>
      <c r="M36" s="983" t="s">
        <v>1051</v>
      </c>
      <c r="N36" s="983" t="s">
        <v>1047</v>
      </c>
      <c r="O36" s="983" t="s">
        <v>1056</v>
      </c>
      <c r="P36" s="983" t="s">
        <v>1048</v>
      </c>
      <c r="Q36" s="983" t="s">
        <v>1047</v>
      </c>
      <c r="R36" s="983" t="s">
        <v>1048</v>
      </c>
      <c r="S36" s="983" t="s">
        <v>1047</v>
      </c>
      <c r="T36" s="984" t="s">
        <v>1048</v>
      </c>
      <c r="U36" s="975"/>
      <c r="V36" s="982"/>
      <c r="W36" s="983" t="s">
        <v>1053</v>
      </c>
      <c r="X36" s="984" t="s">
        <v>1048</v>
      </c>
      <c r="Y36" s="975"/>
      <c r="Z36" s="982"/>
      <c r="AA36" s="983" t="s">
        <v>1047</v>
      </c>
      <c r="AB36" s="984" t="s">
        <v>1048</v>
      </c>
      <c r="AC36" s="975"/>
      <c r="AD36" s="982"/>
      <c r="AE36" s="983" t="s">
        <v>1053</v>
      </c>
      <c r="AF36" s="984" t="s">
        <v>1048</v>
      </c>
    </row>
    <row r="37" spans="2:41" ht="14.65" customHeight="1" x14ac:dyDescent="0.25"/>
    <row r="38" spans="2:41" ht="33" customHeight="1" x14ac:dyDescent="0.35">
      <c r="B38" s="995" t="s">
        <v>1059</v>
      </c>
      <c r="C38" s="427"/>
      <c r="D38" s="427"/>
      <c r="E38" s="996"/>
      <c r="F38" s="996"/>
      <c r="G38" s="996"/>
      <c r="H38" s="996"/>
      <c r="I38" s="996"/>
      <c r="J38" s="996"/>
      <c r="K38" s="996"/>
      <c r="L38" s="996"/>
      <c r="M38" s="996"/>
      <c r="N38" s="996"/>
      <c r="O38" s="996"/>
      <c r="P38" s="723"/>
      <c r="Q38" s="997"/>
      <c r="R38" s="724"/>
      <c r="S38" s="724"/>
      <c r="T38" s="724"/>
      <c r="W38" s="1137" t="s">
        <v>1141</v>
      </c>
      <c r="X38" s="1138"/>
      <c r="Y38" s="1138"/>
      <c r="Z38" s="1138"/>
      <c r="AA38" s="1138"/>
      <c r="AB38" s="1138"/>
      <c r="AC38" s="1138"/>
      <c r="AD38" s="1138"/>
      <c r="AE38" s="1138"/>
      <c r="AF38" s="1138"/>
      <c r="AG38" s="1138"/>
      <c r="AH38" s="1138"/>
      <c r="AI38" s="1138"/>
      <c r="AJ38" s="1138"/>
      <c r="AK38" s="1138"/>
      <c r="AL38" s="1138"/>
      <c r="AM38" s="1138"/>
      <c r="AN38" s="1138"/>
      <c r="AO38" s="1139"/>
    </row>
    <row r="39" spans="2:41" ht="15" customHeight="1" x14ac:dyDescent="0.25">
      <c r="B39" s="1230" t="s">
        <v>1138</v>
      </c>
      <c r="C39" s="1230"/>
      <c r="D39" s="1230"/>
      <c r="E39" s="1230"/>
      <c r="F39" s="1230"/>
      <c r="G39" s="1230"/>
      <c r="H39" s="1230"/>
      <c r="I39" s="1230"/>
      <c r="J39" s="1230"/>
      <c r="K39" s="1230"/>
      <c r="L39" s="1230"/>
      <c r="M39" s="1230"/>
      <c r="N39" s="1230"/>
      <c r="O39" s="1230"/>
      <c r="P39" s="1230"/>
      <c r="Q39" s="1230"/>
      <c r="R39" s="1230"/>
      <c r="S39" s="1230"/>
      <c r="T39" s="1230"/>
      <c r="W39" s="724"/>
      <c r="X39" s="724"/>
      <c r="Y39" s="724"/>
      <c r="Z39" s="724"/>
      <c r="AA39" s="1226" t="s">
        <v>39</v>
      </c>
      <c r="AB39" s="1226"/>
      <c r="AC39" s="1226"/>
      <c r="AD39" s="1226"/>
      <c r="AE39" s="1226"/>
      <c r="AF39" s="1226" t="s">
        <v>513</v>
      </c>
      <c r="AG39" s="1226"/>
      <c r="AH39" s="1226"/>
      <c r="AI39" s="1226"/>
      <c r="AJ39" s="1226"/>
      <c r="AK39" s="1226" t="s">
        <v>41</v>
      </c>
      <c r="AL39" s="1226"/>
      <c r="AM39" s="1226"/>
      <c r="AN39" s="1226"/>
      <c r="AO39" s="1226"/>
    </row>
    <row r="40" spans="2:41" ht="15" customHeight="1" x14ac:dyDescent="0.25">
      <c r="B40" s="1208" t="s">
        <v>1060</v>
      </c>
      <c r="C40" s="1208"/>
      <c r="D40" s="1208"/>
      <c r="E40" s="1208"/>
      <c r="F40" s="1208"/>
      <c r="G40" s="1208"/>
      <c r="H40" s="1208"/>
      <c r="I40" s="1208"/>
      <c r="J40" s="1208"/>
      <c r="K40" s="1208"/>
      <c r="L40" s="1208"/>
      <c r="M40" s="1208"/>
      <c r="N40" s="1208"/>
      <c r="O40" s="1208"/>
      <c r="P40" s="1208"/>
      <c r="Q40" s="1208"/>
      <c r="R40" s="1208"/>
      <c r="S40" s="1208"/>
      <c r="T40" s="1208"/>
      <c r="W40" s="724"/>
      <c r="X40" s="724"/>
      <c r="Y40" s="724"/>
      <c r="Z40" s="724"/>
      <c r="AA40" s="1226"/>
      <c r="AB40" s="1226"/>
      <c r="AC40" s="1226"/>
      <c r="AD40" s="1226"/>
      <c r="AE40" s="1226"/>
      <c r="AF40" s="1226"/>
      <c r="AG40" s="1226"/>
      <c r="AH40" s="1226"/>
      <c r="AI40" s="1226"/>
      <c r="AJ40" s="1226"/>
      <c r="AK40" s="1226"/>
      <c r="AL40" s="1226"/>
      <c r="AM40" s="1226"/>
      <c r="AN40" s="1226"/>
      <c r="AO40" s="1226"/>
    </row>
    <row r="41" spans="2:41" x14ac:dyDescent="0.25">
      <c r="B41" s="1208" t="s">
        <v>1139</v>
      </c>
      <c r="C41" s="1208"/>
      <c r="D41" s="1208"/>
      <c r="E41" s="1208"/>
      <c r="F41" s="1208"/>
      <c r="G41" s="1208"/>
      <c r="H41" s="1208"/>
      <c r="I41" s="1208"/>
      <c r="J41" s="1208"/>
      <c r="K41" s="1208"/>
      <c r="L41" s="1208"/>
      <c r="M41" s="1208"/>
      <c r="N41" s="1208"/>
      <c r="O41" s="1208"/>
      <c r="P41" s="1208"/>
      <c r="Q41" s="1208"/>
      <c r="R41" s="1208"/>
      <c r="S41" s="1208"/>
      <c r="T41" s="1208"/>
      <c r="W41" s="724"/>
      <c r="X41" s="724"/>
      <c r="Y41" s="724"/>
      <c r="Z41" s="724"/>
      <c r="AA41" s="724"/>
      <c r="AB41" s="751" t="s">
        <v>1081</v>
      </c>
      <c r="AC41" s="751" t="s">
        <v>95</v>
      </c>
      <c r="AD41" s="1006" t="s">
        <v>1045</v>
      </c>
      <c r="AE41" s="752"/>
      <c r="AF41" s="752"/>
      <c r="AG41" s="751" t="s">
        <v>1081</v>
      </c>
      <c r="AH41" s="751" t="s">
        <v>95</v>
      </c>
      <c r="AI41" s="1006" t="s">
        <v>1054</v>
      </c>
      <c r="AJ41" s="724"/>
      <c r="AK41" s="724"/>
      <c r="AL41" s="751" t="s">
        <v>1081</v>
      </c>
      <c r="AM41" s="751" t="s">
        <v>95</v>
      </c>
      <c r="AN41" s="1006" t="s">
        <v>1058</v>
      </c>
      <c r="AO41" s="724"/>
    </row>
    <row r="42" spans="2:41" ht="23.25" x14ac:dyDescent="0.3">
      <c r="B42" s="1209"/>
      <c r="C42" s="1209"/>
      <c r="D42" s="998"/>
      <c r="E42" s="1153" t="s">
        <v>1039</v>
      </c>
      <c r="F42" s="1154"/>
      <c r="G42" s="1222"/>
      <c r="H42" s="1222"/>
      <c r="I42" s="1222"/>
      <c r="J42" s="1222"/>
      <c r="K42" s="1222"/>
      <c r="L42" s="1223"/>
      <c r="M42" s="999"/>
      <c r="N42" s="1214" t="s">
        <v>410</v>
      </c>
      <c r="O42" s="1214"/>
      <c r="P42" s="1214"/>
      <c r="Q42" s="1214"/>
      <c r="R42" s="1214"/>
      <c r="S42" s="1214"/>
      <c r="T42" s="1215"/>
      <c r="W42" s="724"/>
      <c r="X42" s="1007"/>
      <c r="Y42" s="1007"/>
      <c r="Z42" s="1007"/>
      <c r="AA42" s="1008"/>
      <c r="AB42" s="1009"/>
      <c r="AC42" s="753"/>
      <c r="AD42" s="754"/>
      <c r="AE42" s="1010"/>
      <c r="AF42" s="1008"/>
      <c r="AG42" s="1009"/>
      <c r="AH42" s="1011"/>
      <c r="AI42" s="754"/>
      <c r="AJ42" s="1010"/>
      <c r="AK42" s="1012"/>
      <c r="AL42" s="1013"/>
      <c r="AM42" s="1011"/>
      <c r="AN42" s="754"/>
      <c r="AO42" s="1010"/>
    </row>
    <row r="43" spans="2:41" ht="18" customHeight="1" x14ac:dyDescent="0.25">
      <c r="B43" s="1158"/>
      <c r="C43" s="1158"/>
      <c r="D43" s="998"/>
      <c r="E43" s="1205" t="s">
        <v>1061</v>
      </c>
      <c r="F43" s="1148" t="s">
        <v>1062</v>
      </c>
      <c r="G43" s="1210" t="s">
        <v>1063</v>
      </c>
      <c r="H43" s="1212" t="s">
        <v>1062</v>
      </c>
      <c r="I43" s="1210" t="s">
        <v>1041</v>
      </c>
      <c r="J43" s="1148" t="s">
        <v>1062</v>
      </c>
      <c r="K43" s="1210" t="s">
        <v>1042</v>
      </c>
      <c r="L43" s="1148" t="s">
        <v>1062</v>
      </c>
      <c r="M43" s="1000"/>
      <c r="N43" s="1148" t="s">
        <v>1064</v>
      </c>
      <c r="O43" s="1147" t="s">
        <v>1065</v>
      </c>
      <c r="P43" s="1148"/>
      <c r="Q43" s="1147" t="s">
        <v>1066</v>
      </c>
      <c r="R43" s="1148"/>
      <c r="S43" s="1147" t="s">
        <v>1067</v>
      </c>
      <c r="T43" s="1148"/>
      <c r="W43" s="724"/>
      <c r="X43" s="1014"/>
      <c r="Y43" s="1015" t="s">
        <v>1061</v>
      </c>
      <c r="Z43" s="1014"/>
      <c r="AA43" s="1009"/>
      <c r="AB43" s="1016">
        <v>4.4935805991440798</v>
      </c>
      <c r="AC43" s="1016">
        <v>-2.6187194587144469</v>
      </c>
      <c r="AD43" s="1016">
        <v>7.303559799507064</v>
      </c>
      <c r="AE43" s="1016"/>
      <c r="AF43" s="1016"/>
      <c r="AG43" s="1016">
        <v>0.28913221677025924</v>
      </c>
      <c r="AH43" s="1016">
        <v>2.090871232108912</v>
      </c>
      <c r="AI43" s="1016">
        <v>-1.7648385145448564</v>
      </c>
      <c r="AJ43" s="1016"/>
      <c r="AK43" s="1016"/>
      <c r="AL43" s="1016">
        <v>4.7957052051130029</v>
      </c>
      <c r="AM43" s="1016">
        <v>-0.58260227841743317</v>
      </c>
      <c r="AN43" s="1016">
        <v>5.4098252486876923</v>
      </c>
      <c r="AO43" s="1017"/>
    </row>
    <row r="44" spans="2:41" ht="20.25" x14ac:dyDescent="0.3">
      <c r="B44" s="1159"/>
      <c r="C44" s="1159"/>
      <c r="D44" s="998"/>
      <c r="E44" s="1206"/>
      <c r="F44" s="1150"/>
      <c r="G44" s="1211"/>
      <c r="H44" s="1213"/>
      <c r="I44" s="1211"/>
      <c r="J44" s="1150"/>
      <c r="K44" s="1211"/>
      <c r="L44" s="1150"/>
      <c r="M44" s="1001"/>
      <c r="N44" s="1150"/>
      <c r="O44" s="1149"/>
      <c r="P44" s="1150"/>
      <c r="Q44" s="1149"/>
      <c r="R44" s="1150"/>
      <c r="S44" s="1149"/>
      <c r="T44" s="1150"/>
      <c r="W44" s="724"/>
      <c r="X44" s="1007"/>
      <c r="Y44" s="1007"/>
      <c r="Z44" s="1007"/>
      <c r="AA44" s="1008"/>
      <c r="AB44" s="1016"/>
      <c r="AC44" s="1016"/>
      <c r="AD44" s="1016"/>
      <c r="AE44" s="1016"/>
      <c r="AF44" s="1016"/>
      <c r="AG44" s="1016"/>
      <c r="AH44" s="1016"/>
      <c r="AI44" s="1016"/>
      <c r="AJ44" s="1016"/>
      <c r="AK44" s="1016"/>
      <c r="AL44" s="1016"/>
      <c r="AM44" s="1016"/>
      <c r="AN44" s="1016"/>
      <c r="AO44" s="1010"/>
    </row>
    <row r="45" spans="2:41" ht="18" x14ac:dyDescent="0.25">
      <c r="B45" s="1160" t="s">
        <v>1140</v>
      </c>
      <c r="C45" s="1161"/>
      <c r="D45" s="725"/>
      <c r="E45" s="726">
        <v>78.133333333333326</v>
      </c>
      <c r="F45" s="727">
        <v>4.4935805991440798</v>
      </c>
      <c r="G45" s="726">
        <v>77.897005988023949</v>
      </c>
      <c r="H45" s="727">
        <v>3.7582950484941295</v>
      </c>
      <c r="I45" s="726">
        <v>77.916483516483524</v>
      </c>
      <c r="J45" s="727">
        <v>-0.72804659498207891</v>
      </c>
      <c r="K45" s="726">
        <v>76.350684931506848</v>
      </c>
      <c r="L45" s="727">
        <v>4.2558285697183731</v>
      </c>
      <c r="M45" s="728"/>
      <c r="N45" s="729">
        <v>0</v>
      </c>
      <c r="O45" s="730"/>
      <c r="P45" s="730">
        <v>0</v>
      </c>
      <c r="Q45" s="730"/>
      <c r="R45" s="730">
        <v>0</v>
      </c>
      <c r="S45" s="730"/>
      <c r="T45" s="731">
        <v>0</v>
      </c>
      <c r="W45" s="755"/>
      <c r="X45" s="1018"/>
      <c r="Y45" s="1019" t="s">
        <v>1040</v>
      </c>
      <c r="Z45" s="1018"/>
      <c r="AA45" s="1020"/>
      <c r="AB45" s="1021">
        <v>3.7582950484941295</v>
      </c>
      <c r="AC45" s="1021">
        <v>3.8497734783655426</v>
      </c>
      <c r="AD45" s="1021">
        <v>-8.808726953118487E-2</v>
      </c>
      <c r="AE45" s="1021"/>
      <c r="AF45" s="1021"/>
      <c r="AG45" s="1021">
        <v>0.4786822628171119</v>
      </c>
      <c r="AH45" s="1021">
        <v>1.9826622304286696</v>
      </c>
      <c r="AI45" s="1021">
        <v>-1.4747408380194387</v>
      </c>
      <c r="AJ45" s="1021"/>
      <c r="AK45" s="1021"/>
      <c r="AL45" s="1021">
        <v>4.2549676030927168</v>
      </c>
      <c r="AM45" s="1021">
        <v>5.9087637135068256</v>
      </c>
      <c r="AN45" s="1021">
        <v>-1.561529048613751</v>
      </c>
      <c r="AO45" s="1022"/>
    </row>
    <row r="46" spans="2:41" ht="18" x14ac:dyDescent="0.25">
      <c r="B46" s="1218" t="s">
        <v>1069</v>
      </c>
      <c r="C46" s="1219"/>
      <c r="D46" s="725"/>
      <c r="E46" s="732">
        <v>52.373216142141573</v>
      </c>
      <c r="F46" s="733">
        <v>2.7369810586590826</v>
      </c>
      <c r="G46" s="732">
        <v>55.38294893586049</v>
      </c>
      <c r="H46" s="733">
        <v>2.9016926379782646</v>
      </c>
      <c r="I46" s="732">
        <v>57.353625835832418</v>
      </c>
      <c r="J46" s="733">
        <v>7.6236032285006354</v>
      </c>
      <c r="K46" s="732">
        <v>54.192045850462293</v>
      </c>
      <c r="L46" s="733">
        <v>2.6065436822136903</v>
      </c>
      <c r="M46" s="728"/>
      <c r="N46" s="734">
        <v>1.3098178893548573</v>
      </c>
      <c r="O46" s="735"/>
      <c r="P46" s="735">
        <v>1.1322163148435123</v>
      </c>
      <c r="Q46" s="735"/>
      <c r="R46" s="735">
        <v>0.91060277321937955</v>
      </c>
      <c r="S46" s="735"/>
      <c r="T46" s="736">
        <v>1.2071266133669507</v>
      </c>
      <c r="W46" s="724"/>
      <c r="X46" s="1014"/>
      <c r="Y46" s="1015"/>
      <c r="Z46" s="1015"/>
      <c r="AA46" s="1023"/>
      <c r="AB46" s="1016"/>
      <c r="AC46" s="1016"/>
      <c r="AD46" s="1016"/>
      <c r="AE46" s="1016"/>
      <c r="AF46" s="1016"/>
      <c r="AG46" s="1016"/>
      <c r="AH46" s="1016"/>
      <c r="AI46" s="1016"/>
      <c r="AJ46" s="1016"/>
      <c r="AK46" s="1016"/>
      <c r="AL46" s="1016"/>
      <c r="AM46" s="1016"/>
      <c r="AN46" s="1016"/>
      <c r="AO46" s="1010"/>
    </row>
    <row r="47" spans="2:41" ht="18" x14ac:dyDescent="0.25">
      <c r="B47" s="1216" t="s">
        <v>1070</v>
      </c>
      <c r="C47" s="1217"/>
      <c r="D47" s="725"/>
      <c r="E47" s="737">
        <v>57.933979921728771</v>
      </c>
      <c r="F47" s="738">
        <v>-2.6804591166915275</v>
      </c>
      <c r="G47" s="737">
        <v>62.992076558081941</v>
      </c>
      <c r="H47" s="738">
        <v>-0.45623806869759409</v>
      </c>
      <c r="I47" s="737">
        <v>63.896518821824891</v>
      </c>
      <c r="J47" s="738">
        <v>2.0337748053273161</v>
      </c>
      <c r="K47" s="737">
        <v>61.79627746185443</v>
      </c>
      <c r="L47" s="738">
        <v>-0.49374596858173242</v>
      </c>
      <c r="M47" s="728"/>
      <c r="N47" s="729">
        <v>9.1729826125724472</v>
      </c>
      <c r="O47" s="730"/>
      <c r="P47" s="730">
        <v>7.8534459266087611</v>
      </c>
      <c r="Q47" s="730"/>
      <c r="R47" s="730">
        <v>7.9545398872193349</v>
      </c>
      <c r="S47" s="730"/>
      <c r="T47" s="731">
        <v>7.707294878131056</v>
      </c>
      <c r="W47" s="724"/>
      <c r="X47" s="1014"/>
      <c r="Y47" s="1015" t="s">
        <v>1041</v>
      </c>
      <c r="Z47" s="1014"/>
      <c r="AA47" s="1023"/>
      <c r="AB47" s="1016">
        <v>-0.72804659498207891</v>
      </c>
      <c r="AC47" s="1016">
        <v>-0.81545064377682408</v>
      </c>
      <c r="AD47" s="1016">
        <v>8.8122645474580819E-2</v>
      </c>
      <c r="AE47" s="1016"/>
      <c r="AF47" s="1016"/>
      <c r="AG47" s="1016">
        <v>1.9079060737961167</v>
      </c>
      <c r="AH47" s="1016">
        <v>0.97722290391765332</v>
      </c>
      <c r="AI47" s="1016">
        <v>0.92167633760737466</v>
      </c>
      <c r="AJ47" s="1016"/>
      <c r="AK47" s="1016"/>
      <c r="AL47" s="1016">
        <v>1.1659690336083088</v>
      </c>
      <c r="AM47" s="1016">
        <v>0.15380348967969823</v>
      </c>
      <c r="AN47" s="1016">
        <v>1.0106111886533682</v>
      </c>
      <c r="AO47" s="1017"/>
    </row>
    <row r="48" spans="2:41" ht="18" x14ac:dyDescent="0.25">
      <c r="B48" s="1218" t="s">
        <v>1071</v>
      </c>
      <c r="C48" s="1219"/>
      <c r="D48" s="725"/>
      <c r="E48" s="732">
        <v>54.474741285403056</v>
      </c>
      <c r="F48" s="733">
        <v>2.1700725485726835</v>
      </c>
      <c r="G48" s="732">
        <v>58.99178685572322</v>
      </c>
      <c r="H48" s="733">
        <v>3.0340493478131942</v>
      </c>
      <c r="I48" s="732">
        <v>61.714134732978884</v>
      </c>
      <c r="J48" s="733">
        <v>8.9038932254817986</v>
      </c>
      <c r="K48" s="732">
        <v>57.931746547153011</v>
      </c>
      <c r="L48" s="733">
        <v>3.0206862531342482</v>
      </c>
      <c r="M48" s="728"/>
      <c r="N48" s="734">
        <v>2</v>
      </c>
      <c r="O48" s="735"/>
      <c r="P48" s="735">
        <v>1.503994738334071</v>
      </c>
      <c r="Q48" s="735"/>
      <c r="R48" s="735">
        <v>2.0431635361290694</v>
      </c>
      <c r="S48" s="735"/>
      <c r="T48" s="736">
        <v>1.4795798781465495</v>
      </c>
      <c r="W48" s="724"/>
      <c r="X48" s="1014"/>
      <c r="Y48" s="1015"/>
      <c r="Z48" s="1014"/>
      <c r="AA48" s="1023"/>
      <c r="AB48" s="1016"/>
      <c r="AC48" s="1016"/>
      <c r="AD48" s="1016"/>
      <c r="AE48" s="1016"/>
      <c r="AF48" s="1016"/>
      <c r="AG48" s="1016"/>
      <c r="AH48" s="1016"/>
      <c r="AI48" s="1016"/>
      <c r="AJ48" s="1016"/>
      <c r="AK48" s="1016"/>
      <c r="AL48" s="1016"/>
      <c r="AM48" s="1016"/>
      <c r="AN48" s="1016"/>
      <c r="AO48" s="1010"/>
    </row>
    <row r="49" spans="2:41" ht="18" x14ac:dyDescent="0.25">
      <c r="B49" s="1216" t="s">
        <v>1072</v>
      </c>
      <c r="C49" s="1217"/>
      <c r="D49" s="725"/>
      <c r="E49" s="737">
        <v>53.578643578643579</v>
      </c>
      <c r="F49" s="738">
        <v>3.9422564036604237</v>
      </c>
      <c r="G49" s="737">
        <v>57.418905050780239</v>
      </c>
      <c r="H49" s="738">
        <v>1.8741533039636835</v>
      </c>
      <c r="I49" s="737">
        <v>59.81297863320799</v>
      </c>
      <c r="J49" s="738">
        <v>7.3794861199881501</v>
      </c>
      <c r="K49" s="737">
        <v>56.414324745327747</v>
      </c>
      <c r="L49" s="738">
        <v>1.7140614235555942</v>
      </c>
      <c r="M49" s="728"/>
      <c r="N49" s="729">
        <v>10.557432432432433</v>
      </c>
      <c r="O49" s="730"/>
      <c r="P49" s="730">
        <v>10.430623222638671</v>
      </c>
      <c r="Q49" s="730"/>
      <c r="R49" s="730">
        <v>13.038472548946391</v>
      </c>
      <c r="S49" s="730"/>
      <c r="T49" s="731">
        <v>9.6661609672275812</v>
      </c>
      <c r="W49" s="755"/>
      <c r="X49" s="1018"/>
      <c r="Y49" s="1019" t="s">
        <v>1042</v>
      </c>
      <c r="Z49" s="1018"/>
      <c r="AA49" s="1020"/>
      <c r="AB49" s="1021">
        <v>4.2558285697183731</v>
      </c>
      <c r="AC49" s="1021">
        <v>3.8798127057476437</v>
      </c>
      <c r="AD49" s="1021">
        <v>0.36197202726562555</v>
      </c>
      <c r="AE49" s="1021"/>
      <c r="AF49" s="1021"/>
      <c r="AG49" s="1021">
        <v>0.34827031275941367</v>
      </c>
      <c r="AH49" s="1021">
        <v>1.8010915213359537</v>
      </c>
      <c r="AI49" s="1021">
        <v>-1.427117515996428</v>
      </c>
      <c r="AJ49" s="1021"/>
      <c r="AK49" s="1021"/>
      <c r="AL49" s="1021">
        <v>4.6189206699480501</v>
      </c>
      <c r="AM49" s="1021">
        <v>5.7507832047705332</v>
      </c>
      <c r="AN49" s="1021">
        <v>-1.0703112549349176</v>
      </c>
      <c r="AO49" s="1022"/>
    </row>
    <row r="50" spans="2:41" x14ac:dyDescent="0.25">
      <c r="B50" s="1220" t="s">
        <v>1073</v>
      </c>
      <c r="C50" s="1221"/>
      <c r="D50" s="725"/>
      <c r="E50" s="1037">
        <v>64.125412541254121</v>
      </c>
      <c r="F50" s="1038">
        <v>-2.6187194587144469</v>
      </c>
      <c r="G50" s="1037">
        <v>70.329637754194579</v>
      </c>
      <c r="H50" s="1038">
        <v>3.8497734783655426</v>
      </c>
      <c r="I50" s="1037">
        <v>69.146447611794144</v>
      </c>
      <c r="J50" s="1038">
        <v>-0.81545064377682408</v>
      </c>
      <c r="K50" s="1037">
        <v>68.906144039061445</v>
      </c>
      <c r="L50" s="1038">
        <v>3.8798127057476437</v>
      </c>
      <c r="M50" s="728"/>
      <c r="N50" s="1039">
        <v>0</v>
      </c>
      <c r="O50" s="1040"/>
      <c r="P50" s="1040">
        <v>0</v>
      </c>
      <c r="Q50" s="1040"/>
      <c r="R50" s="1040">
        <v>0</v>
      </c>
      <c r="S50" s="1040"/>
      <c r="T50" s="1041">
        <v>0</v>
      </c>
    </row>
    <row r="51" spans="2:41" x14ac:dyDescent="0.25">
      <c r="B51" s="281"/>
      <c r="C51" s="281"/>
      <c r="D51" s="281"/>
      <c r="E51" s="739"/>
      <c r="F51" s="739"/>
      <c r="G51" s="739"/>
      <c r="H51" s="739"/>
      <c r="I51" s="739"/>
      <c r="J51" s="739"/>
      <c r="K51" s="739"/>
      <c r="L51" s="739"/>
      <c r="M51" s="740"/>
      <c r="N51" s="740"/>
      <c r="O51" s="740"/>
      <c r="P51" s="740"/>
      <c r="Q51" s="740"/>
      <c r="R51" s="740"/>
      <c r="S51" s="740"/>
      <c r="T51" s="740"/>
    </row>
    <row r="52" spans="2:41" x14ac:dyDescent="0.25">
      <c r="B52" s="103"/>
      <c r="C52" s="103"/>
      <c r="D52" s="281"/>
      <c r="E52" s="1153" t="s">
        <v>40</v>
      </c>
      <c r="F52" s="1154"/>
      <c r="G52" s="1154"/>
      <c r="H52" s="1154"/>
      <c r="I52" s="1154"/>
      <c r="J52" s="1154"/>
      <c r="K52" s="1154"/>
      <c r="L52" s="1155"/>
      <c r="M52" s="999"/>
      <c r="N52" s="1153" t="s">
        <v>411</v>
      </c>
      <c r="O52" s="1154"/>
      <c r="P52" s="1154"/>
      <c r="Q52" s="1154"/>
      <c r="R52" s="1154"/>
      <c r="S52" s="1154"/>
      <c r="T52" s="1155"/>
    </row>
    <row r="53" spans="2:41" ht="15" customHeight="1" x14ac:dyDescent="0.25">
      <c r="B53" s="103"/>
      <c r="C53" s="103"/>
      <c r="D53" s="281"/>
      <c r="E53" s="1205" t="s">
        <v>1061</v>
      </c>
      <c r="F53" s="1148" t="s">
        <v>1062</v>
      </c>
      <c r="G53" s="1205" t="s">
        <v>1063</v>
      </c>
      <c r="H53" s="1148" t="s">
        <v>1062</v>
      </c>
      <c r="I53" s="1205" t="s">
        <v>1041</v>
      </c>
      <c r="J53" s="1148" t="s">
        <v>1062</v>
      </c>
      <c r="K53" s="1205" t="s">
        <v>1042</v>
      </c>
      <c r="L53" s="1148" t="s">
        <v>1062</v>
      </c>
      <c r="M53" s="1000"/>
      <c r="N53" s="1156" t="s">
        <v>1064</v>
      </c>
      <c r="O53" s="1147" t="s">
        <v>1065</v>
      </c>
      <c r="P53" s="1148"/>
      <c r="Q53" s="1147" t="s">
        <v>1066</v>
      </c>
      <c r="R53" s="1148"/>
      <c r="S53" s="1147" t="s">
        <v>1067</v>
      </c>
      <c r="T53" s="1148"/>
    </row>
    <row r="54" spans="2:41" x14ac:dyDescent="0.25">
      <c r="B54" s="103"/>
      <c r="C54" s="103"/>
      <c r="D54" s="281"/>
      <c r="E54" s="1206"/>
      <c r="F54" s="1150"/>
      <c r="G54" s="1206"/>
      <c r="H54" s="1150"/>
      <c r="I54" s="1206"/>
      <c r="J54" s="1150"/>
      <c r="K54" s="1206"/>
      <c r="L54" s="1150"/>
      <c r="M54" s="1001"/>
      <c r="N54" s="1157"/>
      <c r="O54" s="1149"/>
      <c r="P54" s="1150"/>
      <c r="Q54" s="1149"/>
      <c r="R54" s="1150"/>
      <c r="S54" s="1149"/>
      <c r="T54" s="1150"/>
    </row>
    <row r="55" spans="2:41" x14ac:dyDescent="0.25">
      <c r="B55" s="1151" t="s">
        <v>1140</v>
      </c>
      <c r="C55" s="1152"/>
      <c r="D55" s="725"/>
      <c r="E55" s="741">
        <v>108.2775085324232</v>
      </c>
      <c r="F55" s="727">
        <v>0.28913221677025924</v>
      </c>
      <c r="G55" s="741">
        <v>112.64818492097656</v>
      </c>
      <c r="H55" s="727">
        <v>0.4786822628171119</v>
      </c>
      <c r="I55" s="741">
        <v>111.40853999774342</v>
      </c>
      <c r="J55" s="727">
        <v>1.9079060737961167</v>
      </c>
      <c r="K55" s="741">
        <v>112.02127257069039</v>
      </c>
      <c r="L55" s="727">
        <v>0.34827031275941367</v>
      </c>
      <c r="M55" s="728"/>
      <c r="N55" s="726">
        <v>4.4935805991440798</v>
      </c>
      <c r="O55" s="742"/>
      <c r="P55" s="742">
        <v>3.7582950484941295</v>
      </c>
      <c r="Q55" s="742"/>
      <c r="R55" s="742">
        <v>-0.72804659498207891</v>
      </c>
      <c r="S55" s="742"/>
      <c r="T55" s="743">
        <v>4.2558285697183731</v>
      </c>
    </row>
    <row r="56" spans="2:41" x14ac:dyDescent="0.25">
      <c r="B56" s="1193" t="s">
        <v>1069</v>
      </c>
      <c r="C56" s="1194"/>
      <c r="D56" s="725"/>
      <c r="E56" s="744">
        <v>79.571579378556052</v>
      </c>
      <c r="F56" s="733">
        <v>-0.49049246530792573</v>
      </c>
      <c r="G56" s="744">
        <v>81.639000938485154</v>
      </c>
      <c r="H56" s="733">
        <v>-0.50869707225018879</v>
      </c>
      <c r="I56" s="744">
        <v>81.194828828290014</v>
      </c>
      <c r="J56" s="733">
        <v>-1.4744555963215715</v>
      </c>
      <c r="K56" s="744">
        <v>81.246742259384916</v>
      </c>
      <c r="L56" s="733">
        <v>-0.49213672362121125</v>
      </c>
      <c r="M56" s="728"/>
      <c r="N56" s="732">
        <v>4.0826484155485101</v>
      </c>
      <c r="O56" s="735"/>
      <c r="P56" s="735">
        <v>4.0667623902755796</v>
      </c>
      <c r="Q56" s="735"/>
      <c r="R56" s="735">
        <v>8.6036267441379835</v>
      </c>
      <c r="S56" s="735"/>
      <c r="T56" s="736">
        <v>3.8451345780576771</v>
      </c>
    </row>
    <row r="57" spans="2:41" x14ac:dyDescent="0.25">
      <c r="B57" s="1202" t="s">
        <v>1070</v>
      </c>
      <c r="C57" s="1203"/>
      <c r="D57" s="725"/>
      <c r="E57" s="745">
        <v>95.944824628904072</v>
      </c>
      <c r="F57" s="738">
        <v>0.36042659463106619</v>
      </c>
      <c r="G57" s="745">
        <v>99.027378928476878</v>
      </c>
      <c r="H57" s="738">
        <v>-0.42423546988323035</v>
      </c>
      <c r="I57" s="745">
        <v>98.864631682120518</v>
      </c>
      <c r="J57" s="738">
        <v>-0.37563034887719737</v>
      </c>
      <c r="K57" s="745">
        <v>98.538839821566128</v>
      </c>
      <c r="L57" s="738">
        <v>-0.43215325623427714</v>
      </c>
      <c r="M57" s="728"/>
      <c r="N57" s="737">
        <v>6.2466454471696942</v>
      </c>
      <c r="O57" s="730"/>
      <c r="P57" s="730">
        <v>7.3613774478893967</v>
      </c>
      <c r="Q57" s="730"/>
      <c r="R57" s="730">
        <v>10.15009212065263</v>
      </c>
      <c r="S57" s="730"/>
      <c r="T57" s="731">
        <v>7.1754944518018453</v>
      </c>
    </row>
    <row r="58" spans="2:41" x14ac:dyDescent="0.25">
      <c r="B58" s="1193" t="s">
        <v>1071</v>
      </c>
      <c r="C58" s="1194"/>
      <c r="D58" s="725"/>
      <c r="E58" s="744">
        <v>79.989076706764564</v>
      </c>
      <c r="F58" s="733">
        <v>-2.1009541550070026</v>
      </c>
      <c r="G58" s="744">
        <v>82.966457940446844</v>
      </c>
      <c r="H58" s="733">
        <v>-1.1531877632819256</v>
      </c>
      <c r="I58" s="744">
        <v>81.347026296631483</v>
      </c>
      <c r="J58" s="733">
        <v>-2.9691661574013368</v>
      </c>
      <c r="K58" s="744">
        <v>82.512200403539325</v>
      </c>
      <c r="L58" s="733">
        <v>-1.2735744073585633</v>
      </c>
      <c r="M58" s="728"/>
      <c r="N58" s="732">
        <v>4.2134739995441377</v>
      </c>
      <c r="O58" s="735"/>
      <c r="P58" s="735">
        <v>4.5836760286968348</v>
      </c>
      <c r="Q58" s="735"/>
      <c r="R58" s="735">
        <v>11.128977861289778</v>
      </c>
      <c r="S58" s="735"/>
      <c r="T58" s="736">
        <v>4.5449595972641106</v>
      </c>
    </row>
    <row r="59" spans="2:41" x14ac:dyDescent="0.25">
      <c r="B59" s="1202" t="s">
        <v>1072</v>
      </c>
      <c r="C59" s="1203"/>
      <c r="D59" s="725"/>
      <c r="E59" s="745">
        <v>84.862074428478635</v>
      </c>
      <c r="F59" s="738">
        <v>-1.4634289714671727</v>
      </c>
      <c r="G59" s="745">
        <v>88.501139547219893</v>
      </c>
      <c r="H59" s="738">
        <v>0.18329292369602315</v>
      </c>
      <c r="I59" s="745">
        <v>86.596861265158665</v>
      </c>
      <c r="J59" s="738">
        <v>-1.2222216917986428</v>
      </c>
      <c r="K59" s="745">
        <v>88.108144728446504</v>
      </c>
      <c r="L59" s="738">
        <v>0.20455770763552625</v>
      </c>
      <c r="M59" s="728"/>
      <c r="N59" s="737">
        <v>14.915889892222546</v>
      </c>
      <c r="O59" s="730"/>
      <c r="P59" s="730">
        <v>12.50026239635344</v>
      </c>
      <c r="Q59" s="730"/>
      <c r="R59" s="730">
        <v>21.380130940942507</v>
      </c>
      <c r="S59" s="730"/>
      <c r="T59" s="731">
        <v>11.545906327061212</v>
      </c>
    </row>
    <row r="60" spans="2:41" x14ac:dyDescent="0.25">
      <c r="B60" s="1189" t="s">
        <v>1073</v>
      </c>
      <c r="C60" s="1190"/>
      <c r="D60" s="725"/>
      <c r="E60" s="1042">
        <v>92.823839423571798</v>
      </c>
      <c r="F60" s="1038">
        <v>2.090871232108912</v>
      </c>
      <c r="G60" s="1042">
        <v>95.959578609062163</v>
      </c>
      <c r="H60" s="1038">
        <v>1.9826622304286696</v>
      </c>
      <c r="I60" s="1042">
        <v>94.16024703984894</v>
      </c>
      <c r="J60" s="1038">
        <v>0.97722290391765332</v>
      </c>
      <c r="K60" s="1042">
        <v>95.251797281736856</v>
      </c>
      <c r="L60" s="1038">
        <v>1.8010915213359537</v>
      </c>
      <c r="M60" s="728"/>
      <c r="N60" s="1037">
        <v>-2.6187194587144469</v>
      </c>
      <c r="O60" s="1040"/>
      <c r="P60" s="1040">
        <v>3.8497734783655422</v>
      </c>
      <c r="Q60" s="1040"/>
      <c r="R60" s="1040">
        <v>-0.81545064377682408</v>
      </c>
      <c r="S60" s="1040"/>
      <c r="T60" s="1041">
        <v>3.8798127057476437</v>
      </c>
    </row>
    <row r="61" spans="2:41" x14ac:dyDescent="0.25">
      <c r="B61" s="281"/>
      <c r="C61" s="281"/>
      <c r="D61" s="281"/>
      <c r="E61" s="739"/>
      <c r="F61" s="739"/>
      <c r="G61" s="739"/>
      <c r="H61" s="739"/>
      <c r="I61" s="739"/>
      <c r="J61" s="739"/>
      <c r="K61" s="739"/>
      <c r="L61" s="739"/>
      <c r="M61" s="740"/>
      <c r="N61" s="740"/>
      <c r="O61" s="740"/>
      <c r="P61" s="740"/>
      <c r="Q61" s="740"/>
      <c r="R61" s="740"/>
      <c r="S61" s="740"/>
      <c r="T61" s="740"/>
    </row>
    <row r="62" spans="2:41" x14ac:dyDescent="0.25">
      <c r="B62" s="1209"/>
      <c r="C62" s="1209"/>
      <c r="D62" s="998"/>
      <c r="E62" s="1153" t="s">
        <v>41</v>
      </c>
      <c r="F62" s="1154"/>
      <c r="G62" s="1154"/>
      <c r="H62" s="1154"/>
      <c r="I62" s="1154"/>
      <c r="J62" s="1154"/>
      <c r="K62" s="1154"/>
      <c r="L62" s="1155"/>
      <c r="M62" s="999"/>
      <c r="N62" s="1153" t="s">
        <v>157</v>
      </c>
      <c r="O62" s="1154"/>
      <c r="P62" s="1154"/>
      <c r="Q62" s="1154"/>
      <c r="R62" s="1154"/>
      <c r="S62" s="1154"/>
      <c r="T62" s="1155"/>
    </row>
    <row r="63" spans="2:41" ht="15" customHeight="1" x14ac:dyDescent="0.25">
      <c r="B63" s="1030"/>
      <c r="C63" s="1030"/>
      <c r="D63" s="998"/>
      <c r="E63" s="1205" t="s">
        <v>1061</v>
      </c>
      <c r="F63" s="1148" t="s">
        <v>1062</v>
      </c>
      <c r="G63" s="1205" t="s">
        <v>1063</v>
      </c>
      <c r="H63" s="1148" t="s">
        <v>1062</v>
      </c>
      <c r="I63" s="1205" t="s">
        <v>1041</v>
      </c>
      <c r="J63" s="1148" t="s">
        <v>1062</v>
      </c>
      <c r="K63" s="1205" t="s">
        <v>1042</v>
      </c>
      <c r="L63" s="1148" t="s">
        <v>1062</v>
      </c>
      <c r="M63" s="1000"/>
      <c r="N63" s="1156" t="s">
        <v>1064</v>
      </c>
      <c r="O63" s="1147" t="s">
        <v>1065</v>
      </c>
      <c r="P63" s="1148"/>
      <c r="Q63" s="1147" t="s">
        <v>1066</v>
      </c>
      <c r="R63" s="1148"/>
      <c r="S63" s="1147" t="s">
        <v>1067</v>
      </c>
      <c r="T63" s="1148"/>
    </row>
    <row r="64" spans="2:41" x14ac:dyDescent="0.25">
      <c r="B64" s="1030"/>
      <c r="C64" s="1030"/>
      <c r="D64" s="998"/>
      <c r="E64" s="1206"/>
      <c r="F64" s="1150"/>
      <c r="G64" s="1206"/>
      <c r="H64" s="1150"/>
      <c r="I64" s="1206"/>
      <c r="J64" s="1150"/>
      <c r="K64" s="1206"/>
      <c r="L64" s="1150"/>
      <c r="M64" s="1001"/>
      <c r="N64" s="1157"/>
      <c r="O64" s="1149"/>
      <c r="P64" s="1150"/>
      <c r="Q64" s="1149"/>
      <c r="R64" s="1150"/>
      <c r="S64" s="1149"/>
      <c r="T64" s="1150"/>
    </row>
    <row r="65" spans="2:20" x14ac:dyDescent="0.25">
      <c r="B65" s="1224" t="s">
        <v>1140</v>
      </c>
      <c r="C65" s="1225"/>
      <c r="D65" s="725"/>
      <c r="E65" s="741">
        <v>84.600826666666663</v>
      </c>
      <c r="F65" s="727">
        <v>4.7957052051130029</v>
      </c>
      <c r="G65" s="741">
        <v>87.749563353293411</v>
      </c>
      <c r="H65" s="727">
        <v>4.2549676030927168</v>
      </c>
      <c r="I65" s="741">
        <v>86.805616703296693</v>
      </c>
      <c r="J65" s="727">
        <v>1.1659690336083088</v>
      </c>
      <c r="K65" s="741">
        <v>85.529008876712325</v>
      </c>
      <c r="L65" s="727">
        <v>4.6189206699480501</v>
      </c>
      <c r="M65" s="728"/>
      <c r="N65" s="726">
        <v>4.7957052051130029</v>
      </c>
      <c r="O65" s="742"/>
      <c r="P65" s="742">
        <v>4.2549676030927168</v>
      </c>
      <c r="Q65" s="742"/>
      <c r="R65" s="742">
        <v>1.1659690336083088</v>
      </c>
      <c r="S65" s="742"/>
      <c r="T65" s="743">
        <v>4.6189206699480501</v>
      </c>
    </row>
    <row r="66" spans="2:20" x14ac:dyDescent="0.25">
      <c r="B66" s="1193" t="s">
        <v>1069</v>
      </c>
      <c r="C66" s="1194"/>
      <c r="D66" s="725"/>
      <c r="E66" s="744">
        <v>41.674195255646907</v>
      </c>
      <c r="F66" s="733">
        <v>2.2330639074815291</v>
      </c>
      <c r="G66" s="744">
        <v>45.214086201507904</v>
      </c>
      <c r="H66" s="733">
        <v>2.3782347402329811</v>
      </c>
      <c r="I66" s="744">
        <v>46.568178324222053</v>
      </c>
      <c r="J66" s="733">
        <v>6.0367409877350848</v>
      </c>
      <c r="K66" s="744">
        <v>44.029271817212802</v>
      </c>
      <c r="L66" s="733">
        <v>2.101579199915077</v>
      </c>
      <c r="M66" s="728"/>
      <c r="N66" s="732">
        <v>3.5721308673773056</v>
      </c>
      <c r="O66" s="735"/>
      <c r="P66" s="735">
        <v>3.5373778168106873</v>
      </c>
      <c r="Q66" s="735"/>
      <c r="R66" s="735">
        <v>7.0023144918008509</v>
      </c>
      <c r="S66" s="735"/>
      <c r="T66" s="736">
        <v>3.3340745351051866</v>
      </c>
    </row>
    <row r="67" spans="2:20" x14ac:dyDescent="0.25">
      <c r="B67" s="1202" t="s">
        <v>1070</v>
      </c>
      <c r="C67" s="1203"/>
      <c r="D67" s="725"/>
      <c r="E67" s="745">
        <v>55.584655436447164</v>
      </c>
      <c r="F67" s="738">
        <v>-2.3296936095752305</v>
      </c>
      <c r="G67" s="745">
        <v>62.379402348088057</v>
      </c>
      <c r="H67" s="738">
        <v>-0.87853801486629901</v>
      </c>
      <c r="I67" s="745">
        <v>63.171057990893999</v>
      </c>
      <c r="J67" s="738">
        <v>1.6505049810534909</v>
      </c>
      <c r="K67" s="745">
        <v>60.893334863827306</v>
      </c>
      <c r="L67" s="738">
        <v>-0.92376548553525817</v>
      </c>
      <c r="M67" s="728"/>
      <c r="N67" s="737">
        <v>6.6295866132646699</v>
      </c>
      <c r="O67" s="730"/>
      <c r="P67" s="730">
        <v>6.9059124038002357</v>
      </c>
      <c r="Q67" s="730"/>
      <c r="R67" s="730">
        <v>9.7363349453312669</v>
      </c>
      <c r="S67" s="730"/>
      <c r="T67" s="731">
        <v>6.7123320626431964</v>
      </c>
    </row>
    <row r="68" spans="2:20" x14ac:dyDescent="0.25">
      <c r="B68" s="1193" t="s">
        <v>1071</v>
      </c>
      <c r="C68" s="1194"/>
      <c r="D68" s="725"/>
      <c r="E68" s="744">
        <v>43.573842592592591</v>
      </c>
      <c r="F68" s="733">
        <v>2.352616418977737E-2</v>
      </c>
      <c r="G68" s="744">
        <v>48.943396029971645</v>
      </c>
      <c r="H68" s="733">
        <v>1.8458732987203519</v>
      </c>
      <c r="I68" s="744">
        <v>50.202613409974923</v>
      </c>
      <c r="J68" s="733">
        <v>5.6703556837383067</v>
      </c>
      <c r="K68" s="744">
        <v>47.800758808257363</v>
      </c>
      <c r="L68" s="733">
        <v>1.7086411587291686</v>
      </c>
      <c r="M68" s="728"/>
      <c r="N68" s="732">
        <v>2.0239966874735731</v>
      </c>
      <c r="O68" s="735"/>
      <c r="P68" s="735">
        <v>3.3776298743434907</v>
      </c>
      <c r="Q68" s="735"/>
      <c r="R68" s="735">
        <v>7.8293738595663385</v>
      </c>
      <c r="S68" s="735"/>
      <c r="T68" s="736">
        <v>3.213501747650005</v>
      </c>
    </row>
    <row r="69" spans="2:20" x14ac:dyDescent="0.25">
      <c r="B69" s="1202" t="s">
        <v>1072</v>
      </c>
      <c r="C69" s="1203"/>
      <c r="D69" s="725"/>
      <c r="E69" s="745">
        <v>45.467948391477805</v>
      </c>
      <c r="F69" s="738">
        <v>2.4211353098525645</v>
      </c>
      <c r="G69" s="745">
        <v>50.81638528547672</v>
      </c>
      <c r="H69" s="738">
        <v>2.0608814180450872</v>
      </c>
      <c r="I69" s="745">
        <v>51.796162125558119</v>
      </c>
      <c r="J69" s="738">
        <v>6.0670707480877422</v>
      </c>
      <c r="K69" s="745">
        <v>49.705614894189168</v>
      </c>
      <c r="L69" s="738">
        <v>1.9221253759466106</v>
      </c>
      <c r="M69" s="728"/>
      <c r="N69" s="737">
        <v>13.234177466720444</v>
      </c>
      <c r="O69" s="730"/>
      <c r="P69" s="730">
        <v>12.706467416465415</v>
      </c>
      <c r="Q69" s="730"/>
      <c r="R69" s="730">
        <v>19.896596651048714</v>
      </c>
      <c r="S69" s="730"/>
      <c r="T69" s="731">
        <v>11.774082076005119</v>
      </c>
    </row>
    <row r="70" spans="2:20" x14ac:dyDescent="0.25">
      <c r="B70" s="1189" t="s">
        <v>1073</v>
      </c>
      <c r="C70" s="1190"/>
      <c r="D70" s="725"/>
      <c r="E70" s="1042">
        <v>59.523669966996692</v>
      </c>
      <c r="F70" s="1038">
        <v>-0.58260227841743317</v>
      </c>
      <c r="G70" s="1042">
        <v>67.488024026205011</v>
      </c>
      <c r="H70" s="1038">
        <v>5.9087637135068256</v>
      </c>
      <c r="I70" s="1042">
        <v>65.108465890545091</v>
      </c>
      <c r="J70" s="1038">
        <v>0.15380348967969823</v>
      </c>
      <c r="K70" s="1042">
        <v>65.634340634748412</v>
      </c>
      <c r="L70" s="1038">
        <v>5.7507832047705332</v>
      </c>
      <c r="M70" s="728"/>
      <c r="N70" s="1037">
        <v>-0.58260227841743317</v>
      </c>
      <c r="O70" s="1040"/>
      <c r="P70" s="1040">
        <v>5.9087637135068256</v>
      </c>
      <c r="Q70" s="1040"/>
      <c r="R70" s="1040">
        <v>0.15380348967969823</v>
      </c>
      <c r="S70" s="1040"/>
      <c r="T70" s="1041">
        <v>5.7507832047705332</v>
      </c>
    </row>
    <row r="71" spans="2:20" x14ac:dyDescent="0.25">
      <c r="B71" s="281"/>
      <c r="C71" s="281"/>
      <c r="D71" s="281"/>
      <c r="E71" s="739"/>
      <c r="F71" s="739"/>
      <c r="G71" s="739"/>
      <c r="H71" s="739"/>
      <c r="I71" s="739"/>
      <c r="J71" s="739"/>
      <c r="K71" s="739"/>
      <c r="L71" s="739"/>
      <c r="M71" s="740"/>
      <c r="N71" s="740"/>
      <c r="O71" s="740"/>
      <c r="P71" s="740"/>
      <c r="Q71" s="740"/>
      <c r="R71" s="740"/>
      <c r="S71" s="740"/>
      <c r="T71" s="740"/>
    </row>
    <row r="72" spans="2:20" ht="18" x14ac:dyDescent="0.25">
      <c r="B72" s="723"/>
      <c r="C72" s="1002"/>
      <c r="D72" s="1003"/>
      <c r="E72" s="1153" t="s">
        <v>1074</v>
      </c>
      <c r="F72" s="1154"/>
      <c r="G72" s="1154"/>
      <c r="H72" s="1154"/>
      <c r="I72" s="1154"/>
      <c r="J72" s="1154"/>
      <c r="K72" s="1154"/>
      <c r="L72" s="1155"/>
      <c r="M72" s="975"/>
      <c r="N72" s="1153" t="s">
        <v>1075</v>
      </c>
      <c r="O72" s="1154"/>
      <c r="P72" s="1154"/>
      <c r="Q72" s="1154"/>
      <c r="R72" s="1154"/>
      <c r="S72" s="1154"/>
      <c r="T72" s="1155"/>
    </row>
    <row r="73" spans="2:20" ht="18.75" customHeight="1" x14ac:dyDescent="0.25">
      <c r="B73" s="723"/>
      <c r="C73" s="1002"/>
      <c r="D73" s="1003"/>
      <c r="E73" s="1173" t="s">
        <v>1076</v>
      </c>
      <c r="F73" s="1201"/>
      <c r="G73" s="1204"/>
      <c r="H73" s="1173" t="s">
        <v>1077</v>
      </c>
      <c r="I73" s="1201"/>
      <c r="J73" s="1174"/>
      <c r="K73" s="1173" t="s">
        <v>1078</v>
      </c>
      <c r="L73" s="1174"/>
      <c r="M73" s="975"/>
      <c r="N73" s="1134" t="s">
        <v>1069</v>
      </c>
      <c r="O73" s="1135"/>
      <c r="P73" s="1135"/>
      <c r="Q73" s="1135"/>
      <c r="R73" s="1135"/>
      <c r="S73" s="1135"/>
      <c r="T73" s="1136"/>
    </row>
    <row r="74" spans="2:20" ht="18.75" customHeight="1" x14ac:dyDescent="0.25">
      <c r="B74" s="723"/>
      <c r="C74" s="1002"/>
      <c r="D74" s="1003"/>
      <c r="E74" s="1173" t="s">
        <v>415</v>
      </c>
      <c r="F74" s="1207"/>
      <c r="G74" s="1004" t="s">
        <v>272</v>
      </c>
      <c r="H74" s="1173" t="s">
        <v>415</v>
      </c>
      <c r="I74" s="1174"/>
      <c r="J74" s="1004" t="s">
        <v>272</v>
      </c>
      <c r="K74" s="1173" t="s">
        <v>272</v>
      </c>
      <c r="L74" s="1174"/>
      <c r="M74" s="975"/>
      <c r="N74" s="1134" t="s">
        <v>1079</v>
      </c>
      <c r="O74" s="1135"/>
      <c r="P74" s="1136"/>
      <c r="Q74" s="1134" t="s">
        <v>414</v>
      </c>
      <c r="R74" s="1135"/>
      <c r="S74" s="1135"/>
      <c r="T74" s="1136"/>
    </row>
    <row r="75" spans="2:20" ht="15.75" x14ac:dyDescent="0.25">
      <c r="B75" s="1195" t="s">
        <v>1069</v>
      </c>
      <c r="C75" s="1196"/>
      <c r="D75" s="281"/>
      <c r="E75" s="1198">
        <v>551</v>
      </c>
      <c r="F75" s="1188"/>
      <c r="G75" s="746">
        <v>35270</v>
      </c>
      <c r="H75" s="1188">
        <v>324</v>
      </c>
      <c r="I75" s="1188"/>
      <c r="J75" s="747">
        <v>24856</v>
      </c>
      <c r="K75" s="1177">
        <v>70.473490218315845</v>
      </c>
      <c r="L75" s="1178"/>
      <c r="M75" s="427"/>
      <c r="N75" s="1005" t="s">
        <v>415</v>
      </c>
      <c r="O75" s="1134" t="s">
        <v>272</v>
      </c>
      <c r="P75" s="1136"/>
      <c r="Q75" s="1183" t="s">
        <v>415</v>
      </c>
      <c r="R75" s="1184"/>
      <c r="S75" s="1134" t="s">
        <v>272</v>
      </c>
      <c r="T75" s="1136"/>
    </row>
    <row r="76" spans="2:20" x14ac:dyDescent="0.25">
      <c r="B76" s="1191" t="s">
        <v>1070</v>
      </c>
      <c r="C76" s="1192"/>
      <c r="D76" s="281"/>
      <c r="E76" s="1200">
        <v>120</v>
      </c>
      <c r="F76" s="1186"/>
      <c r="G76" s="515">
        <v>9795</v>
      </c>
      <c r="H76" s="1186">
        <v>111</v>
      </c>
      <c r="I76" s="1186"/>
      <c r="J76" s="281">
        <v>9277</v>
      </c>
      <c r="K76" s="1171">
        <v>94.711587544665647</v>
      </c>
      <c r="L76" s="1172"/>
      <c r="M76" s="427"/>
      <c r="N76" s="748">
        <v>9</v>
      </c>
      <c r="O76" s="1179">
        <v>828</v>
      </c>
      <c r="P76" s="1180"/>
      <c r="Q76" s="1179">
        <v>28</v>
      </c>
      <c r="R76" s="1180"/>
      <c r="S76" s="1179">
        <v>2119</v>
      </c>
      <c r="T76" s="1180"/>
    </row>
    <row r="77" spans="2:20" ht="15" customHeight="1" x14ac:dyDescent="0.25">
      <c r="B77" s="1193" t="s">
        <v>1071</v>
      </c>
      <c r="C77" s="1194"/>
      <c r="D77" s="281"/>
      <c r="E77" s="1199">
        <v>128</v>
      </c>
      <c r="F77" s="1187"/>
      <c r="G77" s="749">
        <v>9792</v>
      </c>
      <c r="H77" s="1187">
        <v>86</v>
      </c>
      <c r="I77" s="1187"/>
      <c r="J77" s="750">
        <v>8008</v>
      </c>
      <c r="K77" s="1175">
        <v>81.781045751633982</v>
      </c>
      <c r="L77" s="1176"/>
      <c r="M77" s="427"/>
      <c r="N77" s="1162" t="s">
        <v>1080</v>
      </c>
      <c r="O77" s="1163"/>
      <c r="P77" s="1163"/>
      <c r="Q77" s="1163"/>
      <c r="R77" s="1163"/>
      <c r="S77" s="1163"/>
      <c r="T77" s="1164"/>
    </row>
    <row r="78" spans="2:20" x14ac:dyDescent="0.25">
      <c r="B78" s="1191" t="s">
        <v>1072</v>
      </c>
      <c r="C78" s="1192"/>
      <c r="D78" s="281"/>
      <c r="E78" s="1200">
        <v>43</v>
      </c>
      <c r="F78" s="1186"/>
      <c r="G78" s="515">
        <v>3927</v>
      </c>
      <c r="H78" s="1186">
        <v>42</v>
      </c>
      <c r="I78" s="1186"/>
      <c r="J78" s="281">
        <v>3836</v>
      </c>
      <c r="K78" s="1171">
        <v>97.682709447415334</v>
      </c>
      <c r="L78" s="1172"/>
      <c r="M78" s="427"/>
      <c r="N78" s="1165"/>
      <c r="O78" s="1166"/>
      <c r="P78" s="1166"/>
      <c r="Q78" s="1166"/>
      <c r="R78" s="1166"/>
      <c r="S78" s="1166"/>
      <c r="T78" s="1167"/>
    </row>
    <row r="79" spans="2:20" x14ac:dyDescent="0.25">
      <c r="B79" s="1189" t="s">
        <v>1073</v>
      </c>
      <c r="C79" s="1190"/>
      <c r="D79" s="281"/>
      <c r="E79" s="1197">
        <v>4</v>
      </c>
      <c r="F79" s="1185"/>
      <c r="G79" s="1043">
        <v>404</v>
      </c>
      <c r="H79" s="1185">
        <v>4</v>
      </c>
      <c r="I79" s="1185"/>
      <c r="J79" s="1043">
        <v>404</v>
      </c>
      <c r="K79" s="1181">
        <v>100</v>
      </c>
      <c r="L79" s="1182"/>
      <c r="M79" s="427"/>
      <c r="N79" s="1168"/>
      <c r="O79" s="1169"/>
      <c r="P79" s="1169"/>
      <c r="Q79" s="1169"/>
      <c r="R79" s="1169"/>
      <c r="S79" s="1169"/>
      <c r="T79" s="1170"/>
    </row>
  </sheetData>
  <customSheetViews>
    <customSheetView guid="{BBA80CC4-398C-41FE-99C8-A75F96D5CA58}">
      <selection activeCell="U16" sqref="U16"/>
      <pageMargins left="0.7" right="0.7" top="0.75" bottom="0.75" header="0.3" footer="0.3"/>
      <pageSetup orientation="portrait"/>
    </customSheetView>
    <customSheetView guid="{03C358DA-88A4-4E12-84B7-BB4E50E89831}">
      <selection activeCell="U16" sqref="U16"/>
      <pageMargins left="0.7" right="0.7" top="0.75" bottom="0.75" header="0.3" footer="0.3"/>
      <pageSetup orientation="portrait"/>
    </customSheetView>
  </customSheetViews>
  <mergeCells count="127">
    <mergeCell ref="AF39:AJ40"/>
    <mergeCell ref="AK39:AO40"/>
    <mergeCell ref="AA39:AE40"/>
    <mergeCell ref="AD2:AF2"/>
    <mergeCell ref="AD26:AF26"/>
    <mergeCell ref="AD14:AF14"/>
    <mergeCell ref="B40:T40"/>
    <mergeCell ref="B39:T39"/>
    <mergeCell ref="C2:I2"/>
    <mergeCell ref="J2:T2"/>
    <mergeCell ref="C14:I14"/>
    <mergeCell ref="J14:T14"/>
    <mergeCell ref="C26:I26"/>
    <mergeCell ref="J26:T26"/>
    <mergeCell ref="E72:L72"/>
    <mergeCell ref="L63:L64"/>
    <mergeCell ref="Q53:R54"/>
    <mergeCell ref="S53:T54"/>
    <mergeCell ref="L43:L44"/>
    <mergeCell ref="B42:C42"/>
    <mergeCell ref="E42:L42"/>
    <mergeCell ref="L53:L54"/>
    <mergeCell ref="J43:J44"/>
    <mergeCell ref="K43:K44"/>
    <mergeCell ref="J53:J54"/>
    <mergeCell ref="K53:K54"/>
    <mergeCell ref="B65:C65"/>
    <mergeCell ref="N72:T72"/>
    <mergeCell ref="B41:T41"/>
    <mergeCell ref="O43:P44"/>
    <mergeCell ref="E43:E44"/>
    <mergeCell ref="F43:F44"/>
    <mergeCell ref="E52:L52"/>
    <mergeCell ref="I63:I64"/>
    <mergeCell ref="B59:C59"/>
    <mergeCell ref="B62:C62"/>
    <mergeCell ref="B60:C60"/>
    <mergeCell ref="S43:T44"/>
    <mergeCell ref="I43:I44"/>
    <mergeCell ref="G43:G44"/>
    <mergeCell ref="H43:H44"/>
    <mergeCell ref="N42:T42"/>
    <mergeCell ref="N43:N44"/>
    <mergeCell ref="B49:C49"/>
    <mergeCell ref="B46:C46"/>
    <mergeCell ref="B50:C50"/>
    <mergeCell ref="B48:C48"/>
    <mergeCell ref="B47:C47"/>
    <mergeCell ref="J63:J64"/>
    <mergeCell ref="K63:K64"/>
    <mergeCell ref="H73:J73"/>
    <mergeCell ref="E76:F76"/>
    <mergeCell ref="F53:F54"/>
    <mergeCell ref="B70:C70"/>
    <mergeCell ref="B69:C69"/>
    <mergeCell ref="B68:C68"/>
    <mergeCell ref="E73:G73"/>
    <mergeCell ref="G63:G64"/>
    <mergeCell ref="H63:H64"/>
    <mergeCell ref="E62:L62"/>
    <mergeCell ref="E63:E64"/>
    <mergeCell ref="F63:F64"/>
    <mergeCell ref="E74:F74"/>
    <mergeCell ref="B67:C67"/>
    <mergeCell ref="B66:C66"/>
    <mergeCell ref="E53:E54"/>
    <mergeCell ref="K73:L73"/>
    <mergeCell ref="H74:I74"/>
    <mergeCell ref="G53:G54"/>
    <mergeCell ref="I53:I54"/>
    <mergeCell ref="B58:C58"/>
    <mergeCell ref="H53:H54"/>
    <mergeCell ref="B57:C57"/>
    <mergeCell ref="B56:C56"/>
    <mergeCell ref="H79:I79"/>
    <mergeCell ref="H78:I78"/>
    <mergeCell ref="H77:I77"/>
    <mergeCell ref="H76:I76"/>
    <mergeCell ref="H75:I75"/>
    <mergeCell ref="B79:C79"/>
    <mergeCell ref="B78:C78"/>
    <mergeCell ref="B77:C77"/>
    <mergeCell ref="B76:C76"/>
    <mergeCell ref="B75:C75"/>
    <mergeCell ref="E79:F79"/>
    <mergeCell ref="E75:F75"/>
    <mergeCell ref="E77:F77"/>
    <mergeCell ref="E78:F78"/>
    <mergeCell ref="N77:T79"/>
    <mergeCell ref="N74:P74"/>
    <mergeCell ref="Q74:T74"/>
    <mergeCell ref="K76:L76"/>
    <mergeCell ref="K74:L74"/>
    <mergeCell ref="K77:L77"/>
    <mergeCell ref="K75:L75"/>
    <mergeCell ref="S76:T76"/>
    <mergeCell ref="Q76:R76"/>
    <mergeCell ref="O76:P76"/>
    <mergeCell ref="K79:L79"/>
    <mergeCell ref="K78:L78"/>
    <mergeCell ref="O75:P75"/>
    <mergeCell ref="Q75:R75"/>
    <mergeCell ref="S75:T75"/>
    <mergeCell ref="N73:T73"/>
    <mergeCell ref="W38:AO38"/>
    <mergeCell ref="B2:B3"/>
    <mergeCell ref="Z2:AB2"/>
    <mergeCell ref="V2:X2"/>
    <mergeCell ref="B26:B27"/>
    <mergeCell ref="Z14:AB14"/>
    <mergeCell ref="Z26:AB26"/>
    <mergeCell ref="V14:X14"/>
    <mergeCell ref="B14:B15"/>
    <mergeCell ref="V26:X26"/>
    <mergeCell ref="Q43:R44"/>
    <mergeCell ref="B55:C55"/>
    <mergeCell ref="N62:T62"/>
    <mergeCell ref="N63:N64"/>
    <mergeCell ref="O63:P64"/>
    <mergeCell ref="Q63:R64"/>
    <mergeCell ref="S63:T64"/>
    <mergeCell ref="N52:T52"/>
    <mergeCell ref="N53:N54"/>
    <mergeCell ref="O53:P54"/>
    <mergeCell ref="B43:C43"/>
    <mergeCell ref="B44:C44"/>
    <mergeCell ref="B45:C45"/>
  </mergeCells>
  <conditionalFormatting sqref="C9:T12 C21:T23 C33:T35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</sheetPr>
  <dimension ref="A1:K50"/>
  <sheetViews>
    <sheetView topLeftCell="A16" workbookViewId="0">
      <selection activeCell="C49" sqref="C49:I49"/>
    </sheetView>
  </sheetViews>
  <sheetFormatPr defaultColWidth="11.28515625" defaultRowHeight="15" x14ac:dyDescent="0.25"/>
  <cols>
    <col min="1" max="1" width="30" customWidth="1"/>
  </cols>
  <sheetData>
    <row r="1" spans="1:9" x14ac:dyDescent="0.25">
      <c r="A1" t="str">
        <f>+'Board Summary'!B3</f>
        <v>Hampton Inn &amp; Suites Wichita Airport</v>
      </c>
    </row>
    <row r="3" spans="1:9" x14ac:dyDescent="0.25">
      <c r="A3" s="189" t="s">
        <v>407</v>
      </c>
      <c r="B3" s="229"/>
    </row>
    <row r="4" spans="1:9" x14ac:dyDescent="0.25">
      <c r="A4" s="721">
        <f>+'Data Entry'!D93</f>
        <v>0</v>
      </c>
    </row>
    <row r="5" spans="1:9" x14ac:dyDescent="0.25">
      <c r="A5" s="720"/>
      <c r="B5" s="274"/>
      <c r="C5" s="274"/>
      <c r="D5" s="274"/>
      <c r="E5" s="274"/>
      <c r="F5" s="274"/>
      <c r="G5" s="274"/>
      <c r="H5" s="274"/>
      <c r="I5" s="274"/>
    </row>
    <row r="6" spans="1:9" ht="15" customHeight="1" x14ac:dyDescent="0.25">
      <c r="B6" s="1237" t="s">
        <v>452</v>
      </c>
      <c r="C6" s="1246"/>
      <c r="D6" s="1237" t="s">
        <v>451</v>
      </c>
      <c r="E6" s="1246"/>
      <c r="F6" s="1237" t="s">
        <v>450</v>
      </c>
      <c r="G6" s="1246"/>
      <c r="H6" s="1237" t="s">
        <v>449</v>
      </c>
      <c r="I6" s="1246"/>
    </row>
    <row r="7" spans="1:9" x14ac:dyDescent="0.25">
      <c r="A7" s="275"/>
      <c r="B7" s="1239"/>
      <c r="C7" s="1247"/>
      <c r="D7" s="1239"/>
      <c r="E7" s="1247"/>
      <c r="F7" s="1239"/>
      <c r="G7" s="1247"/>
      <c r="H7" s="1239"/>
      <c r="I7" s="1247"/>
    </row>
    <row r="8" spans="1:9" x14ac:dyDescent="0.25">
      <c r="B8" s="312"/>
      <c r="C8" s="312"/>
      <c r="D8" s="312"/>
      <c r="E8" s="312"/>
      <c r="F8" s="312"/>
      <c r="G8" s="312"/>
      <c r="H8" s="312"/>
      <c r="I8" s="312"/>
    </row>
    <row r="9" spans="1:9" x14ac:dyDescent="0.25">
      <c r="A9" s="317" t="s">
        <v>453</v>
      </c>
      <c r="B9" s="313"/>
      <c r="C9" s="351">
        <f>C49</f>
        <v>-0.58260227841743317</v>
      </c>
      <c r="D9" s="352"/>
      <c r="E9" s="351">
        <f>E49</f>
        <v>0.15380348967969823</v>
      </c>
      <c r="F9" s="352"/>
      <c r="G9" s="351">
        <f>G49</f>
        <v>5.9087637135068256</v>
      </c>
      <c r="H9" s="352"/>
      <c r="I9" s="351">
        <f>I49</f>
        <v>5.7507832047705332</v>
      </c>
    </row>
    <row r="10" spans="1:9" x14ac:dyDescent="0.25">
      <c r="A10" s="190" t="s">
        <v>410</v>
      </c>
      <c r="B10" s="189"/>
      <c r="C10" s="189" t="s">
        <v>471</v>
      </c>
      <c r="D10" s="189"/>
      <c r="E10" s="189" t="s">
        <v>471</v>
      </c>
      <c r="F10" s="189"/>
      <c r="G10" s="189" t="s">
        <v>471</v>
      </c>
      <c r="H10" s="189"/>
      <c r="I10" s="189" t="s">
        <v>471</v>
      </c>
    </row>
    <row r="11" spans="1:9" x14ac:dyDescent="0.25">
      <c r="A11" t="s">
        <v>408</v>
      </c>
      <c r="B11" s="7"/>
      <c r="C11" s="349">
        <f>+STR!N45</f>
        <v>0</v>
      </c>
      <c r="D11" s="349"/>
      <c r="E11" s="349">
        <f>+STR!R45</f>
        <v>0</v>
      </c>
      <c r="F11" s="349"/>
      <c r="G11" s="349">
        <f>+STR!P45</f>
        <v>0</v>
      </c>
      <c r="H11" s="349"/>
      <c r="I11" s="349">
        <f>+STR!T45</f>
        <v>0</v>
      </c>
    </row>
    <row r="12" spans="1:9" x14ac:dyDescent="0.25">
      <c r="A12" t="str">
        <f>+STR!B48</f>
        <v>Submarket: Wichita, KS</v>
      </c>
      <c r="B12" s="7"/>
      <c r="C12" s="349">
        <f>+STR!N48</f>
        <v>2</v>
      </c>
      <c r="D12" s="349"/>
      <c r="E12" s="349">
        <f>+STR!R48</f>
        <v>2.0431635361290694</v>
      </c>
      <c r="F12" s="349"/>
      <c r="G12" s="349">
        <f>+STR!P48</f>
        <v>1.503994738334071</v>
      </c>
      <c r="H12" s="349"/>
      <c r="I12" s="349">
        <f>+STR!T48</f>
        <v>1.4795798781465495</v>
      </c>
    </row>
    <row r="13" spans="1:9" s="427" customFormat="1" x14ac:dyDescent="0.25">
      <c r="A13" s="427" t="str">
        <f>+STR!B49</f>
        <v>Submarket Scale: Midscale Chains</v>
      </c>
      <c r="B13" s="7"/>
      <c r="C13" s="349">
        <f>+STR!N49</f>
        <v>10.557432432432433</v>
      </c>
      <c r="D13" s="349"/>
      <c r="E13" s="349">
        <f>+STR!R49</f>
        <v>13.038472548946391</v>
      </c>
      <c r="F13" s="349"/>
      <c r="G13" s="349">
        <f>+STR!P49</f>
        <v>10.430623222638671</v>
      </c>
      <c r="H13" s="349"/>
      <c r="I13" s="349">
        <f>+STR!T49</f>
        <v>9.6661609672275812</v>
      </c>
    </row>
    <row r="14" spans="1:9" x14ac:dyDescent="0.25">
      <c r="A14" t="s">
        <v>95</v>
      </c>
      <c r="B14" s="7"/>
      <c r="C14" s="349">
        <f>+STR!N50</f>
        <v>0</v>
      </c>
      <c r="D14" s="349"/>
      <c r="E14" s="349">
        <f>+STR!R50</f>
        <v>0</v>
      </c>
      <c r="F14" s="349"/>
      <c r="G14" s="349">
        <f>+STR!P50</f>
        <v>0</v>
      </c>
      <c r="H14" s="349"/>
      <c r="I14" s="349">
        <f>+STR!T50</f>
        <v>0</v>
      </c>
    </row>
    <row r="15" spans="1:9" x14ac:dyDescent="0.25">
      <c r="A15" s="189" t="s">
        <v>411</v>
      </c>
      <c r="B15" s="267"/>
      <c r="C15" s="350"/>
      <c r="D15" s="350"/>
      <c r="E15" s="350"/>
      <c r="F15" s="350"/>
      <c r="G15" s="350"/>
      <c r="H15" s="350"/>
      <c r="I15" s="350"/>
    </row>
    <row r="16" spans="1:9" x14ac:dyDescent="0.25">
      <c r="A16" t="s">
        <v>408</v>
      </c>
      <c r="B16" s="7"/>
      <c r="C16" s="349">
        <f>+STR!N55</f>
        <v>4.4935805991440798</v>
      </c>
      <c r="D16" s="349"/>
      <c r="E16" s="349">
        <f>+STR!R55</f>
        <v>-0.72804659498207891</v>
      </c>
      <c r="F16" s="349"/>
      <c r="G16" s="349">
        <f>+STR!P55</f>
        <v>3.7582950484941295</v>
      </c>
      <c r="H16" s="349"/>
      <c r="I16" s="349">
        <f>+STR!T55</f>
        <v>4.2558285697183731</v>
      </c>
    </row>
    <row r="17" spans="1:11" x14ac:dyDescent="0.25">
      <c r="A17" t="str">
        <f>+STR!B58</f>
        <v>Submarket: Wichita, KS</v>
      </c>
      <c r="B17" s="7"/>
      <c r="C17" s="349">
        <f>+STR!N58</f>
        <v>4.2134739995441377</v>
      </c>
      <c r="D17" s="349"/>
      <c r="E17" s="349">
        <f>+STR!R58</f>
        <v>11.128977861289778</v>
      </c>
      <c r="F17" s="349"/>
      <c r="G17" s="349">
        <f>+STR!P58</f>
        <v>4.5836760286968348</v>
      </c>
      <c r="H17" s="349"/>
      <c r="I17" s="349">
        <f>+STR!T58</f>
        <v>4.5449595972641106</v>
      </c>
    </row>
    <row r="18" spans="1:11" s="427" customFormat="1" x14ac:dyDescent="0.25">
      <c r="A18" s="427" t="str">
        <f>+STR!B59</f>
        <v>Submarket Scale: Midscale Chains</v>
      </c>
      <c r="B18" s="7"/>
      <c r="C18" s="349">
        <f>+STR!N59</f>
        <v>14.915889892222546</v>
      </c>
      <c r="D18" s="349"/>
      <c r="E18" s="349">
        <f>+STR!R59</f>
        <v>21.380130940942507</v>
      </c>
      <c r="F18" s="349"/>
      <c r="G18" s="349">
        <f>+STR!P59</f>
        <v>12.50026239635344</v>
      </c>
      <c r="H18" s="349"/>
      <c r="I18" s="349">
        <f>+STR!T59</f>
        <v>11.545906327061212</v>
      </c>
    </row>
    <row r="19" spans="1:11" x14ac:dyDescent="0.25">
      <c r="A19" t="s">
        <v>95</v>
      </c>
      <c r="B19" s="7"/>
      <c r="C19" s="349">
        <f>+STR!N60</f>
        <v>-2.6187194587144469</v>
      </c>
      <c r="D19" s="349"/>
      <c r="E19" s="349">
        <f>+STR!R60</f>
        <v>-0.81545064377682408</v>
      </c>
      <c r="F19" s="349"/>
      <c r="G19" s="349">
        <f>+STR!P60</f>
        <v>3.8497734783655422</v>
      </c>
      <c r="H19" s="349"/>
      <c r="I19" s="349">
        <f>+STR!T60</f>
        <v>3.8798127057476437</v>
      </c>
    </row>
    <row r="20" spans="1:11" x14ac:dyDescent="0.25">
      <c r="A20" s="189" t="s">
        <v>157</v>
      </c>
      <c r="B20" s="267"/>
      <c r="C20" s="350"/>
      <c r="D20" s="350"/>
      <c r="E20" s="350"/>
      <c r="F20" s="350"/>
      <c r="G20" s="350"/>
      <c r="H20" s="350"/>
      <c r="I20" s="350"/>
      <c r="K20" s="190" t="s">
        <v>469</v>
      </c>
    </row>
    <row r="21" spans="1:11" x14ac:dyDescent="0.25">
      <c r="A21" t="s">
        <v>408</v>
      </c>
      <c r="B21" s="7"/>
      <c r="C21" s="349">
        <f>+STR!N65</f>
        <v>4.7957052051130029</v>
      </c>
      <c r="D21" s="349"/>
      <c r="E21" s="349">
        <f>+STR!R65</f>
        <v>1.1659690336083088</v>
      </c>
      <c r="F21" s="349"/>
      <c r="G21" s="349">
        <f>+STR!P65</f>
        <v>4.2549676030927168</v>
      </c>
      <c r="H21" s="349"/>
      <c r="I21" s="349">
        <f>+STR!T65</f>
        <v>4.6189206699480501</v>
      </c>
    </row>
    <row r="22" spans="1:11" x14ac:dyDescent="0.25">
      <c r="A22" t="str">
        <f>+STR!B68</f>
        <v>Submarket: Wichita, KS</v>
      </c>
      <c r="B22" s="7"/>
      <c r="C22" s="349">
        <f>+STR!N68</f>
        <v>2.0239966874735731</v>
      </c>
      <c r="D22" s="349"/>
      <c r="E22" s="349">
        <f>+STR!R68</f>
        <v>7.8293738595663385</v>
      </c>
      <c r="F22" s="349"/>
      <c r="G22" s="349">
        <f>+STR!P68</f>
        <v>3.3776298743434907</v>
      </c>
      <c r="H22" s="349"/>
      <c r="I22" s="349">
        <f>+STR!T68</f>
        <v>3.213501747650005</v>
      </c>
    </row>
    <row r="23" spans="1:11" s="427" customFormat="1" x14ac:dyDescent="0.25">
      <c r="A23" s="427" t="str">
        <f>+STR!B69</f>
        <v>Submarket Scale: Midscale Chains</v>
      </c>
      <c r="B23" s="7"/>
      <c r="C23" s="349">
        <f>+STR!N69</f>
        <v>13.234177466720444</v>
      </c>
      <c r="D23" s="349"/>
      <c r="E23" s="349">
        <f>+STR!R69</f>
        <v>19.896596651048714</v>
      </c>
      <c r="F23" s="349"/>
      <c r="G23" s="349">
        <f>+STR!P69</f>
        <v>12.706467416465415</v>
      </c>
      <c r="H23" s="349"/>
      <c r="I23" s="349">
        <f>+STR!T69</f>
        <v>11.774082076005119</v>
      </c>
    </row>
    <row r="24" spans="1:11" x14ac:dyDescent="0.25">
      <c r="A24" t="s">
        <v>95</v>
      </c>
      <c r="B24" s="7"/>
      <c r="C24" s="349">
        <f>+STR!N70</f>
        <v>-0.58260227841743317</v>
      </c>
      <c r="D24" s="349"/>
      <c r="E24" s="349">
        <f>+STR!R70</f>
        <v>0.15380348967969823</v>
      </c>
      <c r="F24" s="349"/>
      <c r="G24" s="349">
        <f>+STR!P70</f>
        <v>5.9087637135068256</v>
      </c>
      <c r="H24" s="349"/>
      <c r="I24" s="349">
        <f>+STR!T70</f>
        <v>5.7507832047705332</v>
      </c>
    </row>
    <row r="25" spans="1:11" x14ac:dyDescent="0.25">
      <c r="A25" s="189" t="s">
        <v>412</v>
      </c>
      <c r="B25" s="189"/>
      <c r="C25" s="189"/>
      <c r="D25" s="189"/>
      <c r="E25" s="189"/>
      <c r="F25" s="189"/>
      <c r="G25" s="189"/>
      <c r="H25" s="189"/>
      <c r="I25" s="189"/>
    </row>
    <row r="26" spans="1:11" x14ac:dyDescent="0.25">
      <c r="A26" s="1248" t="s">
        <v>413</v>
      </c>
      <c r="B26" s="1249"/>
      <c r="C26" s="1250"/>
      <c r="D26" s="1248" t="s">
        <v>414</v>
      </c>
      <c r="E26" s="1249"/>
      <c r="F26" s="1249"/>
      <c r="G26" s="1250"/>
    </row>
    <row r="27" spans="1:11" x14ac:dyDescent="0.25">
      <c r="A27" s="276" t="s">
        <v>415</v>
      </c>
      <c r="B27" s="1248" t="s">
        <v>272</v>
      </c>
      <c r="C27" s="1250"/>
      <c r="D27" s="1251" t="s">
        <v>415</v>
      </c>
      <c r="E27" s="1252"/>
      <c r="F27" s="1248" t="s">
        <v>272</v>
      </c>
      <c r="G27" s="1250"/>
    </row>
    <row r="28" spans="1:11" x14ac:dyDescent="0.25">
      <c r="A28" s="277">
        <f>+STR!N76</f>
        <v>9</v>
      </c>
      <c r="B28" s="1244">
        <f>+STR!O76</f>
        <v>828</v>
      </c>
      <c r="C28" s="1245"/>
      <c r="D28" s="1244">
        <f>+STR!Q76</f>
        <v>28</v>
      </c>
      <c r="E28" s="1245"/>
      <c r="F28" s="1244">
        <f>+STR!S76</f>
        <v>2119</v>
      </c>
      <c r="G28" s="1245"/>
      <c r="H28" s="165"/>
    </row>
    <row r="30" spans="1:11" x14ac:dyDescent="0.25">
      <c r="A30" s="1241" t="str">
        <f>+STR!W38</f>
        <v>November 2018 vs. 2017 Percent Change (%)</v>
      </c>
      <c r="B30" s="1242"/>
      <c r="C30" s="1242"/>
      <c r="D30" s="1242"/>
      <c r="E30" s="1242"/>
      <c r="F30" s="1242"/>
      <c r="G30" s="1242"/>
      <c r="H30" s="1242"/>
      <c r="I30" s="1243"/>
      <c r="J30" s="427"/>
    </row>
    <row r="31" spans="1:11" x14ac:dyDescent="0.25">
      <c r="A31" s="429"/>
      <c r="B31" s="1237" t="s">
        <v>452</v>
      </c>
      <c r="C31" s="1246"/>
      <c r="D31" s="1237" t="s">
        <v>451</v>
      </c>
      <c r="E31" s="1246"/>
      <c r="F31" s="1237" t="s">
        <v>450</v>
      </c>
      <c r="G31" s="1246"/>
      <c r="H31" s="1237" t="s">
        <v>449</v>
      </c>
      <c r="I31" s="1238"/>
    </row>
    <row r="32" spans="1:11" x14ac:dyDescent="0.25">
      <c r="A32" s="429"/>
      <c r="B32" s="1239"/>
      <c r="C32" s="1247"/>
      <c r="D32" s="1239"/>
      <c r="E32" s="1247"/>
      <c r="F32" s="1239"/>
      <c r="G32" s="1247"/>
      <c r="H32" s="1239"/>
      <c r="I32" s="1240"/>
    </row>
    <row r="33" spans="1:9" x14ac:dyDescent="0.25">
      <c r="A33" s="431" t="s">
        <v>39</v>
      </c>
      <c r="B33" s="432"/>
      <c r="C33" s="432" t="s">
        <v>471</v>
      </c>
      <c r="D33" s="432"/>
      <c r="E33" s="432" t="s">
        <v>471</v>
      </c>
      <c r="F33" s="432"/>
      <c r="G33" s="432" t="s">
        <v>471</v>
      </c>
      <c r="H33" s="432"/>
      <c r="I33" s="433" t="s">
        <v>471</v>
      </c>
    </row>
    <row r="34" spans="1:9" x14ac:dyDescent="0.25">
      <c r="A34" s="441" t="s">
        <v>408</v>
      </c>
      <c r="B34" s="428"/>
      <c r="C34" s="434">
        <f>+STR!F45</f>
        <v>4.4935805991440798</v>
      </c>
      <c r="D34" s="434"/>
      <c r="E34" s="434">
        <f>+STR!J45</f>
        <v>-0.72804659498207891</v>
      </c>
      <c r="F34" s="434"/>
      <c r="G34" s="434">
        <f>+STR!H45</f>
        <v>3.7582950484941295</v>
      </c>
      <c r="H34" s="434"/>
      <c r="I34" s="435">
        <f>+STR!L45</f>
        <v>4.2558285697183731</v>
      </c>
    </row>
    <row r="35" spans="1:9" s="427" customFormat="1" x14ac:dyDescent="0.25">
      <c r="A35" s="633" t="str">
        <f>+STR!B48</f>
        <v>Submarket: Wichita, KS</v>
      </c>
      <c r="B35" s="428"/>
      <c r="C35" s="434">
        <f>+STR!F48</f>
        <v>2.1700725485726835</v>
      </c>
      <c r="D35" s="434"/>
      <c r="E35" s="434">
        <f>+STR!J48</f>
        <v>8.9038932254817986</v>
      </c>
      <c r="F35" s="434"/>
      <c r="G35" s="434">
        <f>+STR!H48</f>
        <v>3.0340493478131942</v>
      </c>
      <c r="H35" s="434"/>
      <c r="I35" s="435">
        <f>+STR!L48</f>
        <v>3.0206862531342482</v>
      </c>
    </row>
    <row r="36" spans="1:9" s="427" customFormat="1" x14ac:dyDescent="0.25">
      <c r="A36" s="633" t="str">
        <f>+STR!B49</f>
        <v>Submarket Scale: Midscale Chains</v>
      </c>
      <c r="B36" s="428"/>
      <c r="C36" s="434">
        <f>+STR!F49</f>
        <v>3.9422564036604237</v>
      </c>
      <c r="D36" s="434"/>
      <c r="E36" s="434">
        <f>+STR!J49</f>
        <v>7.3794861199881501</v>
      </c>
      <c r="F36" s="434"/>
      <c r="G36" s="434">
        <f>+STR!H49</f>
        <v>1.8741533039636835</v>
      </c>
      <c r="H36" s="434"/>
      <c r="I36" s="435">
        <f>+STR!L49</f>
        <v>1.7140614235555942</v>
      </c>
    </row>
    <row r="37" spans="1:9" x14ac:dyDescent="0.25">
      <c r="A37" s="441" t="s">
        <v>95</v>
      </c>
      <c r="B37" s="428"/>
      <c r="C37" s="434">
        <f>+STR!F50</f>
        <v>-2.6187194587144469</v>
      </c>
      <c r="D37" s="434"/>
      <c r="E37" s="434">
        <f>+STR!J50</f>
        <v>-0.81545064377682408</v>
      </c>
      <c r="F37" s="434"/>
      <c r="G37" s="434">
        <f>+STR!H50</f>
        <v>3.8497734783655426</v>
      </c>
      <c r="H37" s="434"/>
      <c r="I37" s="435">
        <f>+STR!L50</f>
        <v>3.8798127057476437</v>
      </c>
    </row>
    <row r="38" spans="1:9" x14ac:dyDescent="0.25">
      <c r="A38" s="441" t="s">
        <v>514</v>
      </c>
      <c r="B38" s="428"/>
      <c r="C38" s="434">
        <f>+STR!AD43</f>
        <v>7.303559799507064</v>
      </c>
      <c r="D38" s="434"/>
      <c r="E38" s="434">
        <f>+STR!AD47</f>
        <v>8.8122645474580819E-2</v>
      </c>
      <c r="F38" s="434"/>
      <c r="G38" s="434">
        <f>+STR!AD45</f>
        <v>-8.808726953118487E-2</v>
      </c>
      <c r="H38" s="434"/>
      <c r="I38" s="435">
        <f>+STR!AD49</f>
        <v>0.36197202726562555</v>
      </c>
    </row>
    <row r="39" spans="1:9" x14ac:dyDescent="0.25">
      <c r="A39" s="442" t="s">
        <v>513</v>
      </c>
      <c r="B39" s="436"/>
      <c r="C39" s="437"/>
      <c r="D39" s="437"/>
      <c r="E39" s="437"/>
      <c r="F39" s="437"/>
      <c r="G39" s="437"/>
      <c r="H39" s="437"/>
      <c r="I39" s="438"/>
    </row>
    <row r="40" spans="1:9" x14ac:dyDescent="0.25">
      <c r="A40" s="441" t="s">
        <v>408</v>
      </c>
      <c r="B40" s="428"/>
      <c r="C40" s="434">
        <f>+STR!F55</f>
        <v>0.28913221677025924</v>
      </c>
      <c r="D40" s="434"/>
      <c r="E40" s="434">
        <f>+STR!J55</f>
        <v>1.9079060737961167</v>
      </c>
      <c r="F40" s="434"/>
      <c r="G40" s="434">
        <f>+STR!H55</f>
        <v>0.4786822628171119</v>
      </c>
      <c r="H40" s="434"/>
      <c r="I40" s="435">
        <f>+STR!L55</f>
        <v>0.34827031275941367</v>
      </c>
    </row>
    <row r="41" spans="1:9" s="427" customFormat="1" x14ac:dyDescent="0.25">
      <c r="A41" s="633" t="str">
        <f>+STR!B58</f>
        <v>Submarket: Wichita, KS</v>
      </c>
      <c r="B41" s="428"/>
      <c r="C41" s="434">
        <f>+STR!F58</f>
        <v>-2.1009541550070026</v>
      </c>
      <c r="D41" s="434"/>
      <c r="E41" s="434">
        <f>+STR!J58</f>
        <v>-2.9691661574013368</v>
      </c>
      <c r="F41" s="434"/>
      <c r="G41" s="434">
        <f>+STR!H58</f>
        <v>-1.1531877632819256</v>
      </c>
      <c r="H41" s="434"/>
      <c r="I41" s="435">
        <f>+STR!L58</f>
        <v>-1.2735744073585633</v>
      </c>
    </row>
    <row r="42" spans="1:9" s="427" customFormat="1" x14ac:dyDescent="0.25">
      <c r="A42" s="633" t="str">
        <f>+STR!B59</f>
        <v>Submarket Scale: Midscale Chains</v>
      </c>
      <c r="B42" s="428"/>
      <c r="C42" s="434">
        <f>+STR!F59</f>
        <v>-1.4634289714671727</v>
      </c>
      <c r="D42" s="434"/>
      <c r="E42" s="434">
        <f>+STR!J59</f>
        <v>-1.2222216917986428</v>
      </c>
      <c r="F42" s="434"/>
      <c r="G42" s="434">
        <f>+STR!H59</f>
        <v>0.18329292369602315</v>
      </c>
      <c r="H42" s="434"/>
      <c r="I42" s="435">
        <f>+STR!L59</f>
        <v>0.20455770763552625</v>
      </c>
    </row>
    <row r="43" spans="1:9" x14ac:dyDescent="0.25">
      <c r="A43" s="441" t="s">
        <v>95</v>
      </c>
      <c r="B43" s="428"/>
      <c r="C43" s="434">
        <f>+STR!F60</f>
        <v>2.090871232108912</v>
      </c>
      <c r="D43" s="434"/>
      <c r="E43" s="434">
        <f>+STR!J60</f>
        <v>0.97722290391765332</v>
      </c>
      <c r="F43" s="434"/>
      <c r="G43" s="434">
        <f>+STR!H60</f>
        <v>1.9826622304286696</v>
      </c>
      <c r="H43" s="434"/>
      <c r="I43" s="435">
        <f>+STR!L60</f>
        <v>1.8010915213359537</v>
      </c>
    </row>
    <row r="44" spans="1:9" x14ac:dyDescent="0.25">
      <c r="A44" s="441" t="s">
        <v>514</v>
      </c>
      <c r="B44" s="428"/>
      <c r="C44" s="434">
        <f>+STR!AI43</f>
        <v>-1.7648385145448564</v>
      </c>
      <c r="D44" s="434"/>
      <c r="E44" s="434">
        <f>+STR!AI47</f>
        <v>0.92167633760737466</v>
      </c>
      <c r="F44" s="434"/>
      <c r="G44" s="434">
        <f>+STR!AI45</f>
        <v>-1.4747408380194387</v>
      </c>
      <c r="H44" s="434"/>
      <c r="I44" s="435">
        <f>+STR!AI49</f>
        <v>-1.427117515996428</v>
      </c>
    </row>
    <row r="45" spans="1:9" x14ac:dyDescent="0.25">
      <c r="A45" s="442" t="s">
        <v>41</v>
      </c>
      <c r="B45" s="436"/>
      <c r="C45" s="437"/>
      <c r="D45" s="437"/>
      <c r="E45" s="437"/>
      <c r="F45" s="437"/>
      <c r="G45" s="437"/>
      <c r="H45" s="437"/>
      <c r="I45" s="438"/>
    </row>
    <row r="46" spans="1:9" x14ac:dyDescent="0.25">
      <c r="A46" s="441" t="s">
        <v>408</v>
      </c>
      <c r="B46" s="428"/>
      <c r="C46" s="434">
        <f>+STR!F65</f>
        <v>4.7957052051130029</v>
      </c>
      <c r="D46" s="434"/>
      <c r="E46" s="434">
        <f>+STR!J65</f>
        <v>1.1659690336083088</v>
      </c>
      <c r="F46" s="434"/>
      <c r="G46" s="434">
        <f>+STR!H65</f>
        <v>4.2549676030927168</v>
      </c>
      <c r="H46" s="434"/>
      <c r="I46" s="435">
        <f>+STR!L65</f>
        <v>4.6189206699480501</v>
      </c>
    </row>
    <row r="47" spans="1:9" s="427" customFormat="1" x14ac:dyDescent="0.25">
      <c r="A47" s="633" t="str">
        <f>+STR!B68</f>
        <v>Submarket: Wichita, KS</v>
      </c>
      <c r="B47" s="428"/>
      <c r="C47" s="434">
        <f>+STR!F68</f>
        <v>2.352616418977737E-2</v>
      </c>
      <c r="D47" s="434"/>
      <c r="E47" s="434">
        <f>+STR!J68</f>
        <v>5.6703556837383067</v>
      </c>
      <c r="F47" s="434"/>
      <c r="G47" s="434">
        <f>+STR!H68</f>
        <v>1.8458732987203519</v>
      </c>
      <c r="H47" s="434"/>
      <c r="I47" s="435">
        <f>+STR!L68</f>
        <v>1.7086411587291686</v>
      </c>
    </row>
    <row r="48" spans="1:9" s="427" customFormat="1" x14ac:dyDescent="0.25">
      <c r="A48" s="633" t="str">
        <f>+STR!B69</f>
        <v>Submarket Scale: Midscale Chains</v>
      </c>
      <c r="B48" s="428"/>
      <c r="C48" s="434">
        <f>+STR!F69</f>
        <v>2.4211353098525645</v>
      </c>
      <c r="D48" s="434"/>
      <c r="E48" s="434">
        <f>+STR!J69</f>
        <v>6.0670707480877422</v>
      </c>
      <c r="F48" s="434"/>
      <c r="G48" s="434">
        <f>+STR!H69</f>
        <v>2.0608814180450872</v>
      </c>
      <c r="H48" s="434"/>
      <c r="I48" s="435">
        <f>+STR!L69</f>
        <v>1.9221253759466106</v>
      </c>
    </row>
    <row r="49" spans="1:9" x14ac:dyDescent="0.25">
      <c r="A49" s="441" t="s">
        <v>95</v>
      </c>
      <c r="B49" s="428"/>
      <c r="C49" s="434">
        <f>+STR!F70</f>
        <v>-0.58260227841743317</v>
      </c>
      <c r="D49" s="434"/>
      <c r="E49" s="434">
        <f>+STR!J70</f>
        <v>0.15380348967969823</v>
      </c>
      <c r="F49" s="434"/>
      <c r="G49" s="434">
        <f>+STR!H70</f>
        <v>5.9087637135068256</v>
      </c>
      <c r="H49" s="434"/>
      <c r="I49" s="435">
        <f>+STR!L70</f>
        <v>5.7507832047705332</v>
      </c>
    </row>
    <row r="50" spans="1:9" x14ac:dyDescent="0.25">
      <c r="A50" s="439" t="s">
        <v>514</v>
      </c>
      <c r="B50" s="430"/>
      <c r="C50" s="443">
        <f>+STR!AN43</f>
        <v>5.4098252486876923</v>
      </c>
      <c r="D50" s="443"/>
      <c r="E50" s="443">
        <f>+STR!AN47</f>
        <v>1.0106111886533682</v>
      </c>
      <c r="F50" s="443"/>
      <c r="G50" s="443">
        <f>+STR!AN45</f>
        <v>-1.561529048613751</v>
      </c>
      <c r="H50" s="443"/>
      <c r="I50" s="440">
        <f>+STR!AN49</f>
        <v>-1.0703112549349176</v>
      </c>
    </row>
  </sheetData>
  <customSheetViews>
    <customSheetView guid="{BBA80CC4-398C-41FE-99C8-A75F96D5CA58}" topLeftCell="A13">
      <selection activeCell="K34" sqref="K34"/>
      <pageMargins left="0.7" right="0.7" top="0.75" bottom="0.75" header="0.3" footer="0.3"/>
      <pageSetup scale="77" orientation="portrait"/>
    </customSheetView>
    <customSheetView guid="{03C358DA-88A4-4E12-84B7-BB4E50E89831}">
      <selection activeCell="K34" sqref="K34"/>
      <pageMargins left="0.7" right="0.7" top="0.75" bottom="0.75" header="0.3" footer="0.3"/>
      <pageSetup scale="77" orientation="portrait"/>
    </customSheetView>
  </customSheetViews>
  <mergeCells count="17">
    <mergeCell ref="H6:I7"/>
    <mergeCell ref="A26:C26"/>
    <mergeCell ref="D26:G26"/>
    <mergeCell ref="B27:C27"/>
    <mergeCell ref="D27:E27"/>
    <mergeCell ref="F27:G27"/>
    <mergeCell ref="B6:C7"/>
    <mergeCell ref="D6:E7"/>
    <mergeCell ref="F6:G7"/>
    <mergeCell ref="H31:I32"/>
    <mergeCell ref="A30:I30"/>
    <mergeCell ref="B28:C28"/>
    <mergeCell ref="D28:E28"/>
    <mergeCell ref="F28:G28"/>
    <mergeCell ref="B31:C32"/>
    <mergeCell ref="D31:E32"/>
    <mergeCell ref="F31:G32"/>
  </mergeCells>
  <conditionalFormatting sqref="C11:I14 C16:I19 C21:I24">
    <cfRule type="cellIs" dxfId="13" priority="9" operator="lessThan">
      <formula>0</formula>
    </cfRule>
    <cfRule type="cellIs" dxfId="12" priority="10" operator="greaterThan">
      <formula>0</formula>
    </cfRule>
  </conditionalFormatting>
  <conditionalFormatting sqref="C11:I24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C34:I38 C40:I44 C46:I50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C34:I50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scale="77" orientation="portrait"/>
  <colBreaks count="1" manualBreakCount="1">
    <brk id="9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31_1_x002e_28_x002e_17 xmlns="19168e4c-2f71-4cba-900f-49df61d7714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9E6949DD652B409EDFD3A601A74D5A" ma:contentTypeVersion="7" ma:contentTypeDescription="Create a new document." ma:contentTypeScope="" ma:versionID="2d928365a78dd76c2a4c87ec3987ca01">
  <xsd:schema xmlns:xsd="http://www.w3.org/2001/XMLSchema" xmlns:xs="http://www.w3.org/2001/XMLSchema" xmlns:p="http://schemas.microsoft.com/office/2006/metadata/properties" xmlns:ns2="19168e4c-2f71-4cba-900f-49df61d77143" xmlns:ns3="264b3ae3-48ac-4973-ad95-17d6a3c2b329" targetNamespace="http://schemas.microsoft.com/office/2006/metadata/properties" ma:root="true" ma:fieldsID="8f12d0fbc6135829972f7a5a36499437" ns2:_="" ns3:_="">
    <xsd:import namespace="19168e4c-2f71-4cba-900f-49df61d77143"/>
    <xsd:import namespace="264b3ae3-48ac-4973-ad95-17d6a3c2b3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x0031_1_x002e_28_x002e_17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68e4c-2f71-4cba-900f-49df61d77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_x0031_1_x002e_28_x002e_17" ma:index="12" nillable="true" ma:displayName="11.28.17" ma:format="DateOnly" ma:internalName="_x0031_1_x002e_28_x002e_17">
      <xsd:simpleType>
        <xsd:restriction base="dms:DateTim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b3ae3-48ac-4973-ad95-17d6a3c2b3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0F84FE-C1F8-457A-99EB-2941D4C9CCE5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264b3ae3-48ac-4973-ad95-17d6a3c2b329"/>
    <ds:schemaRef ds:uri="http://schemas.microsoft.com/office/2006/documentManagement/types"/>
    <ds:schemaRef ds:uri="19168e4c-2f71-4cba-900f-49df61d7714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6EC585C-B590-46A8-8F0E-357CD41048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7B2DB9-D66D-4881-A6B9-CE0F6065E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168e4c-2f71-4cba-900f-49df61d77143"/>
    <ds:schemaRef ds:uri="264b3ae3-48ac-4973-ad95-17d6a3c2b3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Versoning</vt:lpstr>
      <vt:lpstr>Board Summary</vt:lpstr>
      <vt:lpstr>Data Entry</vt:lpstr>
      <vt:lpstr>FastTrack</vt:lpstr>
      <vt:lpstr>Notes</vt:lpstr>
      <vt:lpstr>Key Data</vt:lpstr>
      <vt:lpstr>ProForma</vt:lpstr>
      <vt:lpstr>STR</vt:lpstr>
      <vt:lpstr>Overview</vt:lpstr>
      <vt:lpstr>Property Tax</vt:lpstr>
      <vt:lpstr>PIP &amp; Source &amp; Use</vt:lpstr>
      <vt:lpstr>Pricing</vt:lpstr>
      <vt:lpstr>ValueLock</vt:lpstr>
      <vt:lpstr>DCR Analysis</vt:lpstr>
      <vt:lpstr>Rent</vt:lpstr>
      <vt:lpstr>Sensitivity</vt:lpstr>
      <vt:lpstr>Financing Matrix</vt:lpstr>
      <vt:lpstr>Financing Constants</vt:lpstr>
      <vt:lpstr>Property Data Sheet</vt:lpstr>
      <vt:lpstr>Reports</vt:lpstr>
      <vt:lpstr>Photos-Map</vt:lpstr>
      <vt:lpstr>DCFA</vt:lpstr>
      <vt:lpstr>HOST Projections</vt:lpstr>
      <vt:lpstr>Labor Allocations</vt:lpstr>
      <vt:lpstr>Detail CapX</vt:lpstr>
      <vt:lpstr>Financials</vt:lpstr>
      <vt:lpstr>RevPAR Analysis</vt:lpstr>
      <vt:lpstr>'Financing Matrix'!Print_Area</vt:lpstr>
      <vt:lpstr>Overview!Print_Area</vt:lpstr>
      <vt:lpstr>'PIP &amp; Source &amp; Use'!Print_Area</vt:lpstr>
      <vt:lpstr>ProForma!Print_Area</vt:lpstr>
      <vt:lpstr>'Property Data Sheet'!Print_Area</vt:lpstr>
      <vt:lpstr>'Property Tax'!Print_Area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Leslie</dc:creator>
  <cp:lastModifiedBy>Brendan Johnson</cp:lastModifiedBy>
  <cp:lastPrinted>2018-12-17T21:58:40Z</cp:lastPrinted>
  <dcterms:created xsi:type="dcterms:W3CDTF">2010-10-10T15:52:45Z</dcterms:created>
  <dcterms:modified xsi:type="dcterms:W3CDTF">2019-02-26T17:15:08Z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0x010100709E6949DD652B409EDFD3A601A74D5A</vt:lpwstr>
  </property>
</Properties>
</file>