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99" firstSheet="1" activeTab="2"/>
  </bookViews>
  <sheets>
    <sheet name="Data Entry Page" sheetId="6" r:id="rId1"/>
    <sheet name="Summary Page" sheetId="5" r:id="rId2"/>
    <sheet name="UK Dividend" sheetId="2" r:id="rId3"/>
    <sheet name="Top Sheet" sheetId="1" r:id="rId4"/>
  </sheets>
  <calcPr calcId="124519"/>
</workbook>
</file>

<file path=xl/calcChain.xml><?xml version="1.0" encoding="utf-8"?>
<calcChain xmlns="http://schemas.openxmlformats.org/spreadsheetml/2006/main">
  <c r="J131" i="2"/>
  <c r="J129"/>
  <c r="J125"/>
  <c r="J124"/>
  <c r="J120"/>
  <c r="D129"/>
  <c r="D127"/>
  <c r="E150"/>
  <c r="E149"/>
  <c r="E148"/>
  <c r="C137"/>
  <c r="D124"/>
  <c r="D10" i="5"/>
  <c r="C5" i="2"/>
  <c r="E5"/>
  <c r="C47"/>
  <c r="E7"/>
  <c r="E47"/>
  <c r="C3" i="1"/>
  <c r="C16" i="2"/>
  <c r="C69" s="1"/>
  <c r="I26"/>
  <c r="H37"/>
  <c r="B37" s="1"/>
  <c r="K37"/>
  <c r="H38"/>
  <c r="B38"/>
  <c r="I38"/>
  <c r="K38"/>
  <c r="H39"/>
  <c r="B39"/>
  <c r="I39"/>
  <c r="K39"/>
  <c r="B50"/>
  <c r="K50"/>
  <c r="D50" s="1"/>
  <c r="B51"/>
  <c r="I51"/>
  <c r="K51"/>
  <c r="B52"/>
  <c r="I52"/>
  <c r="K52" s="1"/>
  <c r="I79"/>
  <c r="I80"/>
  <c r="J86"/>
  <c r="J87"/>
  <c r="J88"/>
  <c r="J89"/>
  <c r="J90"/>
  <c r="J91"/>
  <c r="C98"/>
  <c r="E60"/>
  <c r="E62" s="1"/>
  <c r="E63" s="1"/>
  <c r="F50"/>
  <c r="F51" s="1"/>
  <c r="E50"/>
  <c r="C50"/>
  <c r="E51"/>
  <c r="C60"/>
  <c r="C62" s="1"/>
  <c r="C63" s="1"/>
  <c r="C99"/>
  <c r="J127" l="1"/>
  <c r="E8"/>
  <c r="E10" s="1"/>
  <c r="C8"/>
  <c r="E52"/>
  <c r="F52"/>
  <c r="C51"/>
  <c r="D51"/>
  <c r="E54"/>
  <c r="C68"/>
  <c r="C10"/>
  <c r="C22" s="1"/>
  <c r="E69"/>
  <c r="E79" s="1"/>
  <c r="E81" s="1"/>
  <c r="E82" s="1"/>
  <c r="E70" s="1"/>
  <c r="C79"/>
  <c r="C81" s="1"/>
  <c r="C82" s="1"/>
  <c r="C70" s="1"/>
  <c r="E68"/>
  <c r="E71" s="1"/>
  <c r="C71" l="1"/>
  <c r="C52"/>
  <c r="C54" s="1"/>
  <c r="D52"/>
  <c r="J10" i="5"/>
  <c r="C26" i="2"/>
  <c r="C55" s="1"/>
  <c r="C24"/>
  <c r="C25"/>
  <c r="E86"/>
  <c r="C86"/>
  <c r="F10"/>
  <c r="E22"/>
  <c r="C56" l="1"/>
  <c r="C9" s="1"/>
  <c r="D125" s="1"/>
  <c r="C28"/>
  <c r="C11" s="1"/>
  <c r="E89"/>
  <c r="E88"/>
  <c r="E90"/>
  <c r="C90"/>
  <c r="C89"/>
  <c r="C88"/>
  <c r="E24"/>
  <c r="E26"/>
  <c r="E55" s="1"/>
  <c r="E56" s="1"/>
  <c r="E25"/>
  <c r="D6" i="5" l="1"/>
  <c r="D120" i="2"/>
  <c r="E9"/>
  <c r="C12"/>
  <c r="C33" s="1"/>
  <c r="C34" s="1"/>
  <c r="D37" s="1"/>
  <c r="D11" i="5"/>
  <c r="J11"/>
  <c r="E28" i="2"/>
  <c r="E11" s="1"/>
  <c r="C92"/>
  <c r="C72" s="1"/>
  <c r="C73" s="1"/>
  <c r="C74" s="1"/>
  <c r="C75" s="1"/>
  <c r="C96" s="1"/>
  <c r="E92"/>
  <c r="E72" s="1"/>
  <c r="E73" s="1"/>
  <c r="E74" s="1"/>
  <c r="E75" s="1"/>
  <c r="C13" l="1"/>
  <c r="C37"/>
  <c r="J6" i="5"/>
  <c r="J13" s="1"/>
  <c r="E12" i="2"/>
  <c r="C100"/>
  <c r="C101" s="1"/>
  <c r="C104" s="1"/>
  <c r="C38"/>
  <c r="D38"/>
  <c r="C39" l="1"/>
  <c r="C42" s="1"/>
  <c r="C14" s="1"/>
  <c r="I4" s="1"/>
  <c r="E142" s="1"/>
  <c r="E143" s="1"/>
  <c r="E144" s="1"/>
  <c r="D39"/>
  <c r="E33"/>
  <c r="E34" s="1"/>
  <c r="C106"/>
  <c r="E8" i="1" l="1"/>
  <c r="I5" i="2"/>
  <c r="I6" s="1"/>
  <c r="E13"/>
  <c r="E37"/>
  <c r="F37"/>
  <c r="D15" i="5" l="1"/>
  <c r="E9" i="1"/>
  <c r="E38" i="2"/>
  <c r="F38"/>
  <c r="E39" l="1"/>
  <c r="E42" s="1"/>
  <c r="E14" s="1"/>
  <c r="K4" s="1"/>
  <c r="F39"/>
  <c r="E10" i="1"/>
  <c r="D13" i="5"/>
  <c r="E14" i="1" l="1"/>
  <c r="J15" i="5" s="1"/>
  <c r="J17" s="1"/>
  <c r="K5" i="2"/>
  <c r="E15" i="1" l="1"/>
  <c r="K6" i="2"/>
  <c r="E16" i="1" s="1"/>
</calcChain>
</file>

<file path=xl/sharedStrings.xml><?xml version="1.0" encoding="utf-8"?>
<sst xmlns="http://schemas.openxmlformats.org/spreadsheetml/2006/main" count="220" uniqueCount="92">
  <si>
    <t>UK Dividend vs Salary 2014-2015</t>
  </si>
  <si>
    <t>Gross profit</t>
  </si>
  <si>
    <t xml:space="preserve">If you find this spreadsheet useful, please consider making a donation towards my costs at http://paulbanks.org/donate/ </t>
  </si>
  <si>
    <t>Age</t>
  </si>
  <si>
    <t>Take home pay</t>
  </si>
  <si>
    <t>Total tax</t>
  </si>
  <si>
    <t>Tax as percentage</t>
  </si>
  <si>
    <t>Copyright (c) 2002-2014 PaulBanks.org, Some rights reserved</t>
  </si>
  <si>
    <r>
      <t>See :</t>
    </r>
    <r>
      <rPr>
        <i/>
        <sz val="10"/>
        <color indexed="12"/>
        <rFont val="Arial"/>
        <family val="2"/>
      </rPr>
      <t>http://creativecommons.org/licenses/by-nc-sa/2.0/uk/</t>
    </r>
    <r>
      <rPr>
        <i/>
        <sz val="10"/>
        <rFont val="Arial"/>
        <family val="2"/>
      </rPr>
      <t xml:space="preserve"> for 'license' information</t>
    </r>
  </si>
  <si>
    <t>WARNING: This spreadsheet, and accompanying documentation, is distributed in the hope that it will be useful, 
but WITHOUT ANY WARRANTY; without even the implied warranty of MERCHANTABILITY or FITNESS FOR A PARTICULAR PURPOSE. 
The author is not a qualified accountant and this spreadsheet does not constitute any form of financial or legal advice and should not be
used for this purpose</t>
  </si>
  <si>
    <t>UK Dividends</t>
  </si>
  <si>
    <t>Salary</t>
  </si>
  <si>
    <t>Employers NI</t>
  </si>
  <si>
    <t>Class 1 NIC</t>
  </si>
  <si>
    <t>Declared gross profit</t>
  </si>
  <si>
    <t>Corporation tax</t>
  </si>
  <si>
    <t>Net dividend</t>
  </si>
  <si>
    <t>Gross dividend</t>
  </si>
  <si>
    <t>Tax on Dividends</t>
  </si>
  <si>
    <t>years</t>
  </si>
  <si>
    <t>* Salary based on maximising use of tax-free personal allowance</t>
  </si>
  <si>
    <t>Taxable profits</t>
  </si>
  <si>
    <t>Small profits rate</t>
  </si>
  <si>
    <t>Small profits threshold</t>
  </si>
  <si>
    <t>Small profits</t>
  </si>
  <si>
    <t>Marginal relief Lower limit</t>
  </si>
  <si>
    <t>Marginal relief</t>
  </si>
  <si>
    <t>Marginal relief Upper limit</t>
  </si>
  <si>
    <t>Main rate</t>
  </si>
  <si>
    <t>Standard fraction</t>
  </si>
  <si>
    <t>Total corp tax</t>
  </si>
  <si>
    <t>Tax</t>
  </si>
  <si>
    <t>Carry Over</t>
  </si>
  <si>
    <t>Rate</t>
  </si>
  <si>
    <t>Start of Band</t>
  </si>
  <si>
    <t>End of Band</t>
  </si>
  <si>
    <t>Difference</t>
  </si>
  <si>
    <t>National Insurance (Class 1)</t>
  </si>
  <si>
    <t>Weekly Income (Gross)</t>
  </si>
  <si>
    <t>State Pension Age</t>
  </si>
  <si>
    <t>Total Weekly NI</t>
  </si>
  <si>
    <t>Age related deduction</t>
  </si>
  <si>
    <t>Total Annual NI</t>
  </si>
  <si>
    <t>Secondary threshold</t>
  </si>
  <si>
    <t>Employers class 1 rate</t>
  </si>
  <si>
    <t>Weekly Employers contribution</t>
  </si>
  <si>
    <t>Annual employers NI</t>
  </si>
  <si>
    <t>Intermediate Calculations</t>
  </si>
  <si>
    <t>Personal Allowance as salary</t>
  </si>
  <si>
    <t>Gross income</t>
  </si>
  <si>
    <t>Employers NI on personal allowance</t>
  </si>
  <si>
    <t>Optimal Personal Allowance</t>
  </si>
  <si>
    <t>Basic</t>
  </si>
  <si>
    <t>Age related contribution</t>
  </si>
  <si>
    <t>Age 65-74</t>
  </si>
  <si>
    <t>Age related taper deduction</t>
  </si>
  <si>
    <t>Age 75 and over</t>
  </si>
  <si>
    <t>Allowance after age adjust</t>
  </si>
  <si>
    <t>Age related threshold</t>
  </si>
  <si>
    <t>Taper deduction</t>
  </si>
  <si>
    <t>Taper threshold</t>
  </si>
  <si>
    <t>Personal Allowance</t>
  </si>
  <si>
    <t>Income Tax</t>
  </si>
  <si>
    <t>National Insurance</t>
  </si>
  <si>
    <t>Incorporation</t>
  </si>
  <si>
    <t>Current Entity of Business</t>
  </si>
  <si>
    <t>Sole Trader</t>
  </si>
  <si>
    <t>Net profit before tax</t>
  </si>
  <si>
    <t xml:space="preserve">Fee based on </t>
  </si>
  <si>
    <t>of tax saved</t>
  </si>
  <si>
    <t>Corporation Tax</t>
  </si>
  <si>
    <t xml:space="preserve">Employer's </t>
  </si>
  <si>
    <t>Employee's</t>
  </si>
  <si>
    <t>Total to HMRC</t>
  </si>
  <si>
    <t>Net in Pocket</t>
  </si>
  <si>
    <t>Limited Company</t>
  </si>
  <si>
    <t>Partnership</t>
  </si>
  <si>
    <t>IF THE 'CURRENT ENTITY OF BUSINESS' IS 'SOLE TRADER':</t>
  </si>
  <si>
    <t>IF THE 'CURRENT ENTITY OF BUSINESS' IS 'PARTNERSHIP':</t>
  </si>
  <si>
    <t>PARTNERSHIP</t>
  </si>
  <si>
    <t>(Sole Trader)</t>
  </si>
  <si>
    <t>(Partnership</t>
  </si>
  <si>
    <t>Profit taken as Dividend + Basic Salary (SOLE TRADER)</t>
  </si>
  <si>
    <t>Profit taken as Dividend + Basic Salary (PARTNERSHIP)</t>
  </si>
  <si>
    <t>Net in Pocket (Total)</t>
  </si>
  <si>
    <t>Net in Pocket (per Partner)</t>
  </si>
  <si>
    <t>NO CHANGE</t>
  </si>
  <si>
    <t>(NO CHANGES IN THE WORKING OF THE REMAINING FIELDS ON THIS PAGE)</t>
  </si>
  <si>
    <t>(REMOVAL OF 'AMOUNT TO BE DISTRIBUTED' FIELD AND 'PARTNERS' SECTION')</t>
  </si>
  <si>
    <t>N/A</t>
  </si>
  <si>
    <t>SOLE-TRADER</t>
  </si>
  <si>
    <t>Number of partners</t>
  </si>
</sst>
</file>

<file path=xl/styles.xml><?xml version="1.0" encoding="utf-8"?>
<styleSheet xmlns="http://schemas.openxmlformats.org/spreadsheetml/2006/main">
  <numFmts count="1">
    <numFmt numFmtId="172" formatCode="[$£-809]#,##0.00;[Red]\-[$£-809]#,##0.00"/>
  </numFmts>
  <fonts count="15">
    <font>
      <sz val="10"/>
      <name val="Arial"/>
      <family val="2"/>
    </font>
    <font>
      <b/>
      <u/>
      <sz val="20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10"/>
      <name val="Luxi Sans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5"/>
        <bgColor indexed="35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4"/>
        <bgColor indexed="33"/>
      </patternFill>
    </fill>
    <fill>
      <patternFill patternType="solid">
        <fgColor indexed="8"/>
        <bgColor indexed="58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5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3" tint="0.79998168889431442"/>
        <bgColor indexed="33"/>
      </patternFill>
    </fill>
    <fill>
      <patternFill patternType="solid">
        <fgColor theme="3" tint="0.79998168889431442"/>
        <bgColor indexed="58"/>
      </patternFill>
    </fill>
    <fill>
      <patternFill patternType="solid">
        <fgColor theme="3" tint="0.79998168889431442"/>
        <bgColor indexed="4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35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5" tint="0.79998168889431442"/>
        <bgColor indexed="33"/>
      </patternFill>
    </fill>
    <fill>
      <patternFill patternType="solid">
        <fgColor theme="5" tint="0.79998168889431442"/>
        <bgColor indexed="58"/>
      </patternFill>
    </fill>
    <fill>
      <patternFill patternType="solid">
        <fgColor theme="5" tint="0.79998168889431442"/>
        <bgColor indexed="49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hair">
        <color indexed="8"/>
      </left>
      <right/>
      <top style="hair">
        <color indexed="8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72" fontId="0" fillId="2" borderId="0" xfId="0" applyNumberFormat="1" applyFill="1" applyProtection="1">
      <protection locked="0"/>
    </xf>
    <xf numFmtId="0" fontId="0" fillId="0" borderId="0" xfId="0" applyFont="1"/>
    <xf numFmtId="0" fontId="0" fillId="2" borderId="0" xfId="0" applyNumberFormat="1" applyFont="1" applyFill="1" applyProtection="1">
      <protection locked="0"/>
    </xf>
    <xf numFmtId="0" fontId="3" fillId="0" borderId="0" xfId="0" applyFont="1"/>
    <xf numFmtId="172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Fill="1" applyProtection="1">
      <protection locked="0"/>
    </xf>
    <xf numFmtId="172" fontId="3" fillId="0" borderId="0" xfId="0" applyNumberFormat="1" applyFont="1"/>
    <xf numFmtId="10" fontId="3" fillId="0" borderId="0" xfId="0" applyNumberFormat="1" applyFont="1"/>
    <xf numFmtId="0" fontId="0" fillId="3" borderId="0" xfId="0" applyFont="1" applyFill="1"/>
    <xf numFmtId="0" fontId="0" fillId="4" borderId="0" xfId="0" applyFill="1"/>
    <xf numFmtId="10" fontId="0" fillId="2" borderId="0" xfId="0" applyNumberFormat="1" applyFill="1" applyProtection="1">
      <protection locked="0"/>
    </xf>
    <xf numFmtId="0" fontId="0" fillId="2" borderId="0" xfId="0" applyNumberFormat="1" applyFill="1" applyProtection="1">
      <protection locked="0"/>
    </xf>
    <xf numFmtId="0" fontId="0" fillId="5" borderId="0" xfId="0" applyFont="1" applyFill="1"/>
    <xf numFmtId="172" fontId="4" fillId="0" borderId="0" xfId="0" applyNumberFormat="1" applyFont="1"/>
    <xf numFmtId="0" fontId="7" fillId="0" borderId="0" xfId="0" applyFont="1" applyAlignment="1">
      <alignment wrapText="1"/>
    </xf>
    <xf numFmtId="172" fontId="0" fillId="2" borderId="0" xfId="0" applyNumberFormat="1" applyFont="1" applyFill="1" applyProtection="1">
      <protection locked="0"/>
    </xf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14" fillId="0" borderId="0" xfId="0" applyFont="1"/>
    <xf numFmtId="2" fontId="0" fillId="0" borderId="0" xfId="0" applyNumberFormat="1"/>
    <xf numFmtId="0" fontId="10" fillId="0" borderId="0" xfId="0" applyFont="1"/>
    <xf numFmtId="0" fontId="3" fillId="1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172" fontId="0" fillId="10" borderId="1" xfId="0" applyNumberFormat="1" applyFill="1" applyBorder="1"/>
    <xf numFmtId="172" fontId="0" fillId="10" borderId="2" xfId="0" applyNumberFormat="1" applyFill="1" applyBorder="1"/>
    <xf numFmtId="0" fontId="4" fillId="10" borderId="1" xfId="0" applyFont="1" applyFill="1" applyBorder="1"/>
    <xf numFmtId="0" fontId="4" fillId="10" borderId="2" xfId="0" applyFont="1" applyFill="1" applyBorder="1"/>
    <xf numFmtId="0" fontId="0" fillId="10" borderId="1" xfId="0" applyNumberFormat="1" applyFill="1" applyBorder="1"/>
    <xf numFmtId="0" fontId="0" fillId="10" borderId="2" xfId="0" applyNumberFormat="1" applyFill="1" applyBorder="1"/>
    <xf numFmtId="0" fontId="0" fillId="11" borderId="1" xfId="0" applyFont="1" applyFill="1" applyBorder="1"/>
    <xf numFmtId="0" fontId="0" fillId="11" borderId="2" xfId="0" applyFont="1" applyFill="1" applyBorder="1"/>
    <xf numFmtId="0" fontId="0" fillId="12" borderId="1" xfId="0" applyFont="1" applyFill="1" applyBorder="1"/>
    <xf numFmtId="0" fontId="0" fillId="12" borderId="2" xfId="0" applyFont="1" applyFill="1" applyBorder="1"/>
    <xf numFmtId="172" fontId="4" fillId="10" borderId="1" xfId="0" applyNumberFormat="1" applyFont="1" applyFill="1" applyBorder="1"/>
    <xf numFmtId="172" fontId="4" fillId="10" borderId="2" xfId="0" applyNumberFormat="1" applyFont="1" applyFill="1" applyBorder="1"/>
    <xf numFmtId="0" fontId="8" fillId="10" borderId="2" xfId="0" applyFont="1" applyFill="1" applyBorder="1"/>
    <xf numFmtId="0" fontId="0" fillId="13" borderId="1" xfId="0" applyFill="1" applyBorder="1"/>
    <xf numFmtId="0" fontId="0" fillId="13" borderId="2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5" borderId="1" xfId="0" applyFont="1" applyFill="1" applyBorder="1"/>
    <xf numFmtId="0" fontId="0" fillId="15" borderId="2" xfId="0" applyFont="1" applyFill="1" applyBorder="1"/>
    <xf numFmtId="0" fontId="11" fillId="0" borderId="3" xfId="0" applyFont="1" applyBorder="1"/>
    <xf numFmtId="0" fontId="0" fillId="0" borderId="4" xfId="0" applyBorder="1"/>
    <xf numFmtId="0" fontId="3" fillId="0" borderId="1" xfId="0" applyFont="1" applyBorder="1"/>
    <xf numFmtId="172" fontId="3" fillId="0" borderId="2" xfId="0" applyNumberFormat="1" applyFont="1" applyBorder="1"/>
    <xf numFmtId="0" fontId="3" fillId="0" borderId="5" xfId="0" applyFont="1" applyBorder="1"/>
    <xf numFmtId="10" fontId="3" fillId="0" borderId="6" xfId="0" applyNumberFormat="1" applyFont="1" applyBorder="1"/>
    <xf numFmtId="0" fontId="3" fillId="10" borderId="0" xfId="0" applyFont="1" applyFill="1"/>
    <xf numFmtId="0" fontId="0" fillId="10" borderId="0" xfId="0" applyFill="1"/>
    <xf numFmtId="172" fontId="0" fillId="10" borderId="0" xfId="0" applyNumberFormat="1" applyFill="1"/>
    <xf numFmtId="10" fontId="0" fillId="10" borderId="0" xfId="0" applyNumberFormat="1" applyFill="1"/>
    <xf numFmtId="4" fontId="0" fillId="0" borderId="0" xfId="0" applyNumberFormat="1"/>
    <xf numFmtId="4" fontId="3" fillId="0" borderId="0" xfId="0" applyNumberFormat="1" applyFont="1"/>
    <xf numFmtId="0" fontId="0" fillId="16" borderId="0" xfId="0" applyFill="1" applyBorder="1"/>
    <xf numFmtId="0" fontId="0" fillId="16" borderId="2" xfId="0" applyFill="1" applyBorder="1"/>
    <xf numFmtId="0" fontId="0" fillId="16" borderId="1" xfId="0" applyFill="1" applyBorder="1"/>
    <xf numFmtId="172" fontId="0" fillId="17" borderId="0" xfId="0" applyNumberFormat="1" applyFill="1" applyBorder="1" applyProtection="1"/>
    <xf numFmtId="0" fontId="0" fillId="16" borderId="2" xfId="0" applyNumberFormat="1" applyFill="1" applyBorder="1"/>
    <xf numFmtId="172" fontId="0" fillId="16" borderId="0" xfId="0" applyNumberFormat="1" applyFill="1" applyBorder="1"/>
    <xf numFmtId="0" fontId="0" fillId="17" borderId="0" xfId="0" applyNumberFormat="1" applyFill="1" applyBorder="1" applyProtection="1"/>
    <xf numFmtId="0" fontId="4" fillId="16" borderId="2" xfId="0" applyFont="1" applyFill="1" applyBorder="1"/>
    <xf numFmtId="0" fontId="6" fillId="18" borderId="1" xfId="0" applyFont="1" applyFill="1" applyBorder="1"/>
    <xf numFmtId="0" fontId="0" fillId="18" borderId="0" xfId="0" applyFont="1" applyFill="1" applyBorder="1"/>
    <xf numFmtId="0" fontId="0" fillId="18" borderId="2" xfId="0" applyFont="1" applyFill="1" applyBorder="1"/>
    <xf numFmtId="0" fontId="3" fillId="16" borderId="1" xfId="0" applyFont="1" applyFill="1" applyBorder="1"/>
    <xf numFmtId="0" fontId="6" fillId="19" borderId="1" xfId="0" applyFont="1" applyFill="1" applyBorder="1"/>
    <xf numFmtId="0" fontId="0" fillId="19" borderId="0" xfId="0" applyFont="1" applyFill="1" applyBorder="1"/>
    <xf numFmtId="0" fontId="0" fillId="19" borderId="2" xfId="0" applyFont="1" applyFill="1" applyBorder="1"/>
    <xf numFmtId="172" fontId="4" fillId="16" borderId="0" xfId="0" applyNumberFormat="1" applyFont="1" applyFill="1" applyBorder="1"/>
    <xf numFmtId="0" fontId="4" fillId="16" borderId="1" xfId="0" applyFont="1" applyFill="1" applyBorder="1"/>
    <xf numFmtId="0" fontId="3" fillId="16" borderId="0" xfId="0" applyFont="1" applyFill="1" applyBorder="1"/>
    <xf numFmtId="0" fontId="8" fillId="16" borderId="2" xfId="0" applyFont="1" applyFill="1" applyBorder="1"/>
    <xf numFmtId="0" fontId="0" fillId="16" borderId="1" xfId="0" applyNumberFormat="1" applyFill="1" applyBorder="1"/>
    <xf numFmtId="172" fontId="4" fillId="16" borderId="2" xfId="0" applyNumberFormat="1" applyFont="1" applyFill="1" applyBorder="1"/>
    <xf numFmtId="0" fontId="8" fillId="16" borderId="1" xfId="0" applyFont="1" applyFill="1" applyBorder="1"/>
    <xf numFmtId="172" fontId="8" fillId="16" borderId="0" xfId="0" applyNumberFormat="1" applyFont="1" applyFill="1" applyBorder="1"/>
    <xf numFmtId="0" fontId="6" fillId="20" borderId="1" xfId="0" applyFont="1" applyFill="1" applyBorder="1"/>
    <xf numFmtId="0" fontId="0" fillId="20" borderId="0" xfId="0" applyFill="1" applyBorder="1"/>
    <xf numFmtId="0" fontId="0" fillId="20" borderId="2" xfId="0" applyFill="1" applyBorder="1"/>
    <xf numFmtId="0" fontId="0" fillId="16" borderId="1" xfId="0" applyFont="1" applyFill="1" applyBorder="1"/>
    <xf numFmtId="172" fontId="3" fillId="16" borderId="0" xfId="0" applyNumberFormat="1" applyFont="1" applyFill="1" applyBorder="1"/>
    <xf numFmtId="0" fontId="6" fillId="21" borderId="1" xfId="0" applyFont="1" applyFill="1" applyBorder="1"/>
    <xf numFmtId="0" fontId="0" fillId="21" borderId="0" xfId="0" applyFill="1" applyBorder="1"/>
    <xf numFmtId="0" fontId="0" fillId="21" borderId="2" xfId="0" applyFill="1" applyBorder="1"/>
    <xf numFmtId="0" fontId="6" fillId="22" borderId="1" xfId="0" applyFont="1" applyFill="1" applyBorder="1"/>
    <xf numFmtId="0" fontId="0" fillId="22" borderId="0" xfId="0" applyFont="1" applyFill="1" applyBorder="1"/>
    <xf numFmtId="0" fontId="0" fillId="22" borderId="2" xfId="0" applyFont="1" applyFill="1" applyBorder="1"/>
    <xf numFmtId="172" fontId="9" fillId="16" borderId="0" xfId="0" applyNumberFormat="1" applyFont="1" applyFill="1" applyBorder="1"/>
    <xf numFmtId="0" fontId="12" fillId="16" borderId="1" xfId="0" applyFont="1" applyFill="1" applyBorder="1"/>
    <xf numFmtId="0" fontId="13" fillId="16" borderId="0" xfId="0" applyFont="1" applyFill="1" applyBorder="1"/>
    <xf numFmtId="0" fontId="13" fillId="16" borderId="2" xfId="0" applyFont="1" applyFill="1" applyBorder="1"/>
    <xf numFmtId="0" fontId="12" fillId="10" borderId="1" xfId="0" applyFont="1" applyFill="1" applyBorder="1"/>
    <xf numFmtId="0" fontId="4" fillId="0" borderId="0" xfId="0" applyFont="1"/>
    <xf numFmtId="0" fontId="0" fillId="0" borderId="0" xfId="0"/>
    <xf numFmtId="0" fontId="5" fillId="0" borderId="7" xfId="0" applyFont="1" applyFill="1" applyBorder="1" applyAlignment="1">
      <alignment wrapText="1"/>
    </xf>
    <xf numFmtId="0" fontId="2" fillId="9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ulbanks.org/donate/" TargetMode="External"/><Relationship Id="rId1" Type="http://schemas.openxmlformats.org/officeDocument/2006/relationships/hyperlink" Target="http://creativecommons.org/licenses/by-nc-sa/2.0/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creativecommons.org/licenses/by-nc-sa/2.0/uk/" TargetMode="External"/><Relationship Id="rId1" Type="http://schemas.openxmlformats.org/officeDocument/2006/relationships/hyperlink" Target="http://paulbanks.org/don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16"/>
  <sheetViews>
    <sheetView workbookViewId="0">
      <selection activeCell="B10" sqref="B10"/>
    </sheetView>
  </sheetViews>
  <sheetFormatPr defaultRowHeight="12.75"/>
  <cols>
    <col min="2" max="2" width="23.140625" bestFit="1" customWidth="1"/>
    <col min="3" max="3" width="10.42578125" bestFit="1" customWidth="1"/>
    <col min="4" max="4" width="10.85546875" bestFit="1" customWidth="1"/>
  </cols>
  <sheetData>
    <row r="4" spans="2:4" ht="15">
      <c r="B4" s="24" t="s">
        <v>64</v>
      </c>
    </row>
    <row r="6" spans="2:4">
      <c r="B6" t="s">
        <v>65</v>
      </c>
      <c r="C6" t="s">
        <v>76</v>
      </c>
    </row>
    <row r="10" spans="2:4">
      <c r="B10" t="s">
        <v>68</v>
      </c>
      <c r="C10" s="56"/>
      <c r="D10" t="s">
        <v>69</v>
      </c>
    </row>
    <row r="13" spans="2:4">
      <c r="B13" s="5" t="s">
        <v>88</v>
      </c>
    </row>
    <row r="14" spans="2:4">
      <c r="B14" s="5" t="s">
        <v>87</v>
      </c>
    </row>
    <row r="16" spans="2:4">
      <c r="B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8"/>
  <sheetViews>
    <sheetView workbookViewId="0">
      <selection activeCell="D15" sqref="D15"/>
    </sheetView>
  </sheetViews>
  <sheetFormatPr defaultRowHeight="12.75"/>
  <cols>
    <col min="2" max="2" width="17.85546875" bestFit="1" customWidth="1"/>
    <col min="3" max="3" width="12.140625" bestFit="1" customWidth="1"/>
    <col min="4" max="4" width="16.5703125" bestFit="1" customWidth="1"/>
    <col min="8" max="8" width="25.140625" customWidth="1"/>
    <col min="9" max="9" width="12.140625" bestFit="1" customWidth="1"/>
    <col min="10" max="10" width="16.5703125" bestFit="1" customWidth="1"/>
  </cols>
  <sheetData>
    <row r="2" spans="2:11">
      <c r="B2" s="26" t="s">
        <v>77</v>
      </c>
      <c r="H2" s="26" t="s">
        <v>78</v>
      </c>
    </row>
    <row r="4" spans="2:11" ht="15">
      <c r="C4" s="24" t="s">
        <v>66</v>
      </c>
      <c r="D4" s="24" t="s">
        <v>75</v>
      </c>
      <c r="I4" s="24" t="s">
        <v>76</v>
      </c>
      <c r="J4" s="24" t="s">
        <v>75</v>
      </c>
    </row>
    <row r="5" spans="2:11" ht="15">
      <c r="B5" s="24" t="s">
        <v>31</v>
      </c>
      <c r="H5" s="24" t="s">
        <v>31</v>
      </c>
    </row>
    <row r="6" spans="2:11">
      <c r="B6" t="s">
        <v>70</v>
      </c>
      <c r="C6" s="5" t="s">
        <v>86</v>
      </c>
      <c r="D6" s="59">
        <f>'UK Dividend'!C11</f>
        <v>9943.5856000000003</v>
      </c>
      <c r="H6" t="s">
        <v>70</v>
      </c>
      <c r="I6" s="5" t="s">
        <v>86</v>
      </c>
      <c r="J6" s="59" t="e">
        <f>'UK Dividend'!E11*'Data Entry Page'!#REF!</f>
        <v>#REF!</v>
      </c>
    </row>
    <row r="7" spans="2:11">
      <c r="B7" t="s">
        <v>62</v>
      </c>
      <c r="C7" s="5" t="s">
        <v>86</v>
      </c>
      <c r="D7" s="59">
        <v>0</v>
      </c>
      <c r="H7" t="s">
        <v>62</v>
      </c>
      <c r="I7" s="5" t="s">
        <v>86</v>
      </c>
      <c r="J7" s="59">
        <v>0</v>
      </c>
    </row>
    <row r="8" spans="2:11">
      <c r="C8" s="5"/>
      <c r="D8" s="59"/>
      <c r="I8" s="5"/>
      <c r="J8" s="59"/>
    </row>
    <row r="9" spans="2:11" ht="15">
      <c r="B9" s="24" t="s">
        <v>63</v>
      </c>
      <c r="C9" s="5"/>
      <c r="D9" s="59"/>
      <c r="H9" s="24" t="s">
        <v>63</v>
      </c>
      <c r="I9" s="5"/>
      <c r="J9" s="59"/>
    </row>
    <row r="10" spans="2:11">
      <c r="B10" t="s">
        <v>71</v>
      </c>
      <c r="C10" s="5" t="s">
        <v>86</v>
      </c>
      <c r="D10" s="59">
        <f>'UK Dividend'!C8</f>
        <v>282.07200000000012</v>
      </c>
      <c r="H10" t="s">
        <v>71</v>
      </c>
      <c r="I10" s="5" t="s">
        <v>86</v>
      </c>
      <c r="J10" s="59" t="e">
        <f>'UK Dividend'!C8*'Data Entry Page'!#REF!</f>
        <v>#REF!</v>
      </c>
    </row>
    <row r="11" spans="2:11">
      <c r="B11" t="s">
        <v>72</v>
      </c>
      <c r="C11" s="5" t="s">
        <v>86</v>
      </c>
      <c r="D11" s="59">
        <f>'UK Dividend'!C9</f>
        <v>245.28000000000006</v>
      </c>
      <c r="H11" t="s">
        <v>72</v>
      </c>
      <c r="I11" s="5" t="s">
        <v>86</v>
      </c>
      <c r="J11" s="59" t="e">
        <f>'UK Dividend'!C9*'Data Entry Page'!#REF!</f>
        <v>#REF!</v>
      </c>
    </row>
    <row r="12" spans="2:11">
      <c r="C12" s="5"/>
      <c r="D12" s="59"/>
      <c r="I12" s="5"/>
      <c r="J12" s="59"/>
    </row>
    <row r="13" spans="2:11">
      <c r="B13" t="s">
        <v>73</v>
      </c>
      <c r="C13" s="5" t="s">
        <v>86</v>
      </c>
      <c r="D13" s="59" t="e">
        <f>'Top Sheet'!E9</f>
        <v>#REF!</v>
      </c>
      <c r="H13" t="s">
        <v>73</v>
      </c>
      <c r="I13" s="5" t="s">
        <v>86</v>
      </c>
      <c r="J13" s="59" t="e">
        <f>J6+J7+J10+J11</f>
        <v>#REF!</v>
      </c>
      <c r="K13" s="25"/>
    </row>
    <row r="14" spans="2:11">
      <c r="C14" s="5"/>
      <c r="D14" s="59"/>
      <c r="I14" s="5"/>
      <c r="J14" s="59"/>
    </row>
    <row r="15" spans="2:11">
      <c r="B15" t="s">
        <v>74</v>
      </c>
      <c r="C15" s="5" t="s">
        <v>86</v>
      </c>
      <c r="D15" s="59">
        <f>'Top Sheet'!E8</f>
        <v>46755.101800000004</v>
      </c>
      <c r="H15" s="5" t="s">
        <v>85</v>
      </c>
      <c r="I15" s="5" t="s">
        <v>89</v>
      </c>
      <c r="J15" s="60">
        <f>'Top Sheet'!E14</f>
        <v>17529.062400000003</v>
      </c>
    </row>
    <row r="16" spans="2:11">
      <c r="D16" s="59"/>
      <c r="I16" s="5"/>
      <c r="J16" s="59"/>
    </row>
    <row r="17" spans="8:10">
      <c r="H17" t="s">
        <v>84</v>
      </c>
      <c r="I17" s="5" t="s">
        <v>86</v>
      </c>
      <c r="J17" s="59" t="e">
        <f>J15*'Data Entry Page'!#REF!</f>
        <v>#REF!</v>
      </c>
    </row>
    <row r="18" spans="8:10">
      <c r="I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1"/>
  <sheetViews>
    <sheetView tabSelected="1" topLeftCell="A109" workbookViewId="0">
      <selection activeCell="J132" sqref="J132"/>
    </sheetView>
  </sheetViews>
  <sheetFormatPr defaultColWidth="11.5703125" defaultRowHeight="12.75"/>
  <cols>
    <col min="2" max="2" width="27.42578125" customWidth="1"/>
    <col min="3" max="3" width="18.42578125" customWidth="1"/>
    <col min="4" max="4" width="17.42578125" style="9" customWidth="1"/>
    <col min="5" max="6" width="15" style="9" customWidth="1"/>
    <col min="7" max="7" width="1.7109375" customWidth="1"/>
    <col min="8" max="8" width="24.28515625" customWidth="1"/>
    <col min="9" max="9" width="17.5703125" customWidth="1"/>
    <col min="10" max="10" width="18.140625" bestFit="1" customWidth="1"/>
    <col min="11" max="11" width="14.42578125" bestFit="1" customWidth="1"/>
  </cols>
  <sheetData>
    <row r="1" spans="2:12" ht="26.25">
      <c r="B1" s="1" t="s">
        <v>10</v>
      </c>
      <c r="C1" s="10"/>
      <c r="D1"/>
      <c r="E1"/>
      <c r="F1"/>
    </row>
    <row r="2" spans="2:12" ht="13.5" thickBot="1">
      <c r="B2" s="3" t="s">
        <v>91</v>
      </c>
      <c r="C2" s="10">
        <v>3</v>
      </c>
      <c r="D2" t="s">
        <v>67</v>
      </c>
      <c r="E2">
        <v>60000</v>
      </c>
      <c r="F2"/>
      <c r="H2" t="s">
        <v>68</v>
      </c>
    </row>
    <row r="3" spans="2:12" ht="18.75" thickTop="1">
      <c r="B3" s="96" t="s">
        <v>90</v>
      </c>
      <c r="C3" s="97"/>
      <c r="D3" s="98"/>
      <c r="E3" s="99" t="s">
        <v>79</v>
      </c>
      <c r="F3" s="28"/>
      <c r="H3" s="49" t="s">
        <v>80</v>
      </c>
      <c r="I3" s="50"/>
      <c r="J3" s="49" t="s">
        <v>81</v>
      </c>
      <c r="K3" s="50"/>
    </row>
    <row r="4" spans="2:12">
      <c r="B4" s="63"/>
      <c r="C4" s="61"/>
      <c r="D4" s="62"/>
      <c r="E4" s="29"/>
      <c r="F4" s="28"/>
      <c r="H4" s="51" t="s">
        <v>4</v>
      </c>
      <c r="I4" s="52">
        <f>C12-C14+C7-C9</f>
        <v>46755.101800000004</v>
      </c>
      <c r="J4" s="51" t="s">
        <v>4</v>
      </c>
      <c r="K4" s="52">
        <f>E12-E14+E7-E9</f>
        <v>17529.062400000003</v>
      </c>
      <c r="L4" s="11"/>
    </row>
    <row r="5" spans="2:12">
      <c r="B5" s="63" t="s">
        <v>1</v>
      </c>
      <c r="C5" s="64">
        <f>E2</f>
        <v>60000</v>
      </c>
      <c r="D5" s="65"/>
      <c r="E5" s="30">
        <f>C5/C2</f>
        <v>20000</v>
      </c>
      <c r="F5" s="31"/>
      <c r="H5" s="51" t="s">
        <v>5</v>
      </c>
      <c r="I5" s="52">
        <f>C5-I4</f>
        <v>13244.898199999996</v>
      </c>
      <c r="J5" s="51" t="s">
        <v>5</v>
      </c>
      <c r="K5" s="52">
        <f>E5-K4</f>
        <v>2470.9375999999975</v>
      </c>
      <c r="L5" s="11"/>
    </row>
    <row r="6" spans="2:12" ht="13.5" thickBot="1">
      <c r="B6" s="63"/>
      <c r="C6" s="61"/>
      <c r="D6" s="65"/>
      <c r="E6" s="29"/>
      <c r="F6" s="28"/>
      <c r="H6" s="53" t="s">
        <v>6</v>
      </c>
      <c r="I6" s="54">
        <f>I5/C5</f>
        <v>0.22074830333333326</v>
      </c>
      <c r="J6" s="53" t="s">
        <v>6</v>
      </c>
      <c r="K6" s="54">
        <f>K5/E5</f>
        <v>0.12354687999999987</v>
      </c>
      <c r="L6" s="12"/>
    </row>
    <row r="7" spans="2:12" ht="13.5" thickTop="1">
      <c r="B7" s="63" t="s">
        <v>11</v>
      </c>
      <c r="C7" s="66">
        <v>10000</v>
      </c>
      <c r="D7" s="65"/>
      <c r="E7" s="30">
        <f>C7</f>
        <v>10000</v>
      </c>
      <c r="F7" s="31"/>
    </row>
    <row r="8" spans="2:12">
      <c r="B8" s="63" t="s">
        <v>12</v>
      </c>
      <c r="C8" s="66">
        <f>C63</f>
        <v>282.07200000000012</v>
      </c>
      <c r="D8" s="65"/>
      <c r="E8" s="30">
        <f>C63</f>
        <v>282.07200000000012</v>
      </c>
      <c r="F8" s="31"/>
    </row>
    <row r="9" spans="2:12">
      <c r="B9" s="63" t="s">
        <v>13</v>
      </c>
      <c r="C9" s="66">
        <f>C56</f>
        <v>245.28000000000006</v>
      </c>
      <c r="D9" s="65"/>
      <c r="E9" s="30">
        <f>C56</f>
        <v>245.28000000000006</v>
      </c>
      <c r="F9" s="31"/>
    </row>
    <row r="10" spans="2:12">
      <c r="B10" s="63" t="s">
        <v>14</v>
      </c>
      <c r="C10" s="66">
        <f>C5-C7-C8</f>
        <v>49717.928</v>
      </c>
      <c r="D10" s="65"/>
      <c r="E10" s="30">
        <f>E5-E7-E8</f>
        <v>9717.9279999999999</v>
      </c>
      <c r="F10" s="31">
        <f>E10*2</f>
        <v>19435.856</v>
      </c>
    </row>
    <row r="11" spans="2:12">
      <c r="B11" s="63" t="s">
        <v>15</v>
      </c>
      <c r="C11" s="66">
        <f>C28</f>
        <v>9943.5856000000003</v>
      </c>
      <c r="D11" s="65"/>
      <c r="E11" s="30">
        <f>E28</f>
        <v>1943.5856000000001</v>
      </c>
      <c r="F11" s="31"/>
    </row>
    <row r="12" spans="2:12">
      <c r="B12" s="63" t="s">
        <v>16</v>
      </c>
      <c r="C12" s="66">
        <f>C10-C11</f>
        <v>39774.342400000001</v>
      </c>
      <c r="D12" s="65"/>
      <c r="E12" s="30">
        <f>E10-E11</f>
        <v>7774.3423999999995</v>
      </c>
      <c r="F12" s="31"/>
    </row>
    <row r="13" spans="2:12">
      <c r="B13" s="63" t="s">
        <v>17</v>
      </c>
      <c r="C13" s="66">
        <f>C34</f>
        <v>44193.713777777783</v>
      </c>
      <c r="D13" s="65"/>
      <c r="E13" s="30">
        <f>E34</f>
        <v>8638.1582222222223</v>
      </c>
      <c r="F13" s="28"/>
    </row>
    <row r="14" spans="2:12">
      <c r="B14" s="63" t="s">
        <v>18</v>
      </c>
      <c r="C14" s="66">
        <f>C42</f>
        <v>2773.9606000000013</v>
      </c>
      <c r="D14" s="65"/>
      <c r="E14" s="30">
        <f>E42</f>
        <v>0</v>
      </c>
      <c r="F14" s="28"/>
    </row>
    <row r="15" spans="2:12">
      <c r="B15" s="63"/>
      <c r="C15" s="66"/>
      <c r="D15" s="62"/>
      <c r="E15" s="29"/>
      <c r="F15" s="28"/>
    </row>
    <row r="16" spans="2:12">
      <c r="B16" s="63" t="s">
        <v>3</v>
      </c>
      <c r="C16" s="67">
        <f>'Top Sheet'!C4</f>
        <v>32</v>
      </c>
      <c r="D16" s="68" t="s">
        <v>19</v>
      </c>
      <c r="E16" s="32"/>
      <c r="F16" s="33"/>
    </row>
    <row r="17" spans="1:11">
      <c r="B17" s="63"/>
      <c r="C17" s="61"/>
      <c r="D17" s="65"/>
      <c r="E17" s="34"/>
      <c r="F17" s="35"/>
    </row>
    <row r="18" spans="1:11">
      <c r="B18" s="63" t="s">
        <v>20</v>
      </c>
      <c r="C18" s="61"/>
      <c r="D18" s="62"/>
      <c r="E18" s="29"/>
      <c r="F18" s="28"/>
    </row>
    <row r="19" spans="1:11">
      <c r="B19" s="63"/>
      <c r="C19" s="61"/>
      <c r="D19" s="65"/>
      <c r="E19" s="34"/>
      <c r="F19" s="35"/>
    </row>
    <row r="20" spans="1:11" ht="18">
      <c r="A20" s="13"/>
      <c r="B20" s="69" t="s">
        <v>15</v>
      </c>
      <c r="C20" s="70"/>
      <c r="D20" s="71"/>
      <c r="E20" s="36"/>
      <c r="F20" s="37"/>
      <c r="G20" s="13"/>
      <c r="H20" s="13"/>
      <c r="I20" s="13"/>
      <c r="J20" s="13"/>
      <c r="K20" s="13"/>
    </row>
    <row r="21" spans="1:11">
      <c r="B21" s="63"/>
      <c r="C21" s="61"/>
      <c r="D21" s="62"/>
      <c r="E21" s="29"/>
      <c r="F21" s="28"/>
      <c r="G21" s="14"/>
    </row>
    <row r="22" spans="1:11">
      <c r="B22" s="63" t="s">
        <v>21</v>
      </c>
      <c r="C22" s="66">
        <f>C10</f>
        <v>49717.928</v>
      </c>
      <c r="D22" s="65"/>
      <c r="E22" s="30">
        <f>E10</f>
        <v>9717.9279999999999</v>
      </c>
      <c r="F22" s="31"/>
      <c r="G22" s="14"/>
      <c r="H22" t="s">
        <v>22</v>
      </c>
      <c r="I22" s="15">
        <v>0.2</v>
      </c>
    </row>
    <row r="23" spans="1:11">
      <c r="B23" s="63"/>
      <c r="C23" s="66"/>
      <c r="D23" s="65"/>
      <c r="E23" s="29"/>
      <c r="F23" s="28"/>
      <c r="G23" s="14"/>
      <c r="H23" t="s">
        <v>23</v>
      </c>
      <c r="I23" s="2">
        <v>300000</v>
      </c>
    </row>
    <row r="24" spans="1:11">
      <c r="B24" s="63" t="s">
        <v>24</v>
      </c>
      <c r="C24" s="66">
        <f>IF(C22&lt;=I24,C22*I22,0)</f>
        <v>9943.5856000000003</v>
      </c>
      <c r="D24" s="65"/>
      <c r="E24" s="29">
        <f>IF(E22&lt;=I24,E22*I22,0)</f>
        <v>1943.5856000000001</v>
      </c>
      <c r="F24" s="28"/>
      <c r="G24" s="14"/>
      <c r="H24" t="s">
        <v>25</v>
      </c>
      <c r="I24" s="2">
        <v>300000</v>
      </c>
    </row>
    <row r="25" spans="1:11">
      <c r="B25" s="63" t="s">
        <v>26</v>
      </c>
      <c r="C25" s="66">
        <f>IF(C22&gt;I24, IF(C22&lt;I25, -(I25-C22)*I26, 0), 0)</f>
        <v>0</v>
      </c>
      <c r="D25" s="65"/>
      <c r="E25" s="30">
        <f>IF(E22&gt;I24, IF(E22&lt;I25, -(I25-E22)*I26, 0), 0)</f>
        <v>0</v>
      </c>
      <c r="F25" s="31"/>
      <c r="G25" s="14"/>
      <c r="H25" t="s">
        <v>27</v>
      </c>
      <c r="I25" s="2">
        <v>1500000</v>
      </c>
    </row>
    <row r="26" spans="1:11">
      <c r="B26" s="63" t="s">
        <v>28</v>
      </c>
      <c r="C26" s="66">
        <f>IF(C22&gt;I23,C22*I27,0)</f>
        <v>0</v>
      </c>
      <c r="D26" s="65"/>
      <c r="E26" s="30">
        <f>IF(E22&gt;I23,E22*I27,0)</f>
        <v>0</v>
      </c>
      <c r="F26" s="31"/>
      <c r="G26" s="14"/>
      <c r="H26" t="s">
        <v>29</v>
      </c>
      <c r="I26" s="16">
        <f>1/400</f>
        <v>2.5000000000000001E-3</v>
      </c>
    </row>
    <row r="27" spans="1:11">
      <c r="B27" s="63"/>
      <c r="C27" s="66"/>
      <c r="D27" s="65"/>
      <c r="E27" s="29"/>
      <c r="F27" s="28"/>
      <c r="G27" s="14"/>
      <c r="H27" t="s">
        <v>28</v>
      </c>
      <c r="I27" s="15">
        <v>0.21</v>
      </c>
    </row>
    <row r="28" spans="1:11">
      <c r="B28" s="72" t="s">
        <v>30</v>
      </c>
      <c r="C28" s="66">
        <f>SUM(C24:C26)</f>
        <v>9943.5856000000003</v>
      </c>
      <c r="D28" s="65"/>
      <c r="E28" s="30">
        <f>SUM(E24:E26)</f>
        <v>1943.5856000000001</v>
      </c>
      <c r="F28" s="31"/>
      <c r="G28" s="14"/>
    </row>
    <row r="29" spans="1:11">
      <c r="B29" s="63"/>
      <c r="C29" s="61"/>
      <c r="D29" s="62"/>
      <c r="E29" s="29"/>
      <c r="F29" s="28"/>
      <c r="G29" s="14"/>
    </row>
    <row r="30" spans="1:11">
      <c r="B30" s="63"/>
      <c r="C30" s="61"/>
      <c r="D30" s="62"/>
      <c r="E30" s="29"/>
      <c r="F30" s="28"/>
      <c r="G30" s="14"/>
    </row>
    <row r="31" spans="1:11" ht="18">
      <c r="A31" s="17"/>
      <c r="B31" s="73" t="s">
        <v>18</v>
      </c>
      <c r="C31" s="74"/>
      <c r="D31" s="75"/>
      <c r="E31" s="38"/>
      <c r="F31" s="39"/>
      <c r="G31" s="17"/>
      <c r="H31" s="17"/>
      <c r="I31" s="17"/>
      <c r="J31" s="17"/>
      <c r="K31" s="17"/>
    </row>
    <row r="32" spans="1:11">
      <c r="B32" s="63"/>
      <c r="C32" s="76"/>
      <c r="D32" s="62"/>
      <c r="E32" s="29"/>
      <c r="F32" s="28"/>
      <c r="G32" s="14"/>
      <c r="J32" s="19"/>
    </row>
    <row r="33" spans="1:11">
      <c r="B33" s="63" t="s">
        <v>16</v>
      </c>
      <c r="C33" s="76">
        <f>C12</f>
        <v>39774.342400000001</v>
      </c>
      <c r="D33" s="65"/>
      <c r="E33" s="40">
        <f>E12</f>
        <v>7774.3423999999995</v>
      </c>
      <c r="F33" s="41"/>
      <c r="G33" s="14"/>
      <c r="J33" s="19"/>
    </row>
    <row r="34" spans="1:11">
      <c r="B34" s="77" t="s">
        <v>17</v>
      </c>
      <c r="C34" s="76">
        <f>C33*(10/9)</f>
        <v>44193.713777777783</v>
      </c>
      <c r="D34" s="65"/>
      <c r="E34" s="40">
        <f>E33*(10/9)</f>
        <v>8638.1582222222223</v>
      </c>
      <c r="F34" s="41"/>
      <c r="G34" s="14"/>
    </row>
    <row r="35" spans="1:11">
      <c r="B35" s="63"/>
      <c r="C35" s="61"/>
      <c r="D35" s="62"/>
      <c r="E35" s="29"/>
      <c r="F35" s="28"/>
      <c r="G35" s="14"/>
    </row>
    <row r="36" spans="1:11">
      <c r="B36" s="63"/>
      <c r="C36" s="78" t="s">
        <v>31</v>
      </c>
      <c r="D36" s="79" t="s">
        <v>32</v>
      </c>
      <c r="E36" s="27" t="s">
        <v>31</v>
      </c>
      <c r="F36" s="42" t="s">
        <v>32</v>
      </c>
      <c r="G36" s="14"/>
      <c r="H36" s="5" t="s">
        <v>33</v>
      </c>
      <c r="I36" s="5" t="s">
        <v>34</v>
      </c>
      <c r="J36" s="5" t="s">
        <v>35</v>
      </c>
      <c r="K36" s="8" t="s">
        <v>36</v>
      </c>
    </row>
    <row r="37" spans="1:11">
      <c r="B37" s="80" t="str">
        <f>H37*100&amp;"% Rate"</f>
        <v>0% Rate</v>
      </c>
      <c r="C37" s="66">
        <f>IF(C34&gt;=I37,IF(C34&gt;=K37,K37*H37,C34*H37),0)</f>
        <v>0</v>
      </c>
      <c r="D37" s="81">
        <f>IF((C34-K37)&gt;0,C34-K37,0)</f>
        <v>12328.713777777783</v>
      </c>
      <c r="E37" s="40">
        <f>IF(E34&gt;=I37,IF(E34&gt;=K37,K37*H37,E34*H37),0)</f>
        <v>0</v>
      </c>
      <c r="F37" s="41">
        <f>IF((E34-K37)&gt;0,E34-K37,0)</f>
        <v>0</v>
      </c>
      <c r="G37" s="14"/>
      <c r="H37" s="15">
        <f>0.1-0.1</f>
        <v>0</v>
      </c>
      <c r="I37" s="2">
        <v>0</v>
      </c>
      <c r="J37" s="2">
        <v>31865</v>
      </c>
      <c r="K37" s="18">
        <f>J37-I37</f>
        <v>31865</v>
      </c>
    </row>
    <row r="38" spans="1:11">
      <c r="B38" s="80" t="str">
        <f>H38*100&amp;"% Rate"</f>
        <v>22.5% Rate</v>
      </c>
      <c r="C38" s="66">
        <f>IF(D37&gt;0,IF(D37&gt;=K38,K38*H38,D37*H38),0)</f>
        <v>2773.9606000000013</v>
      </c>
      <c r="D38" s="81">
        <f>IF((D37-K38)&gt;0,D37-K38,0)</f>
        <v>0</v>
      </c>
      <c r="E38" s="40">
        <f>IF(F37&gt;0,IF(F37&gt;=K38,K38*H38,F37*H38),0)</f>
        <v>0</v>
      </c>
      <c r="F38" s="41">
        <f>IF((F37-K38)&gt;0,F37-K38,0)</f>
        <v>0</v>
      </c>
      <c r="G38" s="14"/>
      <c r="H38" s="15">
        <f>0.325-0.1</f>
        <v>0.22500000000000001</v>
      </c>
      <c r="I38" s="6">
        <f>IF(J37&gt;=1,J37+1,J37)</f>
        <v>31866</v>
      </c>
      <c r="J38" s="2">
        <v>150000</v>
      </c>
      <c r="K38" s="18">
        <f>J38-I38+1</f>
        <v>118135</v>
      </c>
    </row>
    <row r="39" spans="1:11">
      <c r="B39" s="80" t="str">
        <f>H39*100&amp;"% Rate"</f>
        <v>27.5% Rate</v>
      </c>
      <c r="C39" s="66">
        <f>IF(D38&gt;0,IF(D38&gt;=K39,K39*H39,D38*H39),0)</f>
        <v>0</v>
      </c>
      <c r="D39" s="81">
        <f>IF((D38-K39)&gt;0,D38-K39,0)</f>
        <v>0</v>
      </c>
      <c r="E39" s="40">
        <f>IF(F38&gt;0,IF(F38&gt;=K39,K39*H39,F38*H39),0)</f>
        <v>0</v>
      </c>
      <c r="F39" s="41">
        <f>IF((F38-K39)&gt;0,F38-K39,0)</f>
        <v>0</v>
      </c>
      <c r="G39" s="14"/>
      <c r="H39" s="15">
        <f>0.375-0.1</f>
        <v>0.27500000000000002</v>
      </c>
      <c r="I39" s="6">
        <f>J38+1</f>
        <v>150001</v>
      </c>
      <c r="J39" s="20">
        <v>99999999</v>
      </c>
      <c r="K39" s="18">
        <f>J39-I39+1</f>
        <v>99849999</v>
      </c>
    </row>
    <row r="40" spans="1:11">
      <c r="B40" s="80"/>
      <c r="C40" s="66"/>
      <c r="D40" s="81"/>
      <c r="E40" s="40"/>
      <c r="F40" s="41"/>
      <c r="G40" s="14"/>
      <c r="H40" s="15"/>
      <c r="J40" s="20"/>
      <c r="K40" s="18"/>
    </row>
    <row r="41" spans="1:11">
      <c r="B41" s="63"/>
      <c r="C41" s="61"/>
      <c r="D41" s="62"/>
      <c r="E41" s="29"/>
      <c r="F41" s="28"/>
      <c r="G41" s="14"/>
    </row>
    <row r="42" spans="1:11">
      <c r="B42" s="82" t="s">
        <v>31</v>
      </c>
      <c r="C42" s="83">
        <f>SUM(C37:C40)</f>
        <v>2773.9606000000013</v>
      </c>
      <c r="D42" s="62"/>
      <c r="E42" s="30">
        <f>SUM(E37:E40)</f>
        <v>0</v>
      </c>
      <c r="F42" s="28"/>
      <c r="G42" s="14"/>
    </row>
    <row r="43" spans="1:11">
      <c r="B43" s="63"/>
      <c r="C43" s="61"/>
      <c r="D43" s="65"/>
      <c r="E43" s="34"/>
      <c r="F43" s="35"/>
      <c r="G43" s="14"/>
    </row>
    <row r="44" spans="1:11">
      <c r="B44" s="63"/>
      <c r="C44" s="61"/>
      <c r="D44" s="65"/>
      <c r="E44" s="34"/>
      <c r="F44" s="35"/>
      <c r="G44" s="14"/>
    </row>
    <row r="45" spans="1:11" ht="18">
      <c r="A45" s="21"/>
      <c r="B45" s="84" t="s">
        <v>37</v>
      </c>
      <c r="C45" s="85"/>
      <c r="D45" s="86"/>
      <c r="E45" s="43"/>
      <c r="F45" s="44"/>
      <c r="G45" s="21"/>
      <c r="H45" s="21"/>
      <c r="I45" s="21"/>
      <c r="J45" s="21"/>
      <c r="K45" s="21"/>
    </row>
    <row r="46" spans="1:11">
      <c r="B46" s="63"/>
      <c r="C46" s="61"/>
      <c r="D46" s="62"/>
      <c r="E46" s="29"/>
      <c r="F46" s="28"/>
      <c r="G46" s="14"/>
    </row>
    <row r="47" spans="1:11">
      <c r="B47" s="63" t="s">
        <v>38</v>
      </c>
      <c r="C47" s="66">
        <f>C7/52</f>
        <v>192.30769230769232</v>
      </c>
      <c r="D47" s="62"/>
      <c r="E47" s="30">
        <f>E7/52</f>
        <v>192.30769230769232</v>
      </c>
      <c r="F47" s="28"/>
      <c r="G47" s="14"/>
      <c r="H47" t="s">
        <v>39</v>
      </c>
      <c r="I47" s="16">
        <v>99</v>
      </c>
      <c r="J47" s="8" t="s">
        <v>19</v>
      </c>
    </row>
    <row r="48" spans="1:11">
      <c r="B48" s="63"/>
      <c r="C48" s="61"/>
      <c r="D48" s="62"/>
      <c r="E48" s="29"/>
      <c r="F48" s="28"/>
      <c r="G48" s="14"/>
    </row>
    <row r="49" spans="1:11">
      <c r="B49" s="63"/>
      <c r="C49" s="78" t="s">
        <v>31</v>
      </c>
      <c r="D49" s="79" t="s">
        <v>32</v>
      </c>
      <c r="E49" s="27" t="s">
        <v>31</v>
      </c>
      <c r="F49" s="42" t="s">
        <v>32</v>
      </c>
      <c r="G49" s="14"/>
      <c r="H49" s="5" t="s">
        <v>33</v>
      </c>
      <c r="I49" s="5" t="s">
        <v>34</v>
      </c>
      <c r="J49" s="5" t="s">
        <v>35</v>
      </c>
      <c r="K49" s="8" t="s">
        <v>36</v>
      </c>
    </row>
    <row r="50" spans="1:11">
      <c r="B50" s="80" t="str">
        <f>H50*100&amp;"% Rate"</f>
        <v>0% Rate</v>
      </c>
      <c r="C50" s="66">
        <f>IF(C47&gt;=I50,IF(C47&gt;=K50,K50*H50,C47*H50),0)</f>
        <v>0</v>
      </c>
      <c r="D50" s="81">
        <f>IF((C47-K50)&gt;0,C47-K50,0)</f>
        <v>39.307692307692321</v>
      </c>
      <c r="E50" s="40">
        <f>IF(E47&gt;=I50,IF(E47&gt;=K50,K50*H50,E47*H50),0)</f>
        <v>0</v>
      </c>
      <c r="F50" s="41">
        <f>IF((E47-K50)&gt;0,E47-K50,0)</f>
        <v>39.307692307692321</v>
      </c>
      <c r="G50" s="14"/>
      <c r="H50" s="15">
        <v>0</v>
      </c>
      <c r="I50" s="2">
        <v>0</v>
      </c>
      <c r="J50" s="2">
        <v>153</v>
      </c>
      <c r="K50" s="18">
        <f>J50-I50</f>
        <v>153</v>
      </c>
    </row>
    <row r="51" spans="1:11">
      <c r="B51" s="80" t="str">
        <f>H51*100&amp;"% Rate"</f>
        <v>12% Rate</v>
      </c>
      <c r="C51" s="66">
        <f>IF(D50&gt;0,IF(D50&gt;=K51,K51*H51,D50*H51),0)</f>
        <v>4.7169230769230781</v>
      </c>
      <c r="D51" s="81">
        <f>IF((D50-K51)&gt;0,D50-K51,0)</f>
        <v>0</v>
      </c>
      <c r="E51" s="40">
        <f>IF(F50&gt;0,IF(F50&gt;=K51,K51*H51,F50*H51),0)</f>
        <v>4.7169230769230781</v>
      </c>
      <c r="F51" s="41">
        <f>IF((F50-K51)&gt;0,F50-K51,0)</f>
        <v>0</v>
      </c>
      <c r="G51" s="14"/>
      <c r="H51" s="15">
        <v>0.12</v>
      </c>
      <c r="I51" s="6">
        <f>J50+0.01</f>
        <v>153.01</v>
      </c>
      <c r="J51" s="2">
        <v>805</v>
      </c>
      <c r="K51" s="18">
        <f>J51-I51+0.01</f>
        <v>652</v>
      </c>
    </row>
    <row r="52" spans="1:11">
      <c r="B52" s="80" t="str">
        <f>H52*100&amp;"% Rate"</f>
        <v>2% Rate</v>
      </c>
      <c r="C52" s="66">
        <f>IF(D51&gt;0,IF(D51&gt;=K52,K52*H52,D51*H52),0)</f>
        <v>0</v>
      </c>
      <c r="D52" s="81">
        <f>IF((D51-K52)&gt;0,D51-K52,0)</f>
        <v>0</v>
      </c>
      <c r="E52" s="40">
        <f>IF(F51&gt;0,IF(F51&gt;=K52,K52*H52,F51*H52),0)</f>
        <v>0</v>
      </c>
      <c r="F52" s="41">
        <f>IF((F51-K52)&gt;0,F51-K52,0)</f>
        <v>0</v>
      </c>
      <c r="G52" s="14"/>
      <c r="H52" s="15">
        <v>0.02</v>
      </c>
      <c r="I52" s="6">
        <f>J51+0.01</f>
        <v>805.01</v>
      </c>
      <c r="J52" s="20">
        <v>99999999.989999995</v>
      </c>
      <c r="K52" s="18">
        <f>J52-I52+0.01</f>
        <v>99999194.989999995</v>
      </c>
    </row>
    <row r="53" spans="1:11">
      <c r="B53" s="63"/>
      <c r="C53" s="61"/>
      <c r="D53" s="62"/>
      <c r="E53" s="29"/>
      <c r="F53" s="28"/>
      <c r="G53" s="14"/>
    </row>
    <row r="54" spans="1:11">
      <c r="B54" s="77" t="s">
        <v>40</v>
      </c>
      <c r="C54" s="76">
        <f>SUM(C50:C52)</f>
        <v>4.7169230769230781</v>
      </c>
      <c r="D54" s="62"/>
      <c r="E54" s="30">
        <f>SUM(E50:E53)</f>
        <v>4.7169230769230781</v>
      </c>
      <c r="F54" s="28"/>
      <c r="G54" s="14"/>
    </row>
    <row r="55" spans="1:11">
      <c r="B55" s="87" t="s">
        <v>41</v>
      </c>
      <c r="C55" s="66">
        <f>IF(C26&gt;=I47,C54*52,0)</f>
        <v>0</v>
      </c>
      <c r="D55" s="62"/>
      <c r="E55" s="29">
        <f>IF(E26&gt;=I47,E54*52,0)</f>
        <v>0</v>
      </c>
      <c r="F55" s="28"/>
      <c r="G55" s="14"/>
    </row>
    <row r="56" spans="1:11">
      <c r="B56" s="72" t="s">
        <v>42</v>
      </c>
      <c r="C56" s="88">
        <f>(C54*52)-C55</f>
        <v>245.28000000000006</v>
      </c>
      <c r="D56" s="62"/>
      <c r="E56" s="29">
        <f>(E54*52)-E55</f>
        <v>245.28000000000006</v>
      </c>
      <c r="F56" s="28"/>
      <c r="G56" s="14"/>
    </row>
    <row r="57" spans="1:11">
      <c r="B57" s="63"/>
      <c r="C57" s="61"/>
      <c r="D57" s="65"/>
      <c r="E57" s="34"/>
      <c r="F57" s="35"/>
      <c r="G57" s="14"/>
    </row>
    <row r="58" spans="1:11" ht="18">
      <c r="A58" s="21"/>
      <c r="B58" s="84" t="s">
        <v>12</v>
      </c>
      <c r="C58" s="85"/>
      <c r="D58" s="86"/>
      <c r="E58" s="43"/>
      <c r="F58" s="44"/>
      <c r="G58" s="21"/>
      <c r="H58" s="21"/>
      <c r="I58" s="21"/>
      <c r="J58" s="21"/>
      <c r="K58" s="21"/>
    </row>
    <row r="59" spans="1:11">
      <c r="B59" s="63"/>
      <c r="C59" s="61"/>
      <c r="D59" s="65"/>
      <c r="E59" s="34"/>
      <c r="F59" s="35"/>
      <c r="G59" s="14"/>
    </row>
    <row r="60" spans="1:11">
      <c r="B60" s="63" t="s">
        <v>38</v>
      </c>
      <c r="C60" s="66">
        <f>C47</f>
        <v>192.30769230769232</v>
      </c>
      <c r="D60" s="65"/>
      <c r="E60" s="30">
        <f>E47</f>
        <v>192.30769230769232</v>
      </c>
      <c r="F60" s="35"/>
      <c r="G60" s="14"/>
      <c r="H60" t="s">
        <v>43</v>
      </c>
      <c r="I60" s="2">
        <v>153</v>
      </c>
    </row>
    <row r="61" spans="1:11">
      <c r="B61" s="63"/>
      <c r="C61" s="61"/>
      <c r="D61" s="65"/>
      <c r="E61" s="34"/>
      <c r="F61" s="35"/>
      <c r="G61" s="14"/>
      <c r="H61" t="s">
        <v>44</v>
      </c>
      <c r="I61" s="15">
        <v>0.13800000000000001</v>
      </c>
    </row>
    <row r="62" spans="1:11">
      <c r="B62" s="63" t="s">
        <v>45</v>
      </c>
      <c r="C62" s="66">
        <f>IF(C60&gt;I60,(C60-I60)*I61,0)</f>
        <v>5.4244615384615411</v>
      </c>
      <c r="D62" s="65"/>
      <c r="E62" s="34">
        <f>IF(E60&gt;I60,(E60-I60)*I61,0)</f>
        <v>5.4244615384615411</v>
      </c>
      <c r="F62" s="35"/>
      <c r="G62" s="14"/>
    </row>
    <row r="63" spans="1:11">
      <c r="B63" s="72" t="s">
        <v>46</v>
      </c>
      <c r="C63" s="88">
        <f>C62*52</f>
        <v>282.07200000000012</v>
      </c>
      <c r="D63" s="65"/>
      <c r="E63" s="34">
        <f>E62*52</f>
        <v>282.07200000000012</v>
      </c>
      <c r="F63" s="35"/>
      <c r="G63" s="14"/>
    </row>
    <row r="64" spans="1:11">
      <c r="B64" s="63"/>
      <c r="C64" s="61"/>
      <c r="D64" s="65"/>
      <c r="E64" s="34"/>
      <c r="F64" s="35"/>
      <c r="G64" s="14"/>
    </row>
    <row r="65" spans="1:11">
      <c r="B65" s="63"/>
      <c r="C65" s="61"/>
      <c r="D65" s="65"/>
      <c r="E65" s="34"/>
      <c r="F65" s="35"/>
    </row>
    <row r="66" spans="1:11" s="22" customFormat="1" ht="18">
      <c r="B66" s="89" t="s">
        <v>47</v>
      </c>
      <c r="C66" s="90"/>
      <c r="D66" s="91"/>
      <c r="E66" s="45"/>
      <c r="F66" s="46"/>
    </row>
    <row r="67" spans="1:11">
      <c r="B67" s="63"/>
      <c r="C67" s="61"/>
      <c r="D67" s="65"/>
      <c r="E67" s="34"/>
      <c r="F67" s="35"/>
    </row>
    <row r="68" spans="1:11">
      <c r="B68" s="63" t="s">
        <v>1</v>
      </c>
      <c r="C68" s="66">
        <f>C5</f>
        <v>60000</v>
      </c>
      <c r="D68" s="65"/>
      <c r="E68" s="30">
        <f>E5</f>
        <v>20000</v>
      </c>
      <c r="F68" s="35"/>
    </row>
    <row r="69" spans="1:11">
      <c r="B69" s="63" t="s">
        <v>48</v>
      </c>
      <c r="C69" s="66">
        <f>IF(C16&lt;65,I98,IF(C16&lt;75,I99,I100))</f>
        <v>10000</v>
      </c>
      <c r="D69" s="65"/>
      <c r="E69" s="30">
        <f>C69</f>
        <v>10000</v>
      </c>
      <c r="F69" s="35"/>
    </row>
    <row r="70" spans="1:11">
      <c r="B70" s="63" t="s">
        <v>12</v>
      </c>
      <c r="C70" s="66">
        <f>C82</f>
        <v>282.07200000000012</v>
      </c>
      <c r="D70" s="65"/>
      <c r="E70" s="34">
        <f>E82</f>
        <v>282.07200000000012</v>
      </c>
      <c r="F70" s="35"/>
    </row>
    <row r="71" spans="1:11">
      <c r="B71" s="63" t="s">
        <v>14</v>
      </c>
      <c r="C71" s="66">
        <f>C68-C69-C70</f>
        <v>49717.928</v>
      </c>
      <c r="D71" s="65"/>
      <c r="E71" s="30">
        <f>E68-E69-E70</f>
        <v>9717.9279999999999</v>
      </c>
      <c r="F71" s="35"/>
    </row>
    <row r="72" spans="1:11">
      <c r="B72" s="63" t="s">
        <v>15</v>
      </c>
      <c r="C72" s="66">
        <f>C92</f>
        <v>9943.5856000000003</v>
      </c>
      <c r="D72" s="65"/>
      <c r="E72" s="34">
        <f>E92</f>
        <v>1943.5856000000001</v>
      </c>
      <c r="F72" s="35"/>
    </row>
    <row r="73" spans="1:11">
      <c r="B73" s="63" t="s">
        <v>16</v>
      </c>
      <c r="C73" s="66">
        <f>C71-C72</f>
        <v>39774.342400000001</v>
      </c>
      <c r="D73" s="65"/>
      <c r="E73" s="30">
        <f>E71-E72</f>
        <v>7774.3423999999995</v>
      </c>
      <c r="F73" s="35"/>
    </row>
    <row r="74" spans="1:11">
      <c r="B74" s="63" t="s">
        <v>17</v>
      </c>
      <c r="C74" s="66">
        <f>C73*(10/9)</f>
        <v>44193.713777777783</v>
      </c>
      <c r="D74" s="65"/>
      <c r="E74" s="30">
        <f>E73/0.9</f>
        <v>8638.1582222222223</v>
      </c>
      <c r="F74" s="35"/>
    </row>
    <row r="75" spans="1:11">
      <c r="B75" s="63" t="s">
        <v>49</v>
      </c>
      <c r="C75" s="66">
        <f>C74+C69</f>
        <v>54193.713777777783</v>
      </c>
      <c r="D75" s="65"/>
      <c r="E75" s="30">
        <f>E74+E69</f>
        <v>18638.158222222221</v>
      </c>
      <c r="F75" s="35"/>
    </row>
    <row r="76" spans="1:11">
      <c r="B76" s="63"/>
      <c r="C76" s="61"/>
      <c r="D76" s="65"/>
      <c r="E76" s="34"/>
      <c r="F76" s="35"/>
    </row>
    <row r="77" spans="1:11" ht="18">
      <c r="A77" s="21"/>
      <c r="B77" s="84" t="s">
        <v>50</v>
      </c>
      <c r="C77" s="85"/>
      <c r="D77" s="86"/>
      <c r="E77" s="43"/>
      <c r="F77" s="44"/>
      <c r="G77" s="21"/>
      <c r="H77" s="21"/>
      <c r="I77" s="21"/>
      <c r="J77" s="21"/>
      <c r="K77" s="21"/>
    </row>
    <row r="78" spans="1:11">
      <c r="B78" s="63"/>
      <c r="C78" s="61"/>
      <c r="D78" s="65"/>
      <c r="E78" s="34"/>
      <c r="F78" s="35"/>
      <c r="G78" s="14"/>
    </row>
    <row r="79" spans="1:11">
      <c r="B79" s="63" t="s">
        <v>38</v>
      </c>
      <c r="C79" s="66">
        <f>C69/52</f>
        <v>192.30769230769232</v>
      </c>
      <c r="D79" s="65"/>
      <c r="E79" s="34">
        <f>E69/52</f>
        <v>192.30769230769232</v>
      </c>
      <c r="F79" s="35"/>
      <c r="G79" s="14"/>
      <c r="H79" t="s">
        <v>43</v>
      </c>
      <c r="I79" s="6">
        <f>I60</f>
        <v>153</v>
      </c>
    </row>
    <row r="80" spans="1:11">
      <c r="B80" s="63"/>
      <c r="C80" s="61"/>
      <c r="D80" s="65"/>
      <c r="E80" s="34"/>
      <c r="F80" s="35"/>
      <c r="G80" s="14"/>
      <c r="H80" t="s">
        <v>44</v>
      </c>
      <c r="I80" s="7">
        <f>I61</f>
        <v>0.13800000000000001</v>
      </c>
    </row>
    <row r="81" spans="1:11">
      <c r="B81" s="63" t="s">
        <v>45</v>
      </c>
      <c r="C81" s="66">
        <f>IF(C79&gt;I79,(C79-I79)*I80,0)</f>
        <v>5.4244615384615411</v>
      </c>
      <c r="D81" s="65"/>
      <c r="E81" s="34">
        <f>IF(E79&gt;I79,(E79-I79)*I80,0)</f>
        <v>5.4244615384615411</v>
      </c>
      <c r="F81" s="35"/>
      <c r="G81" s="14"/>
    </row>
    <row r="82" spans="1:11">
      <c r="B82" s="72" t="s">
        <v>46</v>
      </c>
      <c r="C82" s="88">
        <f>C81*52</f>
        <v>282.07200000000012</v>
      </c>
      <c r="D82" s="65"/>
      <c r="E82" s="34">
        <f>E81*52</f>
        <v>282.07200000000012</v>
      </c>
      <c r="F82" s="35"/>
      <c r="G82" s="14"/>
    </row>
    <row r="83" spans="1:11">
      <c r="B83" s="63"/>
      <c r="C83" s="61"/>
      <c r="D83" s="65"/>
      <c r="E83" s="34"/>
      <c r="F83" s="35"/>
      <c r="G83" s="14"/>
    </row>
    <row r="84" spans="1:11" ht="18">
      <c r="A84" s="13"/>
      <c r="B84" s="69" t="s">
        <v>15</v>
      </c>
      <c r="C84" s="70"/>
      <c r="D84" s="71"/>
      <c r="E84" s="36"/>
      <c r="F84" s="37"/>
      <c r="G84" s="13"/>
      <c r="H84" s="13"/>
      <c r="I84" s="13"/>
      <c r="J84" s="13"/>
      <c r="K84" s="13"/>
    </row>
    <row r="85" spans="1:11">
      <c r="B85" s="63"/>
      <c r="C85" s="61"/>
      <c r="D85" s="62"/>
      <c r="E85" s="29"/>
      <c r="F85" s="28"/>
      <c r="G85" s="14"/>
    </row>
    <row r="86" spans="1:11">
      <c r="B86" s="63" t="s">
        <v>21</v>
      </c>
      <c r="C86" s="66">
        <f>C71</f>
        <v>49717.928</v>
      </c>
      <c r="D86" s="62"/>
      <c r="E86" s="29">
        <f>E71</f>
        <v>9717.9279999999999</v>
      </c>
      <c r="F86" s="28"/>
      <c r="G86" s="14"/>
      <c r="H86" t="s">
        <v>22</v>
      </c>
      <c r="J86" s="7">
        <f t="shared" ref="J86:J91" si="0">I22</f>
        <v>0.2</v>
      </c>
    </row>
    <row r="87" spans="1:11">
      <c r="B87" s="63"/>
      <c r="C87" s="66"/>
      <c r="D87" s="62"/>
      <c r="E87" s="29"/>
      <c r="F87" s="28"/>
      <c r="G87" s="14"/>
      <c r="H87" t="s">
        <v>23</v>
      </c>
      <c r="J87" s="6">
        <f t="shared" si="0"/>
        <v>300000</v>
      </c>
    </row>
    <row r="88" spans="1:11">
      <c r="B88" s="63" t="s">
        <v>24</v>
      </c>
      <c r="C88" s="66">
        <f>IF(C86&lt;=J88,C86*J86,0)</f>
        <v>9943.5856000000003</v>
      </c>
      <c r="D88" s="62"/>
      <c r="E88" s="29">
        <f>IF(E86&lt;=J88,E86*J86,0)</f>
        <v>1943.5856000000001</v>
      </c>
      <c r="F88" s="28"/>
      <c r="G88" s="14"/>
      <c r="H88" t="s">
        <v>25</v>
      </c>
      <c r="J88" s="6">
        <f t="shared" si="0"/>
        <v>300000</v>
      </c>
    </row>
    <row r="89" spans="1:11">
      <c r="B89" s="63" t="s">
        <v>26</v>
      </c>
      <c r="C89" s="66">
        <f>IF(C86&gt;J88, IF(C86&lt;J89, -(J89-C86)*J90, 0), 0)</f>
        <v>0</v>
      </c>
      <c r="D89" s="62"/>
      <c r="E89" s="29">
        <f>IF(E86&gt;J88, IF(E86&lt;J89, -(J89-E86)*J90, 0), 0)</f>
        <v>0</v>
      </c>
      <c r="F89" s="28"/>
      <c r="G89" s="14"/>
      <c r="H89" t="s">
        <v>27</v>
      </c>
      <c r="J89" s="6">
        <f t="shared" si="0"/>
        <v>1500000</v>
      </c>
    </row>
    <row r="90" spans="1:11">
      <c r="B90" s="63" t="s">
        <v>28</v>
      </c>
      <c r="C90" s="66">
        <f>IF(C86&gt;=J87,C86*J91,0)</f>
        <v>0</v>
      </c>
      <c r="D90" s="62"/>
      <c r="E90" s="29">
        <f>IF(E86&gt;=J87,E86*J91,0)</f>
        <v>0</v>
      </c>
      <c r="F90" s="28"/>
      <c r="G90" s="14"/>
      <c r="H90" t="s">
        <v>29</v>
      </c>
      <c r="J90">
        <f t="shared" si="0"/>
        <v>2.5000000000000001E-3</v>
      </c>
    </row>
    <row r="91" spans="1:11">
      <c r="B91" s="63"/>
      <c r="C91" s="66"/>
      <c r="D91" s="62"/>
      <c r="E91" s="29"/>
      <c r="F91" s="28"/>
      <c r="G91" s="14"/>
      <c r="H91" t="s">
        <v>28</v>
      </c>
      <c r="J91" s="7">
        <f t="shared" si="0"/>
        <v>0.21</v>
      </c>
    </row>
    <row r="92" spans="1:11">
      <c r="B92" s="72" t="s">
        <v>30</v>
      </c>
      <c r="C92" s="66">
        <f>SUM(C88:C90)</f>
        <v>9943.5856000000003</v>
      </c>
      <c r="D92" s="62"/>
      <c r="E92" s="29">
        <f>SUM(E88:E91)</f>
        <v>1943.5856000000001</v>
      </c>
      <c r="F92" s="28"/>
      <c r="G92" s="14"/>
    </row>
    <row r="93" spans="1:11">
      <c r="B93" s="63"/>
      <c r="C93" s="61"/>
      <c r="D93" s="65"/>
      <c r="E93" s="34"/>
      <c r="F93" s="35"/>
    </row>
    <row r="94" spans="1:11" ht="18">
      <c r="A94" s="23"/>
      <c r="B94" s="92" t="s">
        <v>51</v>
      </c>
      <c r="C94" s="93"/>
      <c r="D94" s="94"/>
      <c r="E94" s="47"/>
      <c r="F94" s="48"/>
      <c r="G94" s="23"/>
      <c r="H94" s="23"/>
      <c r="I94" s="23"/>
      <c r="J94" s="23"/>
      <c r="K94" s="23"/>
    </row>
    <row r="95" spans="1:11">
      <c r="B95" s="63"/>
      <c r="C95" s="61"/>
      <c r="D95" s="62"/>
      <c r="E95" s="29"/>
      <c r="F95" s="28"/>
      <c r="G95" s="14"/>
    </row>
    <row r="96" spans="1:11">
      <c r="B96" s="63" t="s">
        <v>49</v>
      </c>
      <c r="C96" s="66">
        <f>C75</f>
        <v>54193.713777777783</v>
      </c>
      <c r="D96" s="62"/>
      <c r="E96" s="29"/>
      <c r="F96" s="28"/>
      <c r="G96" s="14"/>
    </row>
    <row r="97" spans="2:10">
      <c r="B97" s="63"/>
      <c r="C97" s="61"/>
      <c r="D97" s="62"/>
      <c r="E97" s="29"/>
      <c r="F97" s="28"/>
      <c r="G97" s="14"/>
    </row>
    <row r="98" spans="2:10">
      <c r="B98" s="63" t="s">
        <v>52</v>
      </c>
      <c r="C98" s="66">
        <f>I98</f>
        <v>10000</v>
      </c>
      <c r="D98" s="62"/>
      <c r="E98" s="29"/>
      <c r="F98" s="28"/>
      <c r="G98" s="14"/>
      <c r="H98" t="s">
        <v>52</v>
      </c>
      <c r="I98" s="2">
        <v>10000</v>
      </c>
    </row>
    <row r="99" spans="2:10">
      <c r="B99" s="63" t="s">
        <v>53</v>
      </c>
      <c r="C99" s="66">
        <f>(IF(C16&lt;65,0,IF(C16&lt;75,I99-I98,I100-I98)))</f>
        <v>0</v>
      </c>
      <c r="D99" s="62"/>
      <c r="E99" s="29"/>
      <c r="F99" s="28"/>
      <c r="G99" s="14"/>
      <c r="H99" t="s">
        <v>54</v>
      </c>
      <c r="I99" s="2">
        <v>10500</v>
      </c>
    </row>
    <row r="100" spans="2:10">
      <c r="B100" s="63" t="s">
        <v>55</v>
      </c>
      <c r="C100" s="66">
        <f>IF((C96-I103)&lt;0,0,IF((C96-I103)/2&gt;C99,C99,(C96-I103)/2))</f>
        <v>0</v>
      </c>
      <c r="D100" s="62"/>
      <c r="E100" s="29"/>
      <c r="F100" s="28"/>
      <c r="G100" s="14"/>
      <c r="H100" t="s">
        <v>56</v>
      </c>
      <c r="I100" s="2">
        <v>10660</v>
      </c>
    </row>
    <row r="101" spans="2:10">
      <c r="B101" s="63" t="s">
        <v>57</v>
      </c>
      <c r="C101" s="66">
        <f>C98+C99-C100</f>
        <v>10000</v>
      </c>
      <c r="D101" s="62"/>
      <c r="E101" s="29"/>
      <c r="F101" s="28"/>
      <c r="G101" s="14"/>
    </row>
    <row r="102" spans="2:10">
      <c r="B102" s="63"/>
      <c r="C102" s="66"/>
      <c r="D102" s="62"/>
      <c r="E102" s="29"/>
      <c r="F102" s="28"/>
      <c r="G102" s="14"/>
    </row>
    <row r="103" spans="2:10">
      <c r="B103" s="63"/>
      <c r="C103" s="61"/>
      <c r="D103" s="62"/>
      <c r="E103" s="29"/>
      <c r="F103" s="28"/>
      <c r="G103" s="14"/>
      <c r="H103" t="s">
        <v>58</v>
      </c>
      <c r="I103" s="2">
        <v>27000</v>
      </c>
    </row>
    <row r="104" spans="2:10">
      <c r="B104" s="63" t="s">
        <v>59</v>
      </c>
      <c r="C104" s="95">
        <f>IF((C96-I104)&lt;0,0,IF((C96-I104)/2&gt;C101,C101,(C96-I104)/2))</f>
        <v>0</v>
      </c>
      <c r="D104" s="62"/>
      <c r="E104" s="29"/>
      <c r="F104" s="28"/>
      <c r="G104" s="14"/>
      <c r="H104" t="s">
        <v>60</v>
      </c>
      <c r="I104" s="2">
        <v>100000</v>
      </c>
    </row>
    <row r="105" spans="2:10">
      <c r="B105" s="63"/>
      <c r="C105" s="61"/>
      <c r="D105" s="62"/>
      <c r="E105" s="29"/>
      <c r="F105" s="28"/>
      <c r="G105" s="14"/>
    </row>
    <row r="106" spans="2:10">
      <c r="B106" s="82" t="s">
        <v>61</v>
      </c>
      <c r="C106" s="83">
        <f>FLOOR(C101-C104,1)</f>
        <v>10000</v>
      </c>
      <c r="D106" s="65"/>
      <c r="E106" s="34"/>
      <c r="F106" s="35"/>
      <c r="G106" s="14"/>
    </row>
    <row r="107" spans="2:10">
      <c r="B107" s="82"/>
      <c r="C107" s="83"/>
      <c r="D107" s="65"/>
      <c r="E107" s="34"/>
      <c r="F107" s="35"/>
      <c r="G107" s="14"/>
    </row>
    <row r="108" spans="2:10">
      <c r="B108" s="63"/>
      <c r="C108" s="61"/>
      <c r="D108" s="65"/>
      <c r="E108" s="34"/>
      <c r="F108" s="35"/>
    </row>
    <row r="109" spans="2:10">
      <c r="B109" s="100" t="s">
        <v>7</v>
      </c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 t="s">
        <v>8</v>
      </c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1"/>
      <c r="C111" s="101"/>
      <c r="D111" s="101"/>
      <c r="E111" s="101"/>
      <c r="F111" s="101"/>
      <c r="G111" s="101"/>
      <c r="H111" s="101"/>
      <c r="I111" s="101"/>
      <c r="J111" s="101"/>
    </row>
    <row r="112" spans="2:10">
      <c r="B112" s="102" t="s">
        <v>9</v>
      </c>
      <c r="C112" s="102"/>
      <c r="D112" s="102"/>
      <c r="E112" s="102"/>
      <c r="F112" s="102"/>
      <c r="G112" s="102"/>
      <c r="H112" s="102"/>
      <c r="I112" s="102"/>
      <c r="J112" s="102"/>
    </row>
    <row r="115" spans="2:10">
      <c r="D115"/>
      <c r="E115"/>
      <c r="F115"/>
    </row>
    <row r="116" spans="2:10">
      <c r="B116" s="26" t="s">
        <v>77</v>
      </c>
      <c r="D116"/>
      <c r="E116"/>
      <c r="F116"/>
      <c r="H116" s="26" t="s">
        <v>78</v>
      </c>
    </row>
    <row r="117" spans="2:10">
      <c r="D117"/>
      <c r="E117"/>
      <c r="F117"/>
    </row>
    <row r="118" spans="2:10" ht="15">
      <c r="C118" s="24" t="s">
        <v>66</v>
      </c>
      <c r="D118" s="24" t="s">
        <v>75</v>
      </c>
      <c r="E118"/>
      <c r="F118"/>
      <c r="I118" s="24" t="s">
        <v>76</v>
      </c>
      <c r="J118" s="24" t="s">
        <v>75</v>
      </c>
    </row>
    <row r="119" spans="2:10" ht="15">
      <c r="B119" s="24" t="s">
        <v>31</v>
      </c>
      <c r="D119"/>
      <c r="E119"/>
      <c r="F119"/>
      <c r="H119" s="24" t="s">
        <v>31</v>
      </c>
    </row>
    <row r="120" spans="2:10">
      <c r="B120" t="s">
        <v>70</v>
      </c>
      <c r="C120" s="5" t="s">
        <v>86</v>
      </c>
      <c r="D120" s="59">
        <f>C11</f>
        <v>9943.5856000000003</v>
      </c>
      <c r="E120"/>
      <c r="F120"/>
      <c r="H120" t="s">
        <v>70</v>
      </c>
      <c r="I120" s="5" t="s">
        <v>86</v>
      </c>
      <c r="J120" s="59">
        <f>E11*C2</f>
        <v>5830.7568000000001</v>
      </c>
    </row>
    <row r="121" spans="2:10">
      <c r="B121" t="s">
        <v>62</v>
      </c>
      <c r="C121" s="5" t="s">
        <v>86</v>
      </c>
      <c r="D121" s="59">
        <v>0</v>
      </c>
      <c r="E121"/>
      <c r="F121"/>
      <c r="H121" t="s">
        <v>62</v>
      </c>
      <c r="I121" s="5" t="s">
        <v>86</v>
      </c>
      <c r="J121" s="59">
        <v>0</v>
      </c>
    </row>
    <row r="122" spans="2:10">
      <c r="C122" s="5"/>
      <c r="D122" s="59"/>
      <c r="E122"/>
      <c r="F122"/>
      <c r="I122" s="5"/>
      <c r="J122" s="59"/>
    </row>
    <row r="123" spans="2:10" ht="15">
      <c r="B123" s="24" t="s">
        <v>63</v>
      </c>
      <c r="C123" s="5"/>
      <c r="D123" s="59"/>
      <c r="E123"/>
      <c r="F123"/>
      <c r="H123" s="24" t="s">
        <v>63</v>
      </c>
      <c r="I123" s="5"/>
      <c r="J123" s="59"/>
    </row>
    <row r="124" spans="2:10">
      <c r="B124" t="s">
        <v>71</v>
      </c>
      <c r="C124" s="5" t="s">
        <v>86</v>
      </c>
      <c r="D124" s="59">
        <f>C8</f>
        <v>282.07200000000012</v>
      </c>
      <c r="E124"/>
      <c r="F124"/>
      <c r="H124" t="s">
        <v>71</v>
      </c>
      <c r="I124" s="5" t="s">
        <v>86</v>
      </c>
      <c r="J124" s="59">
        <f>C8*C2</f>
        <v>846.21600000000035</v>
      </c>
    </row>
    <row r="125" spans="2:10">
      <c r="B125" t="s">
        <v>72</v>
      </c>
      <c r="C125" s="5" t="s">
        <v>86</v>
      </c>
      <c r="D125" s="59">
        <f>C9</f>
        <v>245.28000000000006</v>
      </c>
      <c r="E125"/>
      <c r="F125"/>
      <c r="H125" t="s">
        <v>72</v>
      </c>
      <c r="I125" s="5" t="s">
        <v>86</v>
      </c>
      <c r="J125" s="59">
        <f>C9*C2</f>
        <v>735.84000000000015</v>
      </c>
    </row>
    <row r="126" spans="2:10">
      <c r="C126" s="5"/>
      <c r="D126" s="59"/>
      <c r="E126"/>
      <c r="F126"/>
      <c r="I126" s="5"/>
      <c r="J126" s="59"/>
    </row>
    <row r="127" spans="2:10">
      <c r="B127" t="s">
        <v>73</v>
      </c>
      <c r="C127" s="5" t="s">
        <v>86</v>
      </c>
      <c r="D127" s="59">
        <f>E143</f>
        <v>13244.898199999996</v>
      </c>
      <c r="E127"/>
      <c r="F127"/>
      <c r="H127" t="s">
        <v>73</v>
      </c>
      <c r="I127" s="5" t="s">
        <v>86</v>
      </c>
      <c r="J127" s="59">
        <f>J120+J121+J124+J125</f>
        <v>7412.8128000000006</v>
      </c>
    </row>
    <row r="128" spans="2:10">
      <c r="C128" s="5"/>
      <c r="D128" s="59"/>
      <c r="E128"/>
      <c r="F128"/>
      <c r="I128" s="5"/>
      <c r="J128" s="59"/>
    </row>
    <row r="129" spans="2:11">
      <c r="B129" t="s">
        <v>74</v>
      </c>
      <c r="C129" s="5" t="s">
        <v>86</v>
      </c>
      <c r="D129" s="59">
        <f>E142</f>
        <v>46755.101800000004</v>
      </c>
      <c r="E129"/>
      <c r="F129"/>
      <c r="H129" s="5" t="s">
        <v>85</v>
      </c>
      <c r="I129" s="5" t="s">
        <v>89</v>
      </c>
      <c r="J129" s="60">
        <f>E148</f>
        <v>17529.062400000003</v>
      </c>
    </row>
    <row r="130" spans="2:11">
      <c r="D130" s="59"/>
      <c r="E130"/>
      <c r="F130"/>
      <c r="I130" s="5"/>
      <c r="J130" s="59"/>
    </row>
    <row r="131" spans="2:11">
      <c r="D131"/>
      <c r="E131"/>
      <c r="F131"/>
      <c r="H131" t="s">
        <v>84</v>
      </c>
      <c r="I131" s="5" t="s">
        <v>86</v>
      </c>
      <c r="J131" s="59">
        <f>J129*C2</f>
        <v>52587.187200000008</v>
      </c>
    </row>
    <row r="135" spans="2:11" ht="26.25">
      <c r="B135" s="1" t="s">
        <v>0</v>
      </c>
      <c r="D135"/>
      <c r="E135"/>
      <c r="F135"/>
    </row>
    <row r="136" spans="2:11">
      <c r="D136"/>
      <c r="E136"/>
      <c r="F136"/>
    </row>
    <row r="137" spans="2:11">
      <c r="B137" t="s">
        <v>1</v>
      </c>
      <c r="C137" s="2">
        <f>E2</f>
        <v>60000</v>
      </c>
      <c r="D137"/>
      <c r="E137"/>
      <c r="F137"/>
      <c r="G137" s="103" t="s">
        <v>2</v>
      </c>
      <c r="H137" s="103"/>
      <c r="I137" s="103"/>
      <c r="J137" s="103"/>
      <c r="K137" s="103"/>
    </row>
    <row r="138" spans="2:11">
      <c r="B138" s="3" t="s">
        <v>3</v>
      </c>
      <c r="C138" s="4">
        <v>32</v>
      </c>
      <c r="D138"/>
      <c r="E138"/>
      <c r="F138"/>
      <c r="G138" s="103"/>
      <c r="H138" s="103"/>
      <c r="I138" s="103"/>
      <c r="J138" s="103"/>
      <c r="K138" s="103"/>
    </row>
    <row r="139" spans="2:11">
      <c r="D139"/>
      <c r="E139"/>
      <c r="F139"/>
    </row>
    <row r="140" spans="2:11">
      <c r="B140" s="5" t="s">
        <v>82</v>
      </c>
      <c r="D140"/>
      <c r="E140"/>
      <c r="F140"/>
    </row>
    <row r="141" spans="2:11">
      <c r="D141"/>
      <c r="E141"/>
      <c r="F141"/>
    </row>
    <row r="142" spans="2:11">
      <c r="C142" s="5" t="s">
        <v>4</v>
      </c>
      <c r="D142"/>
      <c r="E142" s="6">
        <f>I4</f>
        <v>46755.101800000004</v>
      </c>
      <c r="F142"/>
    </row>
    <row r="143" spans="2:11">
      <c r="C143" s="5" t="s">
        <v>5</v>
      </c>
      <c r="D143"/>
      <c r="E143" s="6">
        <f>C137-E142</f>
        <v>13244.898199999996</v>
      </c>
      <c r="F143"/>
    </row>
    <row r="144" spans="2:11">
      <c r="C144" s="5" t="s">
        <v>6</v>
      </c>
      <c r="D144"/>
      <c r="E144" s="7">
        <f>E143/C137</f>
        <v>0.22074830333333326</v>
      </c>
      <c r="F144"/>
    </row>
    <row r="145" spans="2:6">
      <c r="C145" s="5"/>
      <c r="D145"/>
      <c r="E145" s="7"/>
      <c r="F145"/>
    </row>
    <row r="146" spans="2:6">
      <c r="B146" s="55" t="s">
        <v>83</v>
      </c>
      <c r="C146" s="56"/>
      <c r="D146" s="56"/>
      <c r="E146" s="56"/>
      <c r="F146" s="56"/>
    </row>
    <row r="147" spans="2:6">
      <c r="B147" s="56"/>
      <c r="C147" s="56"/>
      <c r="D147" s="56"/>
      <c r="E147" s="56"/>
      <c r="F147" s="56"/>
    </row>
    <row r="148" spans="2:6">
      <c r="B148" s="56"/>
      <c r="C148" s="55" t="s">
        <v>4</v>
      </c>
      <c r="D148" s="56"/>
      <c r="E148" s="57">
        <f>K4</f>
        <v>17529.062400000003</v>
      </c>
      <c r="F148" s="56"/>
    </row>
    <row r="149" spans="2:6">
      <c r="B149" s="56"/>
      <c r="C149" s="55" t="s">
        <v>5</v>
      </c>
      <c r="D149" s="56"/>
      <c r="E149" s="57">
        <f>K5</f>
        <v>2470.9375999999975</v>
      </c>
      <c r="F149" s="56"/>
    </row>
    <row r="150" spans="2:6">
      <c r="B150" s="56"/>
      <c r="C150" s="55" t="s">
        <v>6</v>
      </c>
      <c r="D150" s="56"/>
      <c r="E150" s="58">
        <f>K6</f>
        <v>0.12354687999999987</v>
      </c>
      <c r="F150" s="56"/>
    </row>
    <row r="151" spans="2:6">
      <c r="C151" s="5"/>
      <c r="D151"/>
      <c r="E151" s="7"/>
      <c r="F151"/>
    </row>
  </sheetData>
  <mergeCells count="5">
    <mergeCell ref="B109:J109"/>
    <mergeCell ref="B110:J110"/>
    <mergeCell ref="B111:J111"/>
    <mergeCell ref="B112:J112"/>
    <mergeCell ref="G137:K138"/>
  </mergeCells>
  <hyperlinks>
    <hyperlink ref="B110" r:id="rId1" display="http://creativecommons.org/licenses/by-nc-sa/2.0/uk/"/>
    <hyperlink ref="G137" r:id="rId2" display="http://paulbanks.org/donate/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L34"/>
  <sheetViews>
    <sheetView workbookViewId="0">
      <selection activeCell="E8" sqref="E8"/>
    </sheetView>
  </sheetViews>
  <sheetFormatPr defaultColWidth="11.5703125" defaultRowHeight="12.75"/>
  <cols>
    <col min="3" max="3" width="19.7109375" customWidth="1"/>
    <col min="4" max="4" width="2.42578125" customWidth="1"/>
  </cols>
  <sheetData>
    <row r="1" spans="2:11" ht="26.25">
      <c r="B1" s="1" t="s">
        <v>0</v>
      </c>
    </row>
    <row r="3" spans="2:11" ht="12.2" customHeight="1">
      <c r="B3" t="s">
        <v>1</v>
      </c>
      <c r="C3" s="2" t="e">
        <f>'Data Entry Page'!#REF!</f>
        <v>#REF!</v>
      </c>
      <c r="G3" s="103" t="s">
        <v>2</v>
      </c>
      <c r="H3" s="103"/>
      <c r="I3" s="103"/>
      <c r="J3" s="103"/>
      <c r="K3" s="103"/>
    </row>
    <row r="4" spans="2:11">
      <c r="B4" s="3" t="s">
        <v>3</v>
      </c>
      <c r="C4" s="4">
        <v>32</v>
      </c>
      <c r="G4" s="103"/>
      <c r="H4" s="103"/>
      <c r="I4" s="103"/>
      <c r="J4" s="103"/>
      <c r="K4" s="103"/>
    </row>
    <row r="6" spans="2:11">
      <c r="B6" s="5" t="s">
        <v>82</v>
      </c>
    </row>
    <row r="8" spans="2:11">
      <c r="C8" s="5" t="s">
        <v>4</v>
      </c>
      <c r="E8" s="6">
        <f>'UK Dividend'!I4</f>
        <v>46755.101800000004</v>
      </c>
    </row>
    <row r="9" spans="2:11">
      <c r="C9" s="5" t="s">
        <v>5</v>
      </c>
      <c r="E9" s="6" t="e">
        <f>$C$3-E8</f>
        <v>#REF!</v>
      </c>
    </row>
    <row r="10" spans="2:11">
      <c r="C10" s="5" t="s">
        <v>6</v>
      </c>
      <c r="E10" s="7" t="e">
        <f>E9/$C$3</f>
        <v>#REF!</v>
      </c>
    </row>
    <row r="11" spans="2:11">
      <c r="C11" s="5"/>
      <c r="E11" s="7"/>
    </row>
    <row r="12" spans="2:11">
      <c r="B12" s="55" t="s">
        <v>83</v>
      </c>
      <c r="C12" s="56"/>
      <c r="D12" s="56"/>
      <c r="E12" s="56"/>
      <c r="F12" s="56"/>
    </row>
    <row r="13" spans="2:11">
      <c r="B13" s="56"/>
      <c r="C13" s="56"/>
      <c r="D13" s="56"/>
      <c r="E13" s="56"/>
      <c r="F13" s="56"/>
    </row>
    <row r="14" spans="2:11">
      <c r="B14" s="56"/>
      <c r="C14" s="55" t="s">
        <v>4</v>
      </c>
      <c r="D14" s="56"/>
      <c r="E14" s="57">
        <f>'UK Dividend'!K4</f>
        <v>17529.062400000003</v>
      </c>
      <c r="F14" s="56"/>
    </row>
    <row r="15" spans="2:11">
      <c r="B15" s="56"/>
      <c r="C15" s="55" t="s">
        <v>5</v>
      </c>
      <c r="D15" s="56"/>
      <c r="E15" s="57">
        <f>'UK Dividend'!K5</f>
        <v>2470.9375999999975</v>
      </c>
      <c r="F15" s="56"/>
    </row>
    <row r="16" spans="2:11">
      <c r="B16" s="56"/>
      <c r="C16" s="55" t="s">
        <v>6</v>
      </c>
      <c r="D16" s="56"/>
      <c r="E16" s="58">
        <f>'UK Dividend'!K6</f>
        <v>0.12354687999999987</v>
      </c>
      <c r="F16" s="56"/>
    </row>
    <row r="17" spans="2:8">
      <c r="C17" s="5"/>
      <c r="E17" s="7"/>
    </row>
    <row r="18" spans="2:8">
      <c r="B18" s="5"/>
    </row>
    <row r="20" spans="2:8">
      <c r="C20" s="5"/>
      <c r="E20" s="6"/>
    </row>
    <row r="21" spans="2:8">
      <c r="C21" s="5"/>
      <c r="E21" s="6"/>
    </row>
    <row r="22" spans="2:8">
      <c r="C22" s="5"/>
      <c r="E22" s="7"/>
    </row>
    <row r="24" spans="2:8">
      <c r="B24" s="5"/>
    </row>
    <row r="26" spans="2:8">
      <c r="C26" s="5"/>
      <c r="E26" s="6"/>
    </row>
    <row r="27" spans="2:8">
      <c r="C27" s="5"/>
      <c r="E27" s="6"/>
    </row>
    <row r="28" spans="2:8">
      <c r="C28" s="5"/>
      <c r="E28" s="7"/>
    </row>
    <row r="31" spans="2:8">
      <c r="B31" s="100" t="s">
        <v>7</v>
      </c>
      <c r="C31" s="100"/>
      <c r="D31" s="100"/>
      <c r="E31" s="100"/>
      <c r="F31" s="100"/>
      <c r="G31" s="100"/>
      <c r="H31" s="100"/>
    </row>
    <row r="32" spans="2:8">
      <c r="B32" s="100" t="s">
        <v>8</v>
      </c>
      <c r="C32" s="100"/>
      <c r="D32" s="100"/>
      <c r="E32" s="100"/>
      <c r="F32" s="100"/>
      <c r="G32" s="100"/>
      <c r="H32" s="100"/>
    </row>
    <row r="33" spans="2:12">
      <c r="B33" s="101"/>
      <c r="C33" s="101"/>
      <c r="D33" s="101"/>
      <c r="E33" s="101"/>
      <c r="F33" s="101"/>
      <c r="G33" s="101"/>
      <c r="H33" s="101"/>
    </row>
    <row r="34" spans="2:12" ht="37.35" customHeight="1">
      <c r="B34" s="104" t="s">
        <v>9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</sheetData>
  <mergeCells count="5">
    <mergeCell ref="G3:K4"/>
    <mergeCell ref="B31:H31"/>
    <mergeCell ref="B32:H32"/>
    <mergeCell ref="B33:H33"/>
    <mergeCell ref="B34:L34"/>
  </mergeCells>
  <hyperlinks>
    <hyperlink ref="G3" r:id="rId1" display="http://paulbanks.org/donate/"/>
    <hyperlink ref="B32" r:id="rId2" display="http://creativecommons.org/licenses/by-nc-sa/2.0/uk/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 Page</vt:lpstr>
      <vt:lpstr>Summary Page</vt:lpstr>
      <vt:lpstr>UK Dividend</vt:lpstr>
      <vt:lpstr>Top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Parsons</dc:creator>
  <cp:lastModifiedBy>mj-user</cp:lastModifiedBy>
  <dcterms:created xsi:type="dcterms:W3CDTF">2014-05-13T15:03:37Z</dcterms:created>
  <dcterms:modified xsi:type="dcterms:W3CDTF">2014-05-14T12:21:36Z</dcterms:modified>
</cp:coreProperties>
</file>