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general\Pro Media\"/>
    </mc:Choice>
  </mc:AlternateContent>
  <bookViews>
    <workbookView xWindow="0" yWindow="0" windowWidth="16170" windowHeight="6135" activeTab="2"/>
  </bookViews>
  <sheets>
    <sheet name="Goodwill" sheetId="1" r:id="rId1"/>
    <sheet name="Incorporation" sheetId="2" r:id="rId2"/>
    <sheet name="Incorporation (2)" sheetId="3" r:id="rId3"/>
  </sheets>
  <definedNames>
    <definedName name="_xlnm.Print_Area" localSheetId="0">Goodwill!$A$1:$M$48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3" l="1"/>
  <c r="K5" i="3"/>
  <c r="C25" i="3"/>
  <c r="E28" i="3"/>
  <c r="E29" i="3"/>
  <c r="E30" i="3"/>
  <c r="D29" i="3"/>
  <c r="C33" i="3"/>
  <c r="E33" i="3"/>
  <c r="E34" i="3"/>
  <c r="D33" i="3"/>
  <c r="D35" i="3"/>
  <c r="H47" i="3"/>
  <c r="F15" i="3"/>
  <c r="P6" i="3"/>
  <c r="P7" i="3"/>
  <c r="G15" i="3"/>
  <c r="Q6" i="3"/>
  <c r="Q7" i="3"/>
  <c r="H15" i="3"/>
  <c r="R6" i="3"/>
  <c r="R7" i="3"/>
  <c r="I15" i="3"/>
  <c r="S6" i="3"/>
  <c r="S7" i="3"/>
  <c r="J15" i="3"/>
  <c r="T6" i="3"/>
  <c r="T7" i="3"/>
  <c r="P8" i="3"/>
  <c r="Q8" i="3"/>
  <c r="R8" i="3"/>
  <c r="S8" i="3"/>
  <c r="T8" i="3"/>
  <c r="P9" i="3"/>
  <c r="Q9" i="3"/>
  <c r="R9" i="3"/>
  <c r="S9" i="3"/>
  <c r="T9" i="3"/>
  <c r="F29" i="3"/>
  <c r="P11" i="3"/>
  <c r="P12" i="3"/>
  <c r="Q11" i="3"/>
  <c r="Q12" i="3"/>
  <c r="R11" i="3"/>
  <c r="R12" i="3"/>
  <c r="S11" i="3"/>
  <c r="S12" i="3"/>
  <c r="T11" i="3"/>
  <c r="T12" i="3"/>
  <c r="P13" i="3"/>
  <c r="Q13" i="3"/>
  <c r="R13" i="3"/>
  <c r="S13" i="3"/>
  <c r="T13" i="3"/>
  <c r="F33" i="3"/>
  <c r="F35" i="3"/>
  <c r="H48" i="3"/>
  <c r="K26" i="3"/>
  <c r="J28" i="3"/>
  <c r="F17" i="3"/>
  <c r="P36" i="3"/>
  <c r="L7" i="3"/>
  <c r="P37" i="3"/>
  <c r="P39" i="3"/>
  <c r="P40" i="3"/>
  <c r="P41" i="3"/>
  <c r="P42" i="3"/>
  <c r="P46" i="3"/>
  <c r="G17" i="3"/>
  <c r="Q36" i="3"/>
  <c r="Q37" i="3"/>
  <c r="Q39" i="3"/>
  <c r="Q40" i="3"/>
  <c r="Q41" i="3"/>
  <c r="Q42" i="3"/>
  <c r="Q46" i="3"/>
  <c r="H17" i="3"/>
  <c r="R36" i="3"/>
  <c r="R46" i="3"/>
  <c r="I17" i="3"/>
  <c r="S36" i="3"/>
  <c r="S46" i="3"/>
  <c r="J17" i="3"/>
  <c r="T36" i="3"/>
  <c r="T46" i="3"/>
  <c r="T47" i="3"/>
  <c r="J29" i="3"/>
  <c r="J35" i="3"/>
  <c r="H50" i="3"/>
  <c r="H52" i="3"/>
  <c r="H54" i="3"/>
  <c r="E63" i="3"/>
  <c r="D63" i="3"/>
  <c r="G60" i="3"/>
  <c r="K17" i="3"/>
  <c r="H32" i="3"/>
  <c r="G25" i="3"/>
  <c r="H28" i="3"/>
  <c r="P20" i="3"/>
  <c r="P21" i="3"/>
  <c r="Q20" i="3"/>
  <c r="Q21" i="3"/>
  <c r="R20" i="3"/>
  <c r="R21" i="3"/>
  <c r="S20" i="3"/>
  <c r="S21" i="3"/>
  <c r="T20" i="3"/>
  <c r="T21" i="3"/>
  <c r="P22" i="3"/>
  <c r="Q22" i="3"/>
  <c r="R22" i="3"/>
  <c r="S22" i="3"/>
  <c r="T22" i="3"/>
  <c r="P23" i="3"/>
  <c r="Q23" i="3"/>
  <c r="R23" i="3"/>
  <c r="S23" i="3"/>
  <c r="T23" i="3"/>
  <c r="H29" i="3"/>
  <c r="P25" i="3"/>
  <c r="P26" i="3"/>
  <c r="Q25" i="3"/>
  <c r="Q26" i="3"/>
  <c r="R25" i="3"/>
  <c r="R26" i="3"/>
  <c r="S25" i="3"/>
  <c r="S26" i="3"/>
  <c r="T25" i="3"/>
  <c r="T26" i="3"/>
  <c r="P27" i="3"/>
  <c r="Q27" i="3"/>
  <c r="R27" i="3"/>
  <c r="S27" i="3"/>
  <c r="T27" i="3"/>
  <c r="H33" i="3"/>
  <c r="H35" i="3"/>
  <c r="H49" i="3"/>
  <c r="F60" i="3"/>
  <c r="E60" i="3"/>
  <c r="D60" i="3"/>
  <c r="T48" i="3"/>
  <c r="S48" i="3"/>
  <c r="R48" i="3"/>
  <c r="Q48" i="3"/>
  <c r="P48" i="3"/>
  <c r="T41" i="3"/>
  <c r="T42" i="3"/>
  <c r="S41" i="3"/>
  <c r="S42" i="3"/>
  <c r="R41" i="3"/>
  <c r="R42" i="3"/>
  <c r="T40" i="3"/>
  <c r="S40" i="3"/>
  <c r="R40" i="3"/>
  <c r="J37" i="3"/>
  <c r="J38" i="3"/>
  <c r="J40" i="3"/>
  <c r="P29" i="3"/>
  <c r="Q29" i="3"/>
  <c r="R29" i="3"/>
  <c r="S29" i="3"/>
  <c r="T29" i="3"/>
  <c r="T30" i="3"/>
  <c r="H37" i="3"/>
  <c r="H38" i="3"/>
  <c r="H40" i="3"/>
  <c r="F37" i="3"/>
  <c r="F38" i="3"/>
  <c r="F40" i="3"/>
  <c r="D37" i="3"/>
  <c r="D38" i="3"/>
  <c r="D40" i="3"/>
  <c r="T39" i="3"/>
  <c r="S39" i="3"/>
  <c r="R39" i="3"/>
  <c r="T37" i="3"/>
  <c r="S37" i="3"/>
  <c r="R37" i="3"/>
  <c r="T35" i="3"/>
  <c r="S35" i="3"/>
  <c r="R35" i="3"/>
  <c r="Q35" i="3"/>
  <c r="P35" i="3"/>
  <c r="E32" i="3"/>
  <c r="T31" i="3"/>
  <c r="S31" i="3"/>
  <c r="R31" i="3"/>
  <c r="Q31" i="3"/>
  <c r="P31" i="3"/>
  <c r="E31" i="3"/>
  <c r="T24" i="3"/>
  <c r="S24" i="3"/>
  <c r="R24" i="3"/>
  <c r="Q24" i="3"/>
  <c r="P24" i="3"/>
  <c r="D21" i="3"/>
  <c r="F20" i="3"/>
  <c r="G20" i="3"/>
  <c r="H20" i="3"/>
  <c r="I20" i="3"/>
  <c r="J20" i="3"/>
  <c r="K20" i="3"/>
  <c r="D20" i="3"/>
  <c r="T19" i="3"/>
  <c r="S19" i="3"/>
  <c r="R19" i="3"/>
  <c r="Q19" i="3"/>
  <c r="P19" i="3"/>
  <c r="F19" i="3"/>
  <c r="G19" i="3"/>
  <c r="H19" i="3"/>
  <c r="I19" i="3"/>
  <c r="J19" i="3"/>
  <c r="K19" i="3"/>
  <c r="P15" i="3"/>
  <c r="F18" i="3"/>
  <c r="Q15" i="3"/>
  <c r="G18" i="3"/>
  <c r="R15" i="3"/>
  <c r="H18" i="3"/>
  <c r="S15" i="3"/>
  <c r="I18" i="3"/>
  <c r="T15" i="3"/>
  <c r="J18" i="3"/>
  <c r="K18" i="3"/>
  <c r="T16" i="3"/>
  <c r="K15" i="3"/>
  <c r="K13" i="3"/>
  <c r="K14" i="3"/>
  <c r="E14" i="3"/>
  <c r="T10" i="3"/>
  <c r="S10" i="3"/>
  <c r="R10" i="3"/>
  <c r="Q10" i="3"/>
  <c r="P10" i="3"/>
  <c r="T5" i="3"/>
  <c r="S5" i="3"/>
  <c r="R5" i="3"/>
  <c r="Q5" i="3"/>
  <c r="P5" i="3"/>
  <c r="K5" i="2"/>
  <c r="F17" i="2"/>
  <c r="P20" i="2"/>
  <c r="P21" i="2"/>
  <c r="Q20" i="2"/>
  <c r="Q21" i="2"/>
  <c r="R20" i="2"/>
  <c r="R21" i="2"/>
  <c r="S20" i="2"/>
  <c r="S21" i="2"/>
  <c r="T20" i="2"/>
  <c r="T21" i="2"/>
  <c r="P22" i="2"/>
  <c r="Q22" i="2"/>
  <c r="R22" i="2"/>
  <c r="S22" i="2"/>
  <c r="T22" i="2"/>
  <c r="P23" i="2"/>
  <c r="Q23" i="2"/>
  <c r="R23" i="2"/>
  <c r="S23" i="2"/>
  <c r="T23" i="2"/>
  <c r="H29" i="2"/>
  <c r="C25" i="2"/>
  <c r="J15" i="2"/>
  <c r="T6" i="2"/>
  <c r="I15" i="2"/>
  <c r="S6" i="2"/>
  <c r="H15" i="2"/>
  <c r="R6" i="2"/>
  <c r="G15" i="2"/>
  <c r="Q6" i="2"/>
  <c r="F15" i="2"/>
  <c r="P6" i="2"/>
  <c r="P36" i="2"/>
  <c r="P37" i="2"/>
  <c r="L7" i="2"/>
  <c r="P40" i="2"/>
  <c r="P41" i="2"/>
  <c r="P42" i="2"/>
  <c r="P39" i="2"/>
  <c r="P46" i="2"/>
  <c r="G17" i="2"/>
  <c r="Q36" i="2"/>
  <c r="Q37" i="2"/>
  <c r="Q40" i="2"/>
  <c r="Q41" i="2"/>
  <c r="Q42" i="2"/>
  <c r="Q39" i="2"/>
  <c r="Q46" i="2"/>
  <c r="H17" i="2"/>
  <c r="R36" i="2"/>
  <c r="R46" i="2"/>
  <c r="I17" i="2"/>
  <c r="S36" i="2"/>
  <c r="S46" i="2"/>
  <c r="J17" i="2"/>
  <c r="T36" i="2"/>
  <c r="T46" i="2"/>
  <c r="T47" i="2"/>
  <c r="J29" i="2"/>
  <c r="K26" i="2"/>
  <c r="J28" i="2"/>
  <c r="J35" i="2"/>
  <c r="H50" i="2"/>
  <c r="P7" i="2"/>
  <c r="P8" i="2"/>
  <c r="P10" i="2"/>
  <c r="P9" i="2"/>
  <c r="Q7" i="2"/>
  <c r="Q8" i="2"/>
  <c r="Q10" i="2"/>
  <c r="Q9" i="2"/>
  <c r="R7" i="2"/>
  <c r="S7" i="2"/>
  <c r="T7" i="2"/>
  <c r="R8" i="2"/>
  <c r="S8" i="2"/>
  <c r="T8" i="2"/>
  <c r="R9" i="2"/>
  <c r="S9" i="2"/>
  <c r="T9" i="2"/>
  <c r="F29" i="2"/>
  <c r="P11" i="2"/>
  <c r="L5" i="2"/>
  <c r="P12" i="2"/>
  <c r="P13" i="2"/>
  <c r="Q11" i="2"/>
  <c r="Q12" i="2"/>
  <c r="Q13" i="2"/>
  <c r="R11" i="2"/>
  <c r="R12" i="2"/>
  <c r="S11" i="2"/>
  <c r="S12" i="2"/>
  <c r="T11" i="2"/>
  <c r="T12" i="2"/>
  <c r="R13" i="2"/>
  <c r="S13" i="2"/>
  <c r="T13" i="2"/>
  <c r="F33" i="2"/>
  <c r="F35" i="2"/>
  <c r="H48" i="2"/>
  <c r="E28" i="2"/>
  <c r="E29" i="2"/>
  <c r="E31" i="2"/>
  <c r="E30" i="2"/>
  <c r="D29" i="2"/>
  <c r="C33" i="2"/>
  <c r="E33" i="2"/>
  <c r="E34" i="2"/>
  <c r="D33" i="2"/>
  <c r="D35" i="2"/>
  <c r="H47" i="2"/>
  <c r="H52" i="2"/>
  <c r="H54" i="2"/>
  <c r="I13" i="1"/>
  <c r="K25" i="1"/>
  <c r="N25" i="1"/>
  <c r="M25" i="1"/>
  <c r="J13" i="1"/>
  <c r="K27" i="1"/>
  <c r="N27" i="1"/>
  <c r="M27" i="1"/>
  <c r="K13" i="1"/>
  <c r="K29" i="1"/>
  <c r="N29" i="1"/>
  <c r="M29" i="1"/>
  <c r="L13" i="1"/>
  <c r="K31" i="1"/>
  <c r="N31" i="1"/>
  <c r="M31" i="1"/>
  <c r="M13" i="1"/>
  <c r="K33" i="1"/>
  <c r="N33" i="1"/>
  <c r="M33" i="1"/>
  <c r="M36" i="1"/>
  <c r="I43" i="1"/>
  <c r="F34" i="1"/>
  <c r="E34" i="1"/>
  <c r="E22" i="1"/>
  <c r="E24" i="1"/>
  <c r="E26" i="1"/>
  <c r="E28" i="1"/>
  <c r="I41" i="1"/>
  <c r="I45" i="1"/>
  <c r="E36" i="1"/>
  <c r="I42" i="1"/>
  <c r="I44" i="1"/>
  <c r="I47" i="1"/>
  <c r="N30" i="1"/>
  <c r="N28" i="1"/>
  <c r="N26" i="1"/>
  <c r="E63" i="2"/>
  <c r="D63" i="2"/>
  <c r="G60" i="2"/>
  <c r="K17" i="2"/>
  <c r="H32" i="2"/>
  <c r="G25" i="2"/>
  <c r="H28" i="2"/>
  <c r="P25" i="2"/>
  <c r="P26" i="2"/>
  <c r="Q25" i="2"/>
  <c r="Q26" i="2"/>
  <c r="R25" i="2"/>
  <c r="R26" i="2"/>
  <c r="S25" i="2"/>
  <c r="S26" i="2"/>
  <c r="T25" i="2"/>
  <c r="T26" i="2"/>
  <c r="P27" i="2"/>
  <c r="Q27" i="2"/>
  <c r="R27" i="2"/>
  <c r="S27" i="2"/>
  <c r="T27" i="2"/>
  <c r="H33" i="2"/>
  <c r="H35" i="2"/>
  <c r="H49" i="2"/>
  <c r="F60" i="2"/>
  <c r="E60" i="2"/>
  <c r="D60" i="2"/>
  <c r="L42" i="1"/>
  <c r="K42" i="1"/>
  <c r="F37" i="2"/>
  <c r="R37" i="2"/>
  <c r="R40" i="2"/>
  <c r="R41" i="2"/>
  <c r="R42" i="2"/>
  <c r="P24" i="2"/>
  <c r="Q29" i="2"/>
  <c r="S29" i="2"/>
  <c r="T29" i="2"/>
  <c r="P29" i="2"/>
  <c r="R29" i="2"/>
  <c r="T30" i="2"/>
  <c r="H37" i="2"/>
  <c r="T37" i="2"/>
  <c r="T40" i="2"/>
  <c r="T41" i="2"/>
  <c r="T42" i="2"/>
  <c r="J37" i="2"/>
  <c r="J38" i="2"/>
  <c r="D21" i="2"/>
  <c r="D37" i="2"/>
  <c r="D38" i="2"/>
  <c r="D40" i="2"/>
  <c r="T39" i="2"/>
  <c r="S39" i="2"/>
  <c r="R39" i="2"/>
  <c r="S41" i="2"/>
  <c r="S42" i="2"/>
  <c r="S40" i="2"/>
  <c r="S37" i="2"/>
  <c r="D20" i="2"/>
  <c r="T24" i="2"/>
  <c r="S24" i="2"/>
  <c r="R24" i="2"/>
  <c r="Q24" i="2"/>
  <c r="T35" i="2"/>
  <c r="S35" i="2"/>
  <c r="R35" i="2"/>
  <c r="Q35" i="2"/>
  <c r="P35" i="2"/>
  <c r="T19" i="2"/>
  <c r="S19" i="2"/>
  <c r="R19" i="2"/>
  <c r="Q19" i="2"/>
  <c r="P19" i="2"/>
  <c r="T5" i="2"/>
  <c r="S5" i="2"/>
  <c r="R5" i="2"/>
  <c r="Q5" i="2"/>
  <c r="P5" i="2"/>
  <c r="R10" i="2"/>
  <c r="T10" i="2"/>
  <c r="S10" i="2"/>
  <c r="K15" i="2"/>
  <c r="E32" i="2"/>
  <c r="E14" i="2"/>
  <c r="K13" i="2"/>
  <c r="K14" i="2"/>
  <c r="N32" i="1"/>
  <c r="N11" i="1"/>
  <c r="N12" i="1"/>
  <c r="F35" i="1"/>
  <c r="J20" i="2"/>
  <c r="I20" i="2"/>
  <c r="Q48" i="2"/>
  <c r="S48" i="2"/>
  <c r="H19" i="2"/>
  <c r="G19" i="2"/>
  <c r="J19" i="2"/>
  <c r="F38" i="2"/>
  <c r="I19" i="2"/>
  <c r="T48" i="2"/>
  <c r="N34" i="1"/>
  <c r="F40" i="2"/>
  <c r="Q31" i="2"/>
  <c r="H20" i="2"/>
  <c r="R48" i="2"/>
  <c r="R15" i="2"/>
  <c r="H18" i="2"/>
  <c r="P15" i="2"/>
  <c r="G20" i="2"/>
  <c r="T15" i="2"/>
  <c r="J18" i="2"/>
  <c r="S15" i="2"/>
  <c r="I18" i="2"/>
  <c r="S31" i="2"/>
  <c r="Q15" i="2"/>
  <c r="G18" i="2"/>
  <c r="R31" i="2"/>
  <c r="T31" i="2"/>
  <c r="H38" i="2"/>
  <c r="F18" i="2"/>
  <c r="K18" i="2"/>
  <c r="T16" i="2"/>
  <c r="F19" i="2"/>
  <c r="K19" i="2"/>
  <c r="H40" i="2"/>
  <c r="P31" i="2"/>
  <c r="J40" i="2"/>
  <c r="P48" i="2"/>
  <c r="F20" i="2"/>
  <c r="K20" i="2"/>
</calcChain>
</file>

<file path=xl/sharedStrings.xml><?xml version="1.0" encoding="utf-8"?>
<sst xmlns="http://schemas.openxmlformats.org/spreadsheetml/2006/main" count="211" uniqueCount="105">
  <si>
    <t>Estimated value for goodwill</t>
  </si>
  <si>
    <t>Number of business owners</t>
  </si>
  <si>
    <t>Goodwill workings compared to dividends</t>
  </si>
  <si>
    <t>Fee is based on</t>
  </si>
  <si>
    <t>of the tax savings gained</t>
  </si>
  <si>
    <t>Existing business commenced post 01/04/2002</t>
  </si>
  <si>
    <t>Yes</t>
  </si>
  <si>
    <t>Capital gain on business transfer</t>
  </si>
  <si>
    <t>Gain before tax due</t>
  </si>
  <si>
    <t>Less annual exemption</t>
  </si>
  <si>
    <t>Gain liable to capital gains tax</t>
  </si>
  <si>
    <t>Possible total tax due on gain</t>
  </si>
  <si>
    <t>Possible tax savings on goodwill being amortised</t>
  </si>
  <si>
    <t>Possible tax savings on goodwill amortised</t>
  </si>
  <si>
    <t>First year savings in the company</t>
  </si>
  <si>
    <t>Goodwill  write off by how many years</t>
  </si>
  <si>
    <t>Partner 1</t>
  </si>
  <si>
    <t>Partner 2</t>
  </si>
  <si>
    <t>Partner 3</t>
  </si>
  <si>
    <t>Partner 4</t>
  </si>
  <si>
    <t>Partner 5</t>
  </si>
  <si>
    <t>Goodwill split</t>
  </si>
  <si>
    <t>Dividend threshold</t>
  </si>
  <si>
    <t>Tax if value of goodwill taken by dividends</t>
  </si>
  <si>
    <t>Corporation tax rate</t>
  </si>
  <si>
    <t>Annual CGT allowance</t>
  </si>
  <si>
    <t>Entrepreneur relief</t>
  </si>
  <si>
    <t>Assumed dividends up to taxable threshold already taken</t>
  </si>
  <si>
    <t>Gross dividend</t>
  </si>
  <si>
    <t>Tax Due</t>
  </si>
  <si>
    <t>No</t>
  </si>
  <si>
    <t>Higher dividend threshold</t>
  </si>
  <si>
    <t xml:space="preserve">Percentage share </t>
  </si>
  <si>
    <t>Data Entry Sections</t>
  </si>
  <si>
    <t>300,001+</t>
  </si>
  <si>
    <t>Main Rate</t>
  </si>
  <si>
    <t>Dividend tax saved on extraction</t>
  </si>
  <si>
    <t>Net savings made</t>
  </si>
  <si>
    <t>BPK fee for capitalisation</t>
  </si>
  <si>
    <t>Total dividend tax if taken as a dividend</t>
  </si>
  <si>
    <t>Cost in C.G.T on business transfer</t>
  </si>
  <si>
    <t>Current entity of the business</t>
  </si>
  <si>
    <t>Sole Trader</t>
  </si>
  <si>
    <t>Partnership</t>
  </si>
  <si>
    <t>Sole Trade</t>
  </si>
  <si>
    <t>Dividends</t>
  </si>
  <si>
    <t xml:space="preserve">Employee's N.I </t>
  </si>
  <si>
    <t>Employer's N.I</t>
  </si>
  <si>
    <t>Corporation Tax</t>
  </si>
  <si>
    <t>Income Tax</t>
  </si>
  <si>
    <t>Tax:</t>
  </si>
  <si>
    <t>National Insurance:</t>
  </si>
  <si>
    <t xml:space="preserve">Employer's </t>
  </si>
  <si>
    <t>Employee's</t>
  </si>
  <si>
    <t>TOTAL TO HMRC</t>
  </si>
  <si>
    <t>Income Tax &amp; N.I</t>
  </si>
  <si>
    <t xml:space="preserve">Number of partners </t>
  </si>
  <si>
    <t>Net Profit before tax</t>
  </si>
  <si>
    <t>2013/14 tax year</t>
  </si>
  <si>
    <t>Salary in Ltd</t>
  </si>
  <si>
    <t>Left in the company</t>
  </si>
  <si>
    <t>AMOUNT RETAINED</t>
  </si>
  <si>
    <t>Total tax as a Partnership</t>
  </si>
  <si>
    <t>Total tax as a Sole Trader</t>
  </si>
  <si>
    <r>
      <t xml:space="preserve">Total </t>
    </r>
    <r>
      <rPr>
        <b/>
        <u/>
        <sz val="12"/>
        <color indexed="8"/>
        <rFont val="Calibri"/>
        <family val="2"/>
      </rPr>
      <t>yearly</t>
    </r>
    <r>
      <rPr>
        <b/>
        <sz val="12"/>
        <color indexed="8"/>
        <rFont val="Calibri"/>
        <family val="2"/>
      </rPr>
      <t xml:space="preserve"> tax savings by changing</t>
    </r>
  </si>
  <si>
    <r>
      <t xml:space="preserve">BPK fee </t>
    </r>
    <r>
      <rPr>
        <b/>
        <i/>
        <sz val="10"/>
        <color indexed="8"/>
        <rFont val="Calibri"/>
        <family val="2"/>
      </rPr>
      <t>(first year only)</t>
    </r>
  </si>
  <si>
    <t>Tax due</t>
  </si>
  <si>
    <t>Taxable (Tax)</t>
  </si>
  <si>
    <t>Taxable (N.I)</t>
  </si>
  <si>
    <t>N.I Due</t>
  </si>
  <si>
    <t>Total Tax (Partnership)</t>
  </si>
  <si>
    <t>Partnership Tax and National Insurance</t>
  </si>
  <si>
    <t>Salary in Limited Co</t>
  </si>
  <si>
    <t>Total Tax (Ltd Co)</t>
  </si>
  <si>
    <t>Salary (Ltd)</t>
  </si>
  <si>
    <t>Net in Pocket</t>
  </si>
  <si>
    <t>Share (Ptrship)</t>
  </si>
  <si>
    <t>Dividends in Limited Co</t>
  </si>
  <si>
    <t>Sole Trader /</t>
  </si>
  <si>
    <t>Taxble (Div's)</t>
  </si>
  <si>
    <t>Tax Credit</t>
  </si>
  <si>
    <t>10% Dividends</t>
  </si>
  <si>
    <t>32.5% Dividends</t>
  </si>
  <si>
    <t>42.5% Dividends</t>
  </si>
  <si>
    <t>Total Tax (Div's)</t>
  </si>
  <si>
    <t>Total tax with Dividends in Ltd Co</t>
  </si>
  <si>
    <t xml:space="preserve">Fee based on </t>
  </si>
  <si>
    <t>of tax saved</t>
  </si>
  <si>
    <t>(First year saving used in BPK fee)</t>
  </si>
  <si>
    <t>Amount to distribute</t>
  </si>
  <si>
    <t>NET IN POCKET</t>
  </si>
  <si>
    <t>Partnership tax &amp; n.i</t>
  </si>
  <si>
    <t>Salary in Ltd tax &amp; n.i</t>
  </si>
  <si>
    <t>Dividend tax</t>
  </si>
  <si>
    <t>Assume minimum salary</t>
  </si>
  <si>
    <t>Total tax with salary in Ltd Co</t>
  </si>
  <si>
    <r>
      <t>Goodwill savings obtained (</t>
    </r>
    <r>
      <rPr>
        <i/>
        <sz val="11"/>
        <color indexed="8"/>
        <rFont val="Calibri"/>
        <family val="2"/>
      </rPr>
      <t>first year)</t>
    </r>
  </si>
  <si>
    <t>Overall savings (all goodwill)</t>
  </si>
  <si>
    <t>Overall Savings</t>
  </si>
  <si>
    <t>Our Fee</t>
  </si>
  <si>
    <t>Tax as Sole Trader</t>
  </si>
  <si>
    <t>Tax as Partnership</t>
  </si>
  <si>
    <t>Tax as Salary in Ltd</t>
  </si>
  <si>
    <t>Tax as Div's in Ltd</t>
  </si>
  <si>
    <t>Total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</si>
</sst>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#,##0_ ;\-#,##0\ "/>
  </numFmts>
  <fonts count="28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12"/>
      <color indexed="8"/>
      <name val="Calibri"/>
      <family val="2"/>
    </font>
    <font>
      <b/>
      <i/>
      <sz val="10"/>
      <color indexed="8"/>
      <name val="Calibri"/>
      <family val="2"/>
    </font>
    <font>
      <i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27893A"/>
      <name val="Calibri"/>
      <family val="2"/>
      <scheme val="minor"/>
    </font>
    <font>
      <sz val="11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i/>
      <sz val="11"/>
      <color rgb="FFFF0000"/>
      <name val="Calibri"/>
      <family val="2"/>
      <scheme val="minor"/>
    </font>
    <font>
      <b/>
      <sz val="11"/>
      <color rgb="FF008000"/>
      <name val="Calibri"/>
      <scheme val="minor"/>
    </font>
    <font>
      <sz val="11"/>
      <color rgb="FF008000"/>
      <name val="Calibri"/>
      <scheme val="minor"/>
    </font>
    <font>
      <i/>
      <sz val="11"/>
      <name val="Calibri"/>
      <scheme val="minor"/>
    </font>
    <font>
      <sz val="11"/>
      <color theme="8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02">
    <xf numFmtId="0" fontId="0" fillId="0" borderId="0" xfId="0"/>
    <xf numFmtId="0" fontId="0" fillId="0" borderId="0" xfId="0" applyFill="1"/>
    <xf numFmtId="0" fontId="9" fillId="0" borderId="0" xfId="0" applyFont="1"/>
    <xf numFmtId="0" fontId="0" fillId="0" borderId="0" xfId="0" applyFill="1" applyProtection="1">
      <protection locked="0"/>
    </xf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7" fillId="2" borderId="0" xfId="0" applyFont="1" applyFill="1" applyAlignment="1" applyProtection="1">
      <protection locked="0"/>
    </xf>
    <xf numFmtId="0" fontId="7" fillId="0" borderId="0" xfId="0" applyFont="1" applyFill="1" applyAlignment="1" applyProtection="1">
      <protection locked="0"/>
    </xf>
    <xf numFmtId="165" fontId="5" fillId="3" borderId="0" xfId="1" applyNumberFormat="1" applyFont="1" applyFill="1" applyBorder="1" applyProtection="1">
      <protection locked="0"/>
    </xf>
    <xf numFmtId="0" fontId="0" fillId="3" borderId="0" xfId="0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0" fillId="3" borderId="0" xfId="0" applyFill="1" applyBorder="1" applyProtection="1">
      <protection locked="0"/>
    </xf>
    <xf numFmtId="9" fontId="6" fillId="0" borderId="0" xfId="0" applyNumberFormat="1" applyFont="1" applyAlignment="1" applyProtection="1">
      <alignment horizontal="center"/>
      <protection locked="0"/>
    </xf>
    <xf numFmtId="9" fontId="0" fillId="2" borderId="0" xfId="0" applyNumberFormat="1" applyFill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165" fontId="0" fillId="2" borderId="0" xfId="0" applyNumberFormat="1" applyFill="1" applyProtection="1">
      <protection locked="0"/>
    </xf>
    <xf numFmtId="49" fontId="0" fillId="2" borderId="1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7" fillId="3" borderId="0" xfId="0" applyFont="1" applyFill="1" applyAlignment="1" applyProtection="1">
      <protection locked="0"/>
    </xf>
    <xf numFmtId="0" fontId="0" fillId="0" borderId="0" xfId="0" applyProtection="1"/>
    <xf numFmtId="0" fontId="0" fillId="0" borderId="0" xfId="0" applyFill="1" applyProtection="1"/>
    <xf numFmtId="0" fontId="9" fillId="0" borderId="0" xfId="0" applyFont="1" applyProtection="1"/>
    <xf numFmtId="0" fontId="7" fillId="0" borderId="0" xfId="0" applyFont="1" applyFill="1" applyAlignment="1" applyProtection="1">
      <alignment horizontal="center"/>
    </xf>
    <xf numFmtId="0" fontId="10" fillId="0" borderId="0" xfId="0" applyFont="1" applyProtection="1"/>
    <xf numFmtId="165" fontId="5" fillId="0" borderId="0" xfId="1" applyNumberFormat="1" applyFont="1" applyProtection="1"/>
    <xf numFmtId="165" fontId="5" fillId="0" borderId="0" xfId="1" applyNumberFormat="1" applyFont="1" applyFill="1" applyProtection="1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165" fontId="5" fillId="0" borderId="0" xfId="1" applyNumberFormat="1" applyFont="1" applyAlignment="1" applyProtection="1">
      <alignment horizontal="center"/>
    </xf>
    <xf numFmtId="165" fontId="5" fillId="0" borderId="2" xfId="1" applyNumberFormat="1" applyFont="1" applyBorder="1" applyProtection="1"/>
    <xf numFmtId="165" fontId="5" fillId="0" borderId="0" xfId="1" applyNumberFormat="1" applyFont="1" applyFill="1" applyBorder="1" applyProtection="1"/>
    <xf numFmtId="0" fontId="11" fillId="0" borderId="0" xfId="0" applyFont="1" applyProtection="1"/>
    <xf numFmtId="0" fontId="7" fillId="0" borderId="0" xfId="0" applyFont="1" applyProtection="1"/>
    <xf numFmtId="165" fontId="7" fillId="0" borderId="3" xfId="1" applyNumberFormat="1" applyFont="1" applyBorder="1" applyProtection="1"/>
    <xf numFmtId="165" fontId="7" fillId="0" borderId="0" xfId="1" applyNumberFormat="1" applyFont="1" applyFill="1" applyBorder="1" applyProtection="1"/>
    <xf numFmtId="0" fontId="0" fillId="0" borderId="0" xfId="0" applyFill="1" applyAlignment="1" applyProtection="1">
      <alignment horizontal="center"/>
    </xf>
    <xf numFmtId="0" fontId="6" fillId="0" borderId="0" xfId="0" applyFont="1" applyFill="1" applyProtection="1"/>
    <xf numFmtId="165" fontId="6" fillId="0" borderId="0" xfId="1" applyNumberFormat="1" applyFont="1" applyFill="1" applyProtection="1"/>
    <xf numFmtId="165" fontId="5" fillId="0" borderId="3" xfId="1" applyNumberFormat="1" applyFont="1" applyBorder="1" applyAlignment="1" applyProtection="1">
      <alignment horizontal="center"/>
    </xf>
    <xf numFmtId="165" fontId="5" fillId="0" borderId="3" xfId="1" applyNumberFormat="1" applyFont="1" applyBorder="1" applyProtection="1"/>
    <xf numFmtId="0" fontId="0" fillId="4" borderId="4" xfId="0" applyFill="1" applyBorder="1" applyProtection="1"/>
    <xf numFmtId="0" fontId="0" fillId="4" borderId="5" xfId="0" applyFill="1" applyBorder="1" applyProtection="1"/>
    <xf numFmtId="0" fontId="0" fillId="4" borderId="6" xfId="0" applyFill="1" applyBorder="1" applyProtection="1"/>
    <xf numFmtId="0" fontId="0" fillId="4" borderId="7" xfId="0" applyFill="1" applyBorder="1" applyProtection="1"/>
    <xf numFmtId="0" fontId="0" fillId="4" borderId="0" xfId="0" applyFill="1" applyBorder="1" applyProtection="1"/>
    <xf numFmtId="165" fontId="12" fillId="4" borderId="8" xfId="0" applyNumberFormat="1" applyFont="1" applyFill="1" applyBorder="1" applyProtection="1"/>
    <xf numFmtId="165" fontId="13" fillId="4" borderId="8" xfId="0" applyNumberFormat="1" applyFont="1" applyFill="1" applyBorder="1" applyProtection="1"/>
    <xf numFmtId="0" fontId="7" fillId="4" borderId="7" xfId="0" applyFont="1" applyFill="1" applyBorder="1" applyProtection="1"/>
    <xf numFmtId="0" fontId="7" fillId="4" borderId="0" xfId="0" applyFont="1" applyFill="1" applyBorder="1" applyProtection="1"/>
    <xf numFmtId="165" fontId="13" fillId="4" borderId="9" xfId="0" applyNumberFormat="1" applyFont="1" applyFill="1" applyBorder="1" applyProtection="1"/>
    <xf numFmtId="0" fontId="0" fillId="4" borderId="8" xfId="0" applyFill="1" applyBorder="1" applyProtection="1"/>
    <xf numFmtId="165" fontId="7" fillId="4" borderId="10" xfId="0" applyNumberFormat="1" applyFont="1" applyFill="1" applyBorder="1" applyProtection="1"/>
    <xf numFmtId="0" fontId="0" fillId="4" borderId="11" xfId="0" applyFill="1" applyBorder="1" applyProtection="1"/>
    <xf numFmtId="0" fontId="0" fillId="4" borderId="12" xfId="0" applyFill="1" applyBorder="1" applyProtection="1"/>
    <xf numFmtId="0" fontId="0" fillId="4" borderId="13" xfId="0" applyFill="1" applyBorder="1" applyProtection="1"/>
    <xf numFmtId="0" fontId="8" fillId="0" borderId="0" xfId="0" applyFont="1"/>
    <xf numFmtId="0" fontId="8" fillId="0" borderId="0" xfId="0" applyFont="1" applyProtection="1">
      <protection locked="0"/>
    </xf>
    <xf numFmtId="0" fontId="12" fillId="0" borderId="0" xfId="0" applyFont="1" applyFill="1" applyAlignment="1" applyProtection="1">
      <protection locked="0"/>
    </xf>
    <xf numFmtId="0" fontId="7" fillId="0" borderId="0" xfId="0" applyFont="1"/>
    <xf numFmtId="167" fontId="5" fillId="0" borderId="0" xfId="1" applyNumberFormat="1" applyFont="1" applyAlignment="1">
      <alignment horizontal="center"/>
    </xf>
    <xf numFmtId="0" fontId="0" fillId="0" borderId="14" xfId="0" applyBorder="1"/>
    <xf numFmtId="0" fontId="0" fillId="0" borderId="15" xfId="0" applyBorder="1"/>
    <xf numFmtId="167" fontId="5" fillId="0" borderId="16" xfId="1" applyNumberFormat="1" applyFont="1" applyBorder="1" applyAlignment="1">
      <alignment horizontal="center"/>
    </xf>
    <xf numFmtId="167" fontId="5" fillId="0" borderId="15" xfId="1" applyNumberFormat="1" applyFont="1" applyBorder="1" applyAlignment="1">
      <alignment horizontal="center"/>
    </xf>
    <xf numFmtId="165" fontId="8" fillId="0" borderId="15" xfId="0" applyNumberFormat="1" applyFont="1" applyBorder="1"/>
    <xf numFmtId="0" fontId="0" fillId="0" borderId="16" xfId="0" applyBorder="1"/>
    <xf numFmtId="3" fontId="0" fillId="0" borderId="0" xfId="0" applyNumberFormat="1" applyFill="1" applyBorder="1" applyAlignment="1">
      <alignment horizontal="center"/>
    </xf>
    <xf numFmtId="0" fontId="7" fillId="2" borderId="1" xfId="0" applyFont="1" applyFill="1" applyBorder="1" applyAlignment="1" applyProtection="1">
      <alignment horizontal="center"/>
      <protection locked="0"/>
    </xf>
    <xf numFmtId="9" fontId="0" fillId="2" borderId="1" xfId="0" applyNumberFormat="1" applyFill="1" applyBorder="1" applyAlignment="1" applyProtection="1">
      <alignment horizontal="center"/>
      <protection locked="0"/>
    </xf>
    <xf numFmtId="164" fontId="5" fillId="0" borderId="0" xfId="1" applyFont="1"/>
    <xf numFmtId="167" fontId="8" fillId="0" borderId="0" xfId="1" applyNumberFormat="1" applyFont="1" applyAlignment="1">
      <alignment horizontal="center"/>
    </xf>
    <xf numFmtId="0" fontId="8" fillId="0" borderId="0" xfId="0" applyFont="1" applyFill="1" applyBorder="1" applyAlignment="1">
      <alignment horizontal="right"/>
    </xf>
    <xf numFmtId="167" fontId="7" fillId="0" borderId="15" xfId="1" applyNumberFormat="1" applyFont="1" applyBorder="1" applyAlignment="1">
      <alignment horizontal="center" vertical="center"/>
    </xf>
    <xf numFmtId="167" fontId="12" fillId="0" borderId="0" xfId="1" applyNumberFormat="1" applyFont="1" applyAlignment="1">
      <alignment horizontal="center" vertical="center"/>
    </xf>
    <xf numFmtId="0" fontId="14" fillId="0" borderId="15" xfId="0" applyFont="1" applyBorder="1" applyAlignment="1">
      <alignment horizontal="center"/>
    </xf>
    <xf numFmtId="167" fontId="15" fillId="0" borderId="15" xfId="1" applyNumberFormat="1" applyFont="1" applyBorder="1" applyAlignment="1">
      <alignment horizontal="center" vertical="center"/>
    </xf>
    <xf numFmtId="0" fontId="0" fillId="5" borderId="0" xfId="0" applyFill="1" applyProtection="1">
      <protection locked="0"/>
    </xf>
    <xf numFmtId="0" fontId="7" fillId="5" borderId="0" xfId="0" applyFont="1" applyFill="1" applyAlignment="1" applyProtection="1">
      <protection locked="0"/>
    </xf>
    <xf numFmtId="0" fontId="0" fillId="5" borderId="0" xfId="0" applyFill="1"/>
    <xf numFmtId="0" fontId="0" fillId="5" borderId="0" xfId="0" applyFill="1" applyAlignment="1">
      <alignment horizontal="right"/>
    </xf>
    <xf numFmtId="0" fontId="7" fillId="5" borderId="0" xfId="0" applyFont="1" applyFill="1" applyBorder="1" applyAlignment="1">
      <alignment horizontal="right"/>
    </xf>
    <xf numFmtId="0" fontId="16" fillId="5" borderId="0" xfId="0" applyFont="1" applyFill="1"/>
    <xf numFmtId="0" fontId="0" fillId="6" borderId="0" xfId="0" applyFill="1" applyBorder="1" applyProtection="1"/>
    <xf numFmtId="167" fontId="5" fillId="6" borderId="4" xfId="1" applyNumberFormat="1" applyFont="1" applyFill="1" applyBorder="1" applyAlignment="1">
      <alignment horizontal="center"/>
    </xf>
    <xf numFmtId="167" fontId="5" fillId="6" borderId="5" xfId="1" applyNumberFormat="1" applyFont="1" applyFill="1" applyBorder="1" applyAlignment="1">
      <alignment horizontal="center"/>
    </xf>
    <xf numFmtId="167" fontId="5" fillId="6" borderId="7" xfId="1" applyNumberFormat="1" applyFont="1" applyFill="1" applyBorder="1" applyAlignment="1">
      <alignment horizontal="center"/>
    </xf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167" fontId="17" fillId="6" borderId="0" xfId="1" applyNumberFormat="1" applyFont="1" applyFill="1" applyBorder="1" applyAlignment="1">
      <alignment horizontal="left"/>
    </xf>
    <xf numFmtId="0" fontId="17" fillId="6" borderId="0" xfId="0" applyFont="1" applyFill="1" applyBorder="1"/>
    <xf numFmtId="167" fontId="18" fillId="6" borderId="0" xfId="1" applyNumberFormat="1" applyFont="1" applyFill="1" applyBorder="1" applyAlignment="1">
      <alignment horizontal="left"/>
    </xf>
    <xf numFmtId="167" fontId="18" fillId="6" borderId="0" xfId="1" applyNumberFormat="1" applyFont="1" applyFill="1" applyBorder="1" applyAlignment="1">
      <alignment horizontal="center"/>
    </xf>
    <xf numFmtId="167" fontId="17" fillId="6" borderId="0" xfId="1" applyNumberFormat="1" applyFont="1" applyFill="1" applyBorder="1" applyAlignment="1">
      <alignment horizontal="center"/>
    </xf>
    <xf numFmtId="167" fontId="19" fillId="6" borderId="3" xfId="1" applyNumberFormat="1" applyFont="1" applyFill="1" applyBorder="1" applyAlignment="1">
      <alignment horizontal="center"/>
    </xf>
    <xf numFmtId="167" fontId="18" fillId="6" borderId="3" xfId="1" applyNumberFormat="1" applyFont="1" applyFill="1" applyBorder="1" applyAlignment="1">
      <alignment horizontal="center"/>
    </xf>
    <xf numFmtId="0" fontId="8" fillId="5" borderId="0" xfId="0" applyFont="1" applyFill="1" applyProtection="1">
      <protection locked="0"/>
    </xf>
    <xf numFmtId="165" fontId="8" fillId="0" borderId="0" xfId="1" applyNumberFormat="1" applyFont="1"/>
    <xf numFmtId="165" fontId="8" fillId="0" borderId="0" xfId="1" applyNumberFormat="1" applyFont="1" applyAlignment="1">
      <alignment horizontal="center"/>
    </xf>
    <xf numFmtId="167" fontId="12" fillId="0" borderId="0" xfId="1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center"/>
    </xf>
    <xf numFmtId="165" fontId="8" fillId="0" borderId="0" xfId="1" applyNumberFormat="1" applyFont="1" applyBorder="1"/>
    <xf numFmtId="0" fontId="8" fillId="0" borderId="0" xfId="0" applyFont="1" applyFill="1"/>
    <xf numFmtId="0" fontId="16" fillId="0" borderId="0" xfId="0" applyFont="1" applyFill="1"/>
    <xf numFmtId="0" fontId="9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9" fontId="6" fillId="0" borderId="0" xfId="0" applyNumberFormat="1" applyFont="1" applyFill="1" applyAlignment="1" applyProtection="1">
      <alignment horizontal="center"/>
      <protection locked="0"/>
    </xf>
    <xf numFmtId="0" fontId="5" fillId="2" borderId="1" xfId="1" applyNumberFormat="1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7" fontId="5" fillId="2" borderId="17" xfId="1" applyNumberFormat="1" applyFont="1" applyFill="1" applyBorder="1" applyAlignment="1" applyProtection="1">
      <alignment horizontal="center"/>
      <protection locked="0"/>
    </xf>
    <xf numFmtId="0" fontId="8" fillId="0" borderId="0" xfId="0" applyFont="1" applyFill="1" applyProtection="1"/>
    <xf numFmtId="0" fontId="8" fillId="0" borderId="0" xfId="0" applyFont="1" applyProtection="1"/>
    <xf numFmtId="165" fontId="8" fillId="0" borderId="0" xfId="1" applyNumberFormat="1" applyFont="1" applyProtection="1"/>
    <xf numFmtId="166" fontId="8" fillId="0" borderId="0" xfId="0" applyNumberFormat="1" applyFont="1" applyProtection="1"/>
    <xf numFmtId="9" fontId="8" fillId="0" borderId="0" xfId="0" applyNumberFormat="1" applyFont="1" applyProtection="1"/>
    <xf numFmtId="0" fontId="20" fillId="0" borderId="0" xfId="0" applyFont="1" applyProtection="1"/>
    <xf numFmtId="0" fontId="8" fillId="0" borderId="0" xfId="0" applyFont="1" applyAlignment="1" applyProtection="1">
      <alignment horizontal="right"/>
    </xf>
    <xf numFmtId="9" fontId="8" fillId="0" borderId="0" xfId="1" applyNumberFormat="1" applyFont="1" applyProtection="1"/>
    <xf numFmtId="0" fontId="12" fillId="0" borderId="0" xfId="0" applyFont="1" applyFill="1" applyAlignment="1" applyProtection="1">
      <alignment horizontal="center"/>
    </xf>
    <xf numFmtId="9" fontId="8" fillId="0" borderId="0" xfId="0" applyNumberFormat="1" applyFont="1" applyFill="1" applyProtection="1"/>
    <xf numFmtId="165" fontId="8" fillId="0" borderId="0" xfId="1" applyNumberFormat="1" applyFont="1" applyFill="1" applyProtection="1"/>
    <xf numFmtId="165" fontId="8" fillId="0" borderId="0" xfId="1" applyNumberFormat="1" applyFont="1" applyAlignment="1">
      <alignment horizontal="center" vertical="center"/>
    </xf>
    <xf numFmtId="164" fontId="8" fillId="0" borderId="0" xfId="0" applyNumberFormat="1" applyFont="1"/>
    <xf numFmtId="9" fontId="9" fillId="2" borderId="1" xfId="2" applyFont="1" applyFill="1" applyBorder="1" applyAlignment="1">
      <alignment horizontal="center"/>
    </xf>
    <xf numFmtId="0" fontId="8" fillId="0" borderId="0" xfId="0" applyFont="1" applyFill="1" applyProtection="1">
      <protection locked="0"/>
    </xf>
    <xf numFmtId="165" fontId="8" fillId="0" borderId="0" xfId="1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8" fillId="0" borderId="0" xfId="0" applyNumberFormat="1" applyFont="1" applyProtection="1">
      <protection locked="0"/>
    </xf>
    <xf numFmtId="0" fontId="20" fillId="0" borderId="0" xfId="0" applyFont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12" fillId="0" borderId="0" xfId="0" applyFont="1" applyFill="1" applyAlignment="1" applyProtection="1">
      <alignment horizontal="center"/>
      <protection locked="0"/>
    </xf>
    <xf numFmtId="165" fontId="8" fillId="0" borderId="0" xfId="0" applyNumberFormat="1" applyFont="1" applyProtection="1"/>
    <xf numFmtId="3" fontId="7" fillId="2" borderId="1" xfId="0" applyNumberFormat="1" applyFont="1" applyFill="1" applyBorder="1" applyAlignment="1">
      <alignment horizontal="center"/>
    </xf>
    <xf numFmtId="0" fontId="7" fillId="5" borderId="0" xfId="0" applyFont="1" applyFill="1" applyAlignment="1">
      <alignment horizontal="right"/>
    </xf>
    <xf numFmtId="3" fontId="5" fillId="5" borderId="0" xfId="1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>
      <alignment horizontal="right"/>
    </xf>
    <xf numFmtId="167" fontId="6" fillId="0" borderId="0" xfId="1" applyNumberFormat="1" applyFont="1" applyAlignment="1">
      <alignment horizontal="center"/>
    </xf>
    <xf numFmtId="0" fontId="6" fillId="0" borderId="0" xfId="0" applyFont="1"/>
    <xf numFmtId="165" fontId="6" fillId="0" borderId="0" xfId="1" applyNumberFormat="1" applyFont="1" applyAlignment="1">
      <alignment horizontal="right"/>
    </xf>
    <xf numFmtId="0" fontId="21" fillId="0" borderId="0" xfId="0" applyFont="1"/>
    <xf numFmtId="0" fontId="22" fillId="0" borderId="0" xfId="0" applyFont="1"/>
    <xf numFmtId="167" fontId="21" fillId="0" borderId="18" xfId="1" applyNumberFormat="1" applyFont="1" applyBorder="1" applyAlignment="1">
      <alignment horizontal="center" vertical="center"/>
    </xf>
    <xf numFmtId="167" fontId="21" fillId="0" borderId="0" xfId="1" applyNumberFormat="1" applyFont="1" applyAlignment="1">
      <alignment horizontal="center" vertical="center"/>
    </xf>
    <xf numFmtId="165" fontId="22" fillId="0" borderId="0" xfId="1" applyNumberFormat="1" applyFont="1"/>
    <xf numFmtId="0" fontId="12" fillId="0" borderId="0" xfId="0" applyFont="1"/>
    <xf numFmtId="167" fontId="12" fillId="0" borderId="18" xfId="1" applyNumberFormat="1" applyFont="1" applyBorder="1" applyAlignment="1">
      <alignment horizontal="center" vertical="center"/>
    </xf>
    <xf numFmtId="0" fontId="8" fillId="0" borderId="0" xfId="0" applyFont="1" applyFill="1" applyAlignment="1" applyProtection="1">
      <alignment horizontal="center"/>
      <protection locked="0"/>
    </xf>
    <xf numFmtId="0" fontId="0" fillId="0" borderId="15" xfId="0" applyBorder="1" applyAlignment="1">
      <alignment horizontal="center"/>
    </xf>
    <xf numFmtId="0" fontId="0" fillId="5" borderId="0" xfId="0" applyFill="1" applyAlignment="1">
      <alignment horizontal="right"/>
    </xf>
    <xf numFmtId="167" fontId="5" fillId="6" borderId="6" xfId="1" applyNumberFormat="1" applyFont="1" applyFill="1" applyBorder="1" applyAlignment="1">
      <alignment horizontal="center"/>
    </xf>
    <xf numFmtId="167" fontId="17" fillId="6" borderId="8" xfId="1" applyNumberFormat="1" applyFont="1" applyFill="1" applyBorder="1" applyAlignment="1">
      <alignment horizontal="center"/>
    </xf>
    <xf numFmtId="167" fontId="19" fillId="6" borderId="8" xfId="1" applyNumberFormat="1" applyFont="1" applyFill="1" applyBorder="1" applyAlignment="1">
      <alignment horizontal="center"/>
    </xf>
    <xf numFmtId="167" fontId="18" fillId="6" borderId="8" xfId="1" applyNumberFormat="1" applyFont="1" applyFill="1" applyBorder="1" applyAlignment="1">
      <alignment horizontal="center"/>
    </xf>
    <xf numFmtId="0" fontId="0" fillId="0" borderId="0" xfId="0" applyFill="1" applyBorder="1"/>
    <xf numFmtId="0" fontId="10" fillId="4" borderId="7" xfId="0" applyFont="1" applyFill="1" applyBorder="1" applyProtection="1"/>
    <xf numFmtId="0" fontId="10" fillId="4" borderId="0" xfId="0" applyFont="1" applyFill="1" applyBorder="1" applyProtection="1"/>
    <xf numFmtId="165" fontId="23" fillId="4" borderId="8" xfId="0" applyNumberFormat="1" applyFont="1" applyFill="1" applyBorder="1" applyProtection="1"/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165" fontId="6" fillId="0" borderId="0" xfId="0" applyNumberFormat="1" applyFont="1" applyAlignment="1" applyProtection="1">
      <alignment horizontal="center"/>
    </xf>
    <xf numFmtId="165" fontId="6" fillId="0" borderId="0" xfId="1" applyNumberFormat="1" applyFont="1" applyProtection="1"/>
    <xf numFmtId="165" fontId="6" fillId="0" borderId="0" xfId="1" applyNumberFormat="1" applyFont="1" applyFill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165" fontId="8" fillId="0" borderId="0" xfId="1" applyNumberFormat="1" applyFont="1" applyAlignment="1" applyProtection="1">
      <alignment horizontal="right"/>
    </xf>
    <xf numFmtId="165" fontId="8" fillId="0" borderId="0" xfId="1" applyNumberFormat="1" applyFont="1" applyAlignment="1">
      <alignment horizontal="right"/>
    </xf>
    <xf numFmtId="165" fontId="8" fillId="0" borderId="0" xfId="1" applyNumberFormat="1" applyFont="1" applyFill="1" applyBorder="1" applyAlignment="1" applyProtection="1">
      <alignment horizontal="right"/>
      <protection locked="0"/>
    </xf>
    <xf numFmtId="165" fontId="8" fillId="0" borderId="2" xfId="1" applyNumberFormat="1" applyFont="1" applyBorder="1"/>
    <xf numFmtId="165" fontId="8" fillId="0" borderId="0" xfId="0" applyNumberFormat="1" applyFont="1"/>
    <xf numFmtId="164" fontId="8" fillId="0" borderId="0" xfId="1" applyNumberFormat="1" applyFont="1" applyFill="1" applyAlignment="1">
      <alignment horizontal="center"/>
    </xf>
    <xf numFmtId="164" fontId="8" fillId="0" borderId="0" xfId="1" applyNumberFormat="1" applyFont="1"/>
    <xf numFmtId="9" fontId="8" fillId="0" borderId="0" xfId="0" applyNumberFormat="1" applyFont="1"/>
    <xf numFmtId="164" fontId="8" fillId="0" borderId="0" xfId="1" applyNumberFormat="1" applyFont="1" applyAlignment="1">
      <alignment horizontal="center"/>
    </xf>
    <xf numFmtId="167" fontId="6" fillId="0" borderId="0" xfId="0" applyNumberFormat="1" applyFont="1"/>
    <xf numFmtId="0" fontId="24" fillId="5" borderId="0" xfId="0" applyFont="1" applyFill="1" applyAlignment="1">
      <alignment horizontal="right"/>
    </xf>
    <xf numFmtId="167" fontId="24" fillId="5" borderId="0" xfId="0" applyNumberFormat="1" applyFont="1" applyFill="1" applyAlignment="1" applyProtection="1">
      <alignment horizontal="center"/>
      <protection locked="0"/>
    </xf>
    <xf numFmtId="3" fontId="24" fillId="5" borderId="0" xfId="0" applyNumberFormat="1" applyFont="1" applyFill="1" applyAlignment="1">
      <alignment horizontal="center"/>
    </xf>
    <xf numFmtId="167" fontId="24" fillId="5" borderId="0" xfId="0" applyNumberFormat="1" applyFont="1" applyFill="1" applyAlignment="1">
      <alignment horizontal="center"/>
    </xf>
    <xf numFmtId="165" fontId="6" fillId="0" borderId="0" xfId="1" applyNumberFormat="1" applyFont="1" applyFill="1"/>
    <xf numFmtId="0" fontId="6" fillId="0" borderId="0" xfId="0" applyFont="1" applyFill="1"/>
    <xf numFmtId="164" fontId="6" fillId="0" borderId="0" xfId="0" applyNumberFormat="1" applyFont="1"/>
    <xf numFmtId="165" fontId="6" fillId="0" borderId="0" xfId="0" applyNumberFormat="1" applyFont="1" applyAlignment="1">
      <alignment horizontal="center"/>
    </xf>
    <xf numFmtId="165" fontId="6" fillId="0" borderId="0" xfId="1" applyNumberFormat="1" applyFont="1"/>
    <xf numFmtId="165" fontId="6" fillId="0" borderId="0" xfId="1" applyNumberFormat="1" applyFont="1" applyBorder="1" applyAlignment="1">
      <alignment horizontal="center"/>
    </xf>
    <xf numFmtId="165" fontId="6" fillId="0" borderId="0" xfId="1" applyNumberFormat="1" applyFont="1" applyAlignment="1">
      <alignment horizontal="center"/>
    </xf>
    <xf numFmtId="3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24" fillId="3" borderId="0" xfId="0" applyFont="1" applyFill="1" applyAlignment="1">
      <alignment horizontal="right"/>
    </xf>
    <xf numFmtId="0" fontId="8" fillId="3" borderId="0" xfId="0" applyFont="1" applyFill="1" applyBorder="1" applyAlignment="1">
      <alignment horizontal="right"/>
    </xf>
    <xf numFmtId="0" fontId="8" fillId="3" borderId="0" xfId="0" applyFont="1" applyFill="1"/>
    <xf numFmtId="165" fontId="26" fillId="0" borderId="0" xfId="1" applyNumberFormat="1" applyFont="1" applyProtection="1">
      <protection locked="0"/>
    </xf>
    <xf numFmtId="166" fontId="26" fillId="0" borderId="0" xfId="0" applyNumberFormat="1" applyFont="1" applyProtection="1">
      <protection locked="0"/>
    </xf>
    <xf numFmtId="166" fontId="26" fillId="0" borderId="0" xfId="0" applyNumberFormat="1" applyFont="1" applyProtection="1"/>
    <xf numFmtId="167" fontId="27" fillId="0" borderId="15" xfId="1" applyNumberFormat="1" applyFont="1" applyBorder="1" applyAlignment="1">
      <alignment horizontal="center"/>
    </xf>
    <xf numFmtId="0" fontId="18" fillId="7" borderId="0" xfId="0" applyFont="1" applyFill="1" applyAlignment="1" applyProtection="1">
      <alignment horizontal="center"/>
    </xf>
    <xf numFmtId="0" fontId="17" fillId="7" borderId="0" xfId="0" applyFont="1" applyFill="1" applyAlignment="1" applyProtection="1">
      <alignment horizontal="center"/>
    </xf>
    <xf numFmtId="0" fontId="0" fillId="3" borderId="0" xfId="0" applyFill="1" applyAlignment="1" applyProtection="1">
      <alignment horizontal="right"/>
      <protection locked="0"/>
    </xf>
    <xf numFmtId="0" fontId="0" fillId="3" borderId="19" xfId="0" applyFill="1" applyBorder="1" applyAlignment="1" applyProtection="1">
      <alignment horizontal="right"/>
      <protection locked="0"/>
    </xf>
    <xf numFmtId="0" fontId="11" fillId="3" borderId="0" xfId="0" applyFont="1" applyFill="1" applyAlignment="1" applyProtection="1">
      <alignment horizontal="right"/>
      <protection locked="0"/>
    </xf>
    <xf numFmtId="0" fontId="12" fillId="0" borderId="0" xfId="0" applyFont="1" applyBorder="1" applyAlignment="1" applyProtection="1">
      <alignment horizontal="center"/>
    </xf>
    <xf numFmtId="0" fontId="12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C5FFF4"/>
      </font>
      <fill>
        <patternFill patternType="solid">
          <fgColor indexed="64"/>
          <bgColor rgb="FFDCFFF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6FFF7"/>
      </font>
      <fill>
        <patternFill patternType="solid">
          <fgColor indexed="64"/>
          <bgColor rgb="FFE1FFF7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5FFF4"/>
      </font>
      <fill>
        <patternFill patternType="solid">
          <fgColor indexed="64"/>
          <bgColor rgb="FFDCFFF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6FFF7"/>
      </font>
      <fill>
        <patternFill patternType="solid">
          <fgColor indexed="64"/>
          <bgColor rgb="FFE1FFF7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333333333333298E-2"/>
          <c:y val="6.9444444444444406E-2"/>
          <c:w val="0.70476421697287805"/>
          <c:h val="0.89814814814814803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F80CD"/>
                </a:gs>
                <a:gs pos="100000">
                  <a:srgbClr val="9BC1FF"/>
                </a:gs>
              </a:gsLst>
              <a:lin ang="162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</c:dPt>
          <c:dPt>
            <c:idx val="1"/>
            <c:bubble3D val="0"/>
            <c:spPr>
              <a:gradFill rotWithShape="0">
                <a:gsLst>
                  <a:gs pos="0">
                    <a:srgbClr val="D1403C"/>
                  </a:gs>
                  <a:gs pos="100000">
                    <a:srgbClr val="FF9A99"/>
                  </a:gs>
                </a:gsLst>
                <a:lin ang="162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Goodwill!$K$41:$L$41</c:f>
              <c:strCache>
                <c:ptCount val="2"/>
                <c:pt idx="0">
                  <c:v>Overall Savings</c:v>
                </c:pt>
                <c:pt idx="1">
                  <c:v>Our Fee</c:v>
                </c:pt>
              </c:strCache>
            </c:strRef>
          </c:cat>
          <c:val>
            <c:numRef>
              <c:f>Goodwill!$K$42:$L$42</c:f>
              <c:numCache>
                <c:formatCode>_-* #,##0_-;\-* #,##0_-;_-* "-"??_-;_-@_-</c:formatCode>
                <c:ptCount val="2"/>
                <c:pt idx="0">
                  <c:v>45929.999999999993</c:v>
                </c:pt>
                <c:pt idx="1">
                  <c:v>4685.9999999999991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gradFill rotWithShape="0">
              <a:gsLst>
                <a:gs pos="0">
                  <a:srgbClr val="3F80CD"/>
                </a:gs>
                <a:gs pos="100000">
                  <a:srgbClr val="9BC1FF"/>
                </a:gs>
              </a:gsLst>
              <a:lin ang="162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</c:dPt>
          <c:dPt>
            <c:idx val="1"/>
            <c:bubble3D val="0"/>
            <c:spPr>
              <a:gradFill rotWithShape="0">
                <a:gsLst>
                  <a:gs pos="0">
                    <a:srgbClr val="D1403C"/>
                  </a:gs>
                  <a:gs pos="100000">
                    <a:srgbClr val="FF9A99"/>
                  </a:gs>
                </a:gsLst>
                <a:lin ang="162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Goodwill!$K$41:$L$41</c:f>
              <c:strCache>
                <c:ptCount val="2"/>
                <c:pt idx="0">
                  <c:v>Overall Savings</c:v>
                </c:pt>
                <c:pt idx="1">
                  <c:v>Our Fee</c:v>
                </c:pt>
              </c:strCache>
            </c:strRef>
          </c:cat>
          <c:val>
            <c:numRef>
              <c:f>Goodwill!$K$42:$L$42</c:f>
              <c:numCache>
                <c:formatCode>_-* #,##0_-;\-* #,##0_-;_-* "-"??_-;_-@_-</c:formatCode>
                <c:ptCount val="2"/>
                <c:pt idx="0">
                  <c:v>45929.999999999993</c:v>
                </c:pt>
                <c:pt idx="1">
                  <c:v>4685.9999999999991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777777777777801E-2"/>
          <c:y val="2.7777777777777801E-2"/>
          <c:w val="0.66233377077865296"/>
          <c:h val="0.89814814814814803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explosion val="19"/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</c:dPt>
          <c:dPt>
            <c:idx val="2"/>
            <c:bubble3D val="0"/>
            <c:explosion val="21"/>
            <c:spPr>
              <a:solidFill>
                <a:srgbClr val="9BBB59"/>
              </a:solidFill>
              <a:ln w="25400">
                <a:noFill/>
              </a:ln>
            </c:spPr>
          </c:dPt>
          <c:dPt>
            <c:idx val="3"/>
            <c:bubble3D val="0"/>
            <c:explosion val="21"/>
            <c:spPr>
              <a:solidFill>
                <a:srgbClr val="8064A2"/>
              </a:solidFill>
              <a:ln w="25400">
                <a:noFill/>
              </a:ln>
            </c:spPr>
          </c:dPt>
          <c:cat>
            <c:strRef>
              <c:f>Incorporation!$D$59:$G$59</c:f>
              <c:strCache>
                <c:ptCount val="4"/>
                <c:pt idx="0">
                  <c:v>Tax as Sole Trader</c:v>
                </c:pt>
                <c:pt idx="1">
                  <c:v>Tax as Partnership</c:v>
                </c:pt>
                <c:pt idx="2">
                  <c:v>Tax as Salary in Ltd</c:v>
                </c:pt>
                <c:pt idx="3">
                  <c:v>Tax as Div's in Ltd</c:v>
                </c:pt>
              </c:strCache>
            </c:strRef>
          </c:cat>
          <c:val>
            <c:numRef>
              <c:f>Incorporation!$D$60:$G$60</c:f>
              <c:numCache>
                <c:formatCode>#,##0_ ;\-#,##0\ </c:formatCode>
                <c:ptCount val="4"/>
                <c:pt idx="0">
                  <c:v>17225.560000000001</c:v>
                </c:pt>
                <c:pt idx="1">
                  <c:v>0</c:v>
                </c:pt>
                <c:pt idx="2">
                  <c:v>11503.641599999999</c:v>
                </c:pt>
                <c:pt idx="3">
                  <c:v>10460.800000000001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029082345858199"/>
          <c:y val="0.32178237267363802"/>
          <c:w val="0.22572802157917399"/>
          <c:h val="0.3564358589615679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83"/>
      <c:rotY val="20"/>
      <c:depthPercent val="100"/>
      <c:rAngAx val="0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Incorporation!$D$59:$G$59</c:f>
              <c:strCache>
                <c:ptCount val="4"/>
                <c:pt idx="0">
                  <c:v>Tax as Sole Trader</c:v>
                </c:pt>
                <c:pt idx="1">
                  <c:v>Tax as Partnership</c:v>
                </c:pt>
                <c:pt idx="2">
                  <c:v>Tax as Salary in Ltd</c:v>
                </c:pt>
                <c:pt idx="3">
                  <c:v>Tax as Div's in Ltd</c:v>
                </c:pt>
              </c:strCache>
            </c:strRef>
          </c:cat>
          <c:val>
            <c:numRef>
              <c:f>Incorporation!$D$60:$G$60</c:f>
              <c:numCache>
                <c:formatCode>#,##0_ ;\-#,##0\ </c:formatCode>
                <c:ptCount val="4"/>
                <c:pt idx="0">
                  <c:v>17225.560000000001</c:v>
                </c:pt>
                <c:pt idx="1">
                  <c:v>0</c:v>
                </c:pt>
                <c:pt idx="2">
                  <c:v>11503.641599999999</c:v>
                </c:pt>
                <c:pt idx="3">
                  <c:v>10460.800000000001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4594128"/>
        <c:axId val="114592952"/>
        <c:axId val="0"/>
      </c:bar3DChart>
      <c:catAx>
        <c:axId val="114594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592952"/>
        <c:crosses val="autoZero"/>
        <c:auto val="1"/>
        <c:lblAlgn val="ctr"/>
        <c:lblOffset val="100"/>
        <c:noMultiLvlLbl val="0"/>
      </c:catAx>
      <c:valAx>
        <c:axId val="1145929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,##0_ ;\-#,##0\ 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594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374593247945597"/>
          <c:y val="0.45544581978422499"/>
          <c:w val="0.11192200815226799"/>
          <c:h val="8.9108964740391899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Incorporation!$D$62:$E$62</c:f>
              <c:strCache>
                <c:ptCount val="2"/>
                <c:pt idx="0">
                  <c:v>Total savings</c:v>
                </c:pt>
                <c:pt idx="1">
                  <c:v>Our Fee</c:v>
                </c:pt>
              </c:strCache>
            </c:strRef>
          </c:cat>
          <c:val>
            <c:numRef>
              <c:f>Incorporation!$D$63:$E$63</c:f>
              <c:numCache>
                <c:formatCode>#,##0_ ;\-#,##0\ </c:formatCode>
                <c:ptCount val="2"/>
                <c:pt idx="0">
                  <c:v>6764.76</c:v>
                </c:pt>
                <c:pt idx="1">
                  <c:v>1352.9520000000002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14596088"/>
        <c:axId val="114596480"/>
        <c:axId val="0"/>
      </c:bar3DChart>
      <c:catAx>
        <c:axId val="11459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596480"/>
        <c:crosses val="autoZero"/>
        <c:auto val="1"/>
        <c:lblAlgn val="ctr"/>
        <c:lblOffset val="100"/>
        <c:noMultiLvlLbl val="0"/>
      </c:catAx>
      <c:valAx>
        <c:axId val="114596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,##0_ ;\-#,##0\ 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4596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131284534571095"/>
          <c:y val="0.45273604345457602"/>
          <c:w val="0.11192200815226799"/>
          <c:h val="8.95521844195864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777777777777801E-2"/>
          <c:y val="2.7777777777777801E-2"/>
          <c:w val="0.66233377077865296"/>
          <c:h val="0.89814814814814803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explosion val="19"/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</c:dPt>
          <c:dPt>
            <c:idx val="2"/>
            <c:bubble3D val="0"/>
            <c:explosion val="21"/>
            <c:spPr>
              <a:solidFill>
                <a:srgbClr val="9BBB59"/>
              </a:solidFill>
              <a:ln w="25400">
                <a:noFill/>
              </a:ln>
            </c:spPr>
          </c:dPt>
          <c:dPt>
            <c:idx val="3"/>
            <c:bubble3D val="0"/>
            <c:explosion val="21"/>
            <c:spPr>
              <a:solidFill>
                <a:srgbClr val="8064A2"/>
              </a:solidFill>
              <a:ln w="25400">
                <a:noFill/>
              </a:ln>
            </c:spPr>
          </c:dPt>
          <c:cat>
            <c:strRef>
              <c:f>'Incorporation (2)'!$D$59:$G$59</c:f>
              <c:strCache>
                <c:ptCount val="4"/>
                <c:pt idx="0">
                  <c:v>Tax as Sole Trader</c:v>
                </c:pt>
                <c:pt idx="1">
                  <c:v>Tax as Partnership</c:v>
                </c:pt>
                <c:pt idx="2">
                  <c:v>Tax as Salary in Ltd</c:v>
                </c:pt>
                <c:pt idx="3">
                  <c:v>Tax as Div's in Ltd</c:v>
                </c:pt>
              </c:strCache>
            </c:strRef>
          </c:cat>
          <c:val>
            <c:numRef>
              <c:f>'Incorporation (2)'!$D$60:$G$60</c:f>
              <c:numCache>
                <c:formatCode>#,##0_ ;\-#,##0\ </c:formatCode>
                <c:ptCount val="4"/>
                <c:pt idx="0">
                  <c:v>0</c:v>
                </c:pt>
                <c:pt idx="1">
                  <c:v>11967.92</c:v>
                </c:pt>
                <c:pt idx="2">
                  <c:v>14367.475200000001</c:v>
                </c:pt>
                <c:pt idx="3">
                  <c:v>8817.6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029082345858199"/>
          <c:y val="0.32178237267363802"/>
          <c:w val="0.22572802157917399"/>
          <c:h val="0.3564358589615679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83"/>
      <c:rotY val="20"/>
      <c:depthPercent val="100"/>
      <c:rAngAx val="0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'Incorporation (2)'!$D$59:$G$59</c:f>
              <c:strCache>
                <c:ptCount val="4"/>
                <c:pt idx="0">
                  <c:v>Tax as Sole Trader</c:v>
                </c:pt>
                <c:pt idx="1">
                  <c:v>Tax as Partnership</c:v>
                </c:pt>
                <c:pt idx="2">
                  <c:v>Tax as Salary in Ltd</c:v>
                </c:pt>
                <c:pt idx="3">
                  <c:v>Tax as Div's in Ltd</c:v>
                </c:pt>
              </c:strCache>
            </c:strRef>
          </c:cat>
          <c:val>
            <c:numRef>
              <c:f>'Incorporation (2)'!$D$60:$G$60</c:f>
              <c:numCache>
                <c:formatCode>#,##0_ ;\-#,##0\ </c:formatCode>
                <c:ptCount val="4"/>
                <c:pt idx="0">
                  <c:v>0</c:v>
                </c:pt>
                <c:pt idx="1">
                  <c:v>11967.92</c:v>
                </c:pt>
                <c:pt idx="2">
                  <c:v>14367.475200000001</c:v>
                </c:pt>
                <c:pt idx="3">
                  <c:v>8817.6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79421872"/>
        <c:axId val="479422264"/>
        <c:axId val="0"/>
      </c:bar3DChart>
      <c:catAx>
        <c:axId val="47942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79422264"/>
        <c:crosses val="autoZero"/>
        <c:auto val="1"/>
        <c:lblAlgn val="ctr"/>
        <c:lblOffset val="100"/>
        <c:noMultiLvlLbl val="0"/>
      </c:catAx>
      <c:valAx>
        <c:axId val="47942226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,##0_ ;\-#,##0\ 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79421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374593247945597"/>
          <c:y val="0.45544581978422499"/>
          <c:w val="0.11192200815226799"/>
          <c:h val="8.9108964740391899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'Incorporation (2)'!$D$62:$E$62</c:f>
              <c:strCache>
                <c:ptCount val="2"/>
                <c:pt idx="0">
                  <c:v>Total savings</c:v>
                </c:pt>
                <c:pt idx="1">
                  <c:v>Our Fee</c:v>
                </c:pt>
              </c:strCache>
            </c:strRef>
          </c:cat>
          <c:val>
            <c:numRef>
              <c:f>'Incorporation (2)'!$D$63:$E$63</c:f>
              <c:numCache>
                <c:formatCode>#,##0_ ;\-#,##0\ </c:formatCode>
                <c:ptCount val="2"/>
                <c:pt idx="0">
                  <c:v>3150.3199999999997</c:v>
                </c:pt>
                <c:pt idx="1">
                  <c:v>630.06399999999996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479422656"/>
        <c:axId val="479423832"/>
        <c:axId val="0"/>
      </c:bar3DChart>
      <c:catAx>
        <c:axId val="47942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79423832"/>
        <c:crosses val="autoZero"/>
        <c:auto val="1"/>
        <c:lblAlgn val="ctr"/>
        <c:lblOffset val="100"/>
        <c:noMultiLvlLbl val="0"/>
      </c:catAx>
      <c:valAx>
        <c:axId val="4794238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,##0_ ;\-#,##0\ 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79422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131284534571095"/>
          <c:y val="0.45273604345457602"/>
          <c:w val="0.11192200815226799"/>
          <c:h val="8.95521844195864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file://localhost/%5C%5Ccid%5Cimage001.jpg@01CD2A24.1F7F5440" TargetMode="External"/><Relationship Id="rId1" Type="http://schemas.openxmlformats.org/officeDocument/2006/relationships/image" Target="../media/image1.jpe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file://localhost/%5C%5Ccid%5Cimage001.jpg@01CD2A24.1F7F5440" TargetMode="External"/><Relationship Id="rId1" Type="http://schemas.openxmlformats.org/officeDocument/2006/relationships/image" Target="../media/image1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file://localhost/%5C%5Ccid%5Cimage001.jpg@01CD2A24.1F7F5440" TargetMode="External"/><Relationship Id="rId1" Type="http://schemas.openxmlformats.org/officeDocument/2006/relationships/image" Target="../media/image1.jpe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4</xdr:col>
      <xdr:colOff>12700</xdr:colOff>
      <xdr:row>6</xdr:row>
      <xdr:rowOff>50800</xdr:rowOff>
    </xdr:to>
    <xdr:pic>
      <xdr:nvPicPr>
        <xdr:cNvPr id="1226" name="Picture 1" descr="Description: Description: Description: C:\Users\Denese\AppData\Local\Microsoft\Windows\Temporary Internet Files\Content.Word\logo.jp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4127500" cy="111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88901</xdr:colOff>
      <xdr:row>51</xdr:row>
      <xdr:rowOff>50800</xdr:rowOff>
    </xdr:from>
    <xdr:to>
      <xdr:col>5</xdr:col>
      <xdr:colOff>268942</xdr:colOff>
      <xdr:row>65</xdr:row>
      <xdr:rowOff>127000</xdr:rowOff>
    </xdr:to>
    <xdr:graphicFrame macro="">
      <xdr:nvGraphicFramePr>
        <xdr:cNvPr id="12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51</xdr:row>
      <xdr:rowOff>127000</xdr:rowOff>
    </xdr:from>
    <xdr:to>
      <xdr:col>11</xdr:col>
      <xdr:colOff>914400</xdr:colOff>
      <xdr:row>66</xdr:row>
      <xdr:rowOff>12700</xdr:rowOff>
    </xdr:to>
    <xdr:graphicFrame macro="">
      <xdr:nvGraphicFramePr>
        <xdr:cNvPr id="12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4</xdr:col>
      <xdr:colOff>254000</xdr:colOff>
      <xdr:row>7</xdr:row>
      <xdr:rowOff>50800</xdr:rowOff>
    </xdr:to>
    <xdr:pic>
      <xdr:nvPicPr>
        <xdr:cNvPr id="2298" name="Picture 1" descr="Description: Description: Description: C:\Users\Denese\AppData\Local\Microsoft\Windows\Temporary Internet Files\Content.Word\logo.jp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38989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1244600</xdr:colOff>
      <xdr:row>66</xdr:row>
      <xdr:rowOff>76200</xdr:rowOff>
    </xdr:from>
    <xdr:to>
      <xdr:col>10</xdr:col>
      <xdr:colOff>431800</xdr:colOff>
      <xdr:row>80</xdr:row>
      <xdr:rowOff>152400</xdr:rowOff>
    </xdr:to>
    <xdr:graphicFrame macro="">
      <xdr:nvGraphicFramePr>
        <xdr:cNvPr id="229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66</xdr:row>
      <xdr:rowOff>76200</xdr:rowOff>
    </xdr:from>
    <xdr:to>
      <xdr:col>16</xdr:col>
      <xdr:colOff>596900</xdr:colOff>
      <xdr:row>80</xdr:row>
      <xdr:rowOff>152400</xdr:rowOff>
    </xdr:to>
    <xdr:graphicFrame macro="">
      <xdr:nvGraphicFramePr>
        <xdr:cNvPr id="230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850900</xdr:colOff>
      <xdr:row>66</xdr:row>
      <xdr:rowOff>12700</xdr:rowOff>
    </xdr:from>
    <xdr:to>
      <xdr:col>6</xdr:col>
      <xdr:colOff>330200</xdr:colOff>
      <xdr:row>80</xdr:row>
      <xdr:rowOff>76200</xdr:rowOff>
    </xdr:to>
    <xdr:graphicFrame macro="">
      <xdr:nvGraphicFramePr>
        <xdr:cNvPr id="230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4</xdr:col>
      <xdr:colOff>254000</xdr:colOff>
      <xdr:row>7</xdr:row>
      <xdr:rowOff>50800</xdr:rowOff>
    </xdr:to>
    <xdr:pic>
      <xdr:nvPicPr>
        <xdr:cNvPr id="2" name="Picture 1" descr="Description: Description: Description: C:\Users\Denese\AppData\Local\Microsoft\Windows\Temporary Internet Files\Content.Word\logo.jp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3902075" cy="133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1244600</xdr:colOff>
      <xdr:row>66</xdr:row>
      <xdr:rowOff>76200</xdr:rowOff>
    </xdr:from>
    <xdr:to>
      <xdr:col>10</xdr:col>
      <xdr:colOff>431800</xdr:colOff>
      <xdr:row>80</xdr:row>
      <xdr:rowOff>152400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66</xdr:row>
      <xdr:rowOff>76200</xdr:rowOff>
    </xdr:from>
    <xdr:to>
      <xdr:col>16</xdr:col>
      <xdr:colOff>596900</xdr:colOff>
      <xdr:row>80</xdr:row>
      <xdr:rowOff>152400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850900</xdr:colOff>
      <xdr:row>66</xdr:row>
      <xdr:rowOff>12700</xdr:rowOff>
    </xdr:from>
    <xdr:to>
      <xdr:col>6</xdr:col>
      <xdr:colOff>330200</xdr:colOff>
      <xdr:row>80</xdr:row>
      <xdr:rowOff>76200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zoomScale="70" zoomScaleNormal="70" zoomScalePageLayoutView="85" workbookViewId="0">
      <selection activeCell="G31" sqref="G31"/>
    </sheetView>
  </sheetViews>
  <sheetFormatPr defaultColWidth="8.875" defaultRowHeight="14.25"/>
  <cols>
    <col min="2" max="2" width="10.875" customWidth="1"/>
    <col min="3" max="3" width="11" customWidth="1"/>
    <col min="4" max="4" width="25.25" customWidth="1"/>
    <col min="5" max="5" width="14.375" customWidth="1"/>
    <col min="6" max="6" width="18" style="1" customWidth="1"/>
    <col min="9" max="13" width="14.875" customWidth="1"/>
    <col min="14" max="14" width="13.875" style="2" customWidth="1"/>
    <col min="15" max="15" width="9.125" style="2" customWidth="1"/>
  </cols>
  <sheetData>
    <row r="1" spans="1:16" ht="15">
      <c r="F1" s="126" t="s">
        <v>58</v>
      </c>
      <c r="G1" s="58" t="s">
        <v>31</v>
      </c>
      <c r="H1" s="58"/>
      <c r="I1" s="58"/>
      <c r="J1" s="127">
        <v>150000</v>
      </c>
      <c r="K1" s="192">
        <v>0.375</v>
      </c>
      <c r="L1" s="58"/>
      <c r="M1" s="4" t="s">
        <v>6</v>
      </c>
    </row>
    <row r="2" spans="1:16">
      <c r="F2" s="126"/>
      <c r="G2" s="58" t="s">
        <v>22</v>
      </c>
      <c r="H2" s="58"/>
      <c r="I2" s="58"/>
      <c r="J2" s="127">
        <v>32010</v>
      </c>
      <c r="K2" s="128">
        <v>0.32500000000000001</v>
      </c>
      <c r="L2" s="58"/>
      <c r="M2" s="58" t="s">
        <v>30</v>
      </c>
      <c r="N2" s="57"/>
      <c r="O2" s="57"/>
      <c r="P2" s="57"/>
    </row>
    <row r="3" spans="1:16">
      <c r="A3" s="5"/>
      <c r="B3" s="5"/>
      <c r="C3" s="5"/>
      <c r="D3" s="5"/>
      <c r="E3" s="5"/>
      <c r="F3" s="126"/>
      <c r="G3" s="58" t="s">
        <v>24</v>
      </c>
      <c r="H3" s="58"/>
      <c r="I3" s="58"/>
      <c r="J3" s="129">
        <v>0.2</v>
      </c>
      <c r="K3" s="127">
        <v>300000</v>
      </c>
      <c r="L3" s="58"/>
      <c r="M3" s="58"/>
      <c r="N3" s="58"/>
      <c r="O3" s="58"/>
      <c r="P3" s="57"/>
    </row>
    <row r="4" spans="1:16">
      <c r="A4" s="5"/>
      <c r="B4" s="5"/>
      <c r="C4" s="5"/>
      <c r="D4" s="5"/>
      <c r="E4" s="5"/>
      <c r="F4" s="126"/>
      <c r="G4" s="130" t="s">
        <v>35</v>
      </c>
      <c r="H4" s="58"/>
      <c r="I4" s="58"/>
      <c r="J4" s="129">
        <v>0.23</v>
      </c>
      <c r="K4" s="131" t="s">
        <v>34</v>
      </c>
      <c r="L4" s="58"/>
      <c r="M4" s="58"/>
      <c r="N4" s="58"/>
      <c r="O4" s="58"/>
      <c r="P4" s="57"/>
    </row>
    <row r="5" spans="1:16" ht="15">
      <c r="A5" s="5"/>
      <c r="B5" s="5"/>
      <c r="C5" s="5"/>
      <c r="D5" s="5"/>
      <c r="E5" s="5"/>
      <c r="F5" s="126"/>
      <c r="G5" s="58" t="s">
        <v>25</v>
      </c>
      <c r="H5" s="58"/>
      <c r="I5" s="58"/>
      <c r="J5" s="191">
        <v>10900</v>
      </c>
      <c r="K5" s="58"/>
      <c r="L5" s="58"/>
      <c r="M5" s="58"/>
      <c r="N5" s="58"/>
      <c r="O5" s="58"/>
      <c r="P5" s="57"/>
    </row>
    <row r="6" spans="1:16">
      <c r="A6" s="5"/>
      <c r="B6" s="5"/>
      <c r="C6" s="5"/>
      <c r="D6" s="5"/>
      <c r="E6" s="110"/>
      <c r="F6" s="126"/>
      <c r="G6" s="58" t="s">
        <v>26</v>
      </c>
      <c r="H6" s="58"/>
      <c r="I6" s="58"/>
      <c r="J6" s="129">
        <v>0.1</v>
      </c>
      <c r="K6" s="58"/>
      <c r="L6" s="58"/>
      <c r="M6" s="58"/>
      <c r="N6" s="58"/>
      <c r="O6" s="58"/>
      <c r="P6" s="57"/>
    </row>
    <row r="7" spans="1:16">
      <c r="A7" s="5"/>
      <c r="B7" s="5"/>
      <c r="C7" s="5"/>
      <c r="D7" s="5"/>
      <c r="E7" s="5"/>
      <c r="F7" s="126"/>
      <c r="G7" s="58"/>
      <c r="H7" s="58"/>
      <c r="I7" s="58"/>
      <c r="J7" s="58"/>
      <c r="K7" s="58"/>
      <c r="L7" s="58"/>
      <c r="M7" s="58"/>
      <c r="N7" s="58"/>
      <c r="O7" s="58"/>
      <c r="P7" s="57"/>
    </row>
    <row r="8" spans="1:16" ht="15">
      <c r="A8" s="7" t="s">
        <v>33</v>
      </c>
      <c r="B8" s="7"/>
      <c r="C8" s="8"/>
      <c r="D8" s="8"/>
      <c r="E8" s="8"/>
      <c r="F8" s="132"/>
      <c r="G8" s="58"/>
      <c r="H8" s="58"/>
      <c r="I8" s="58"/>
      <c r="J8" s="58"/>
      <c r="K8" s="58"/>
      <c r="L8" s="58"/>
      <c r="M8" s="58"/>
      <c r="N8" s="58"/>
      <c r="O8" s="58"/>
      <c r="P8" s="57"/>
    </row>
    <row r="9" spans="1:16">
      <c r="A9" s="5"/>
      <c r="B9" s="5"/>
      <c r="C9" s="5"/>
      <c r="D9" s="5"/>
      <c r="E9" s="5"/>
      <c r="F9" s="3"/>
      <c r="G9" s="5"/>
      <c r="H9" s="5"/>
      <c r="I9" s="5"/>
      <c r="J9" s="5"/>
      <c r="K9" s="5"/>
      <c r="L9" s="5"/>
      <c r="M9" s="5"/>
      <c r="N9" s="6"/>
      <c r="O9" s="6"/>
    </row>
    <row r="10" spans="1:16" ht="15">
      <c r="A10" s="197" t="s">
        <v>0</v>
      </c>
      <c r="B10" s="197"/>
      <c r="C10" s="197"/>
      <c r="D10" s="198"/>
      <c r="E10" s="111">
        <v>125000</v>
      </c>
      <c r="F10" s="9"/>
      <c r="G10" s="10"/>
      <c r="H10" s="10"/>
      <c r="I10" s="11" t="s">
        <v>16</v>
      </c>
      <c r="J10" s="11" t="s">
        <v>17</v>
      </c>
      <c r="K10" s="11" t="s">
        <v>18</v>
      </c>
      <c r="L10" s="11" t="s">
        <v>19</v>
      </c>
      <c r="M10" s="11" t="s">
        <v>20</v>
      </c>
      <c r="N10" s="6"/>
      <c r="O10" s="6"/>
    </row>
    <row r="11" spans="1:16">
      <c r="A11" s="197" t="s">
        <v>1</v>
      </c>
      <c r="B11" s="197"/>
      <c r="C11" s="197"/>
      <c r="D11" s="198"/>
      <c r="E11" s="19">
        <v>2</v>
      </c>
      <c r="F11" s="12"/>
      <c r="G11" s="10"/>
      <c r="H11" s="10"/>
      <c r="I11" s="10"/>
      <c r="J11" s="10"/>
      <c r="K11" s="10"/>
      <c r="L11" s="10"/>
      <c r="M11" s="10"/>
      <c r="N11" s="13">
        <f>SUM(I12:M12)</f>
        <v>1</v>
      </c>
      <c r="O11" s="6"/>
    </row>
    <row r="12" spans="1:16">
      <c r="A12" s="199" t="s">
        <v>2</v>
      </c>
      <c r="B12" s="199"/>
      <c r="C12" s="199"/>
      <c r="D12" s="199"/>
      <c r="E12" s="12"/>
      <c r="F12" s="12"/>
      <c r="G12" s="10" t="s">
        <v>32</v>
      </c>
      <c r="H12" s="10"/>
      <c r="I12" s="14">
        <v>0.5</v>
      </c>
      <c r="J12" s="14">
        <v>0.5</v>
      </c>
      <c r="K12" s="14">
        <v>0</v>
      </c>
      <c r="L12" s="14">
        <v>0</v>
      </c>
      <c r="M12" s="14">
        <v>0</v>
      </c>
      <c r="N12" s="15" t="str">
        <f>IF($N$11=100%,"OKAY","ERROR")</f>
        <v>OKAY</v>
      </c>
      <c r="O12" s="6"/>
    </row>
    <row r="13" spans="1:16">
      <c r="A13" s="10"/>
      <c r="B13" s="10"/>
      <c r="C13" s="10"/>
      <c r="D13" s="10"/>
      <c r="E13" s="10"/>
      <c r="F13" s="78"/>
      <c r="G13" s="10" t="s">
        <v>21</v>
      </c>
      <c r="H13" s="10"/>
      <c r="I13" s="16">
        <f>$E$10*I12</f>
        <v>62500</v>
      </c>
      <c r="J13" s="16">
        <f>$E$10*J12</f>
        <v>62500</v>
      </c>
      <c r="K13" s="16">
        <f>$E$10*K12</f>
        <v>0</v>
      </c>
      <c r="L13" s="16">
        <f>$E$10*L12</f>
        <v>0</v>
      </c>
      <c r="M13" s="16">
        <f>$E$10*M12</f>
        <v>0</v>
      </c>
      <c r="N13" s="6"/>
      <c r="O13" s="6"/>
    </row>
    <row r="14" spans="1:16">
      <c r="A14" s="197" t="s">
        <v>3</v>
      </c>
      <c r="B14" s="198"/>
      <c r="C14" s="70">
        <v>0.2</v>
      </c>
      <c r="D14" s="10" t="s">
        <v>4</v>
      </c>
      <c r="E14" s="10"/>
      <c r="F14" s="10"/>
      <c r="G14" s="10"/>
      <c r="H14" s="10"/>
      <c r="I14" s="10"/>
      <c r="J14" s="10"/>
      <c r="K14" s="10"/>
      <c r="L14" s="10"/>
      <c r="M14" s="10"/>
      <c r="N14" s="6"/>
      <c r="O14" s="6"/>
    </row>
    <row r="15" spans="1:16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6"/>
      <c r="O15" s="6"/>
    </row>
    <row r="16" spans="1:16">
      <c r="A16" s="10"/>
      <c r="B16" s="10" t="s">
        <v>5</v>
      </c>
      <c r="C16" s="10"/>
      <c r="D16" s="10"/>
      <c r="E16" s="17" t="s">
        <v>6</v>
      </c>
      <c r="F16" s="18"/>
      <c r="G16" s="10"/>
      <c r="H16" s="10"/>
      <c r="I16" s="10"/>
      <c r="J16" s="10"/>
      <c r="K16" s="10"/>
      <c r="L16" s="10"/>
      <c r="M16" s="10"/>
      <c r="N16" s="6"/>
      <c r="O16" s="6"/>
    </row>
    <row r="17" spans="1:15">
      <c r="A17" s="10"/>
      <c r="B17" s="10" t="s">
        <v>15</v>
      </c>
      <c r="C17" s="10"/>
      <c r="D17" s="10"/>
      <c r="E17" s="19">
        <v>10</v>
      </c>
      <c r="F17" s="18"/>
      <c r="G17" s="10"/>
      <c r="H17" s="10"/>
      <c r="I17" s="10"/>
      <c r="J17" s="10"/>
      <c r="K17" s="10"/>
      <c r="L17" s="10"/>
      <c r="M17" s="10"/>
      <c r="N17" s="6"/>
      <c r="O17" s="6"/>
    </row>
    <row r="18" spans="1:15" ht="15">
      <c r="A18" s="10"/>
      <c r="B18" s="10"/>
      <c r="C18" s="10"/>
      <c r="D18" s="10"/>
      <c r="E18" s="10"/>
      <c r="F18" s="10"/>
      <c r="G18" s="20"/>
      <c r="H18" s="20"/>
      <c r="I18" s="10"/>
      <c r="J18" s="10"/>
      <c r="K18" s="10"/>
      <c r="L18" s="10"/>
      <c r="M18" s="10"/>
      <c r="N18" s="6"/>
      <c r="O18" s="6"/>
    </row>
    <row r="19" spans="1:15" s="21" customFormat="1">
      <c r="F19" s="22"/>
      <c r="N19" s="23"/>
      <c r="O19" s="23"/>
    </row>
    <row r="20" spans="1:15" s="21" customFormat="1" ht="15.75">
      <c r="A20" s="195" t="s">
        <v>7</v>
      </c>
      <c r="B20" s="195"/>
      <c r="C20" s="195"/>
      <c r="D20" s="195"/>
      <c r="E20" s="195"/>
      <c r="F20" s="24"/>
      <c r="I20" s="195" t="s">
        <v>23</v>
      </c>
      <c r="J20" s="195"/>
      <c r="K20" s="195"/>
      <c r="L20" s="195"/>
      <c r="M20" s="195"/>
      <c r="N20" s="113"/>
      <c r="O20" s="113"/>
    </row>
    <row r="21" spans="1:15" s="21" customFormat="1">
      <c r="F21" s="22"/>
      <c r="I21" s="25" t="s">
        <v>27</v>
      </c>
      <c r="N21" s="113"/>
      <c r="O21" s="113"/>
    </row>
    <row r="22" spans="1:15" s="21" customFormat="1">
      <c r="A22" s="21" t="s">
        <v>8</v>
      </c>
      <c r="E22" s="26">
        <f>E10</f>
        <v>125000</v>
      </c>
      <c r="F22" s="27"/>
      <c r="N22" s="114"/>
      <c r="O22" s="113"/>
    </row>
    <row r="23" spans="1:15" s="21" customFormat="1">
      <c r="E23" s="26"/>
      <c r="F23" s="27"/>
      <c r="K23" s="28" t="s">
        <v>28</v>
      </c>
      <c r="L23" s="29"/>
      <c r="M23" s="29" t="s">
        <v>29</v>
      </c>
      <c r="N23" s="162"/>
      <c r="O23" s="113"/>
    </row>
    <row r="24" spans="1:15" s="21" customFormat="1">
      <c r="A24" s="21" t="s">
        <v>9</v>
      </c>
      <c r="E24" s="26">
        <f>-J5*$E$11</f>
        <v>-21800</v>
      </c>
      <c r="F24" s="27"/>
      <c r="M24" s="26"/>
      <c r="N24" s="162"/>
      <c r="O24" s="113"/>
    </row>
    <row r="25" spans="1:15" s="21" customFormat="1">
      <c r="E25" s="26"/>
      <c r="F25" s="27"/>
      <c r="I25" s="21" t="s">
        <v>16</v>
      </c>
      <c r="K25" s="30">
        <f>I13/0.9</f>
        <v>69444.444444444438</v>
      </c>
      <c r="L25" s="30"/>
      <c r="M25" s="30">
        <f>IF($K$25&lt;$J$1,$N$25,IF($K$25&gt;$J$1,$N$26))</f>
        <v>15624.999999999996</v>
      </c>
      <c r="N25" s="163">
        <f>IF($K25&lt;=$J$1,$K25*$K$2)-($K25*0.1)</f>
        <v>15624.999999999996</v>
      </c>
      <c r="O25" s="113"/>
    </row>
    <row r="26" spans="1:15" s="21" customFormat="1">
      <c r="A26" s="21" t="s">
        <v>10</v>
      </c>
      <c r="E26" s="31">
        <f>SUM(E22:E25)</f>
        <v>103200</v>
      </c>
      <c r="F26" s="32"/>
      <c r="I26" s="33"/>
      <c r="K26" s="30"/>
      <c r="L26" s="30"/>
      <c r="M26" s="30"/>
      <c r="N26" s="163">
        <f>IF($I$13=0,"Nil",IF($K25&gt;=$J$1,($J$1*$K$2))+(($K25-$J$1)*$K$1)-($K25*0.1))</f>
        <v>-37152.777777777781</v>
      </c>
      <c r="O26" s="113"/>
    </row>
    <row r="27" spans="1:15" s="21" customFormat="1">
      <c r="E27" s="26"/>
      <c r="F27" s="27"/>
      <c r="I27" s="21" t="s">
        <v>17</v>
      </c>
      <c r="K27" s="30">
        <f>J13/0.9</f>
        <v>69444.444444444438</v>
      </c>
      <c r="L27" s="30"/>
      <c r="M27" s="30">
        <f>IF($K$27&lt;$J$1,$N27,IF($K$27&gt;$J$1,$N28))</f>
        <v>15624.999999999996</v>
      </c>
      <c r="N27" s="163">
        <f>IF($K27&lt;=$J$1,$K27*$K$2)-($K27*0.1)</f>
        <v>15624.999999999996</v>
      </c>
      <c r="O27" s="113"/>
    </row>
    <row r="28" spans="1:15" s="21" customFormat="1" ht="15.75" thickBot="1">
      <c r="A28" s="34" t="s">
        <v>11</v>
      </c>
      <c r="B28" s="34"/>
      <c r="C28" s="34"/>
      <c r="D28" s="34"/>
      <c r="E28" s="35">
        <f>$E$26*$J$6</f>
        <v>10320</v>
      </c>
      <c r="F28" s="36"/>
      <c r="K28" s="30"/>
      <c r="L28" s="30"/>
      <c r="M28" s="30"/>
      <c r="N28" s="163">
        <f>IF($J$13=0,"Nil",IF($K27&gt;=$J$1,($J$1*$K$2))+(($K27-$J$1)*$K$1)-($K27*0.1))</f>
        <v>-37152.777777777781</v>
      </c>
      <c r="O28" s="113"/>
    </row>
    <row r="29" spans="1:15" s="21" customFormat="1" ht="15" thickTop="1">
      <c r="E29" s="26"/>
      <c r="F29" s="27"/>
      <c r="I29" s="21" t="s">
        <v>18</v>
      </c>
      <c r="K29" s="30">
        <f>K13/0.9</f>
        <v>0</v>
      </c>
      <c r="L29" s="30"/>
      <c r="M29" s="30">
        <f>IF($K$27&lt;$J$1,$N29,IF($K$27&gt;$J$1,$N30))</f>
        <v>0</v>
      </c>
      <c r="N29" s="163">
        <f>IF($K29&lt;=$J$1,$K29*$K$2)-($K29*0.1)</f>
        <v>0</v>
      </c>
      <c r="O29" s="113"/>
    </row>
    <row r="30" spans="1:15" s="21" customFormat="1">
      <c r="F30" s="22"/>
      <c r="K30" s="30"/>
      <c r="L30" s="30"/>
      <c r="M30" s="30"/>
      <c r="N30" s="163" t="str">
        <f>IF($K$13=0,"Nil",IF($K29&gt;=$J$1,($J$1*$K$2))+(($K29-$J$1)*$K$1)-($K29*0.1))</f>
        <v>Nil</v>
      </c>
      <c r="O30" s="113"/>
    </row>
    <row r="31" spans="1:15" s="21" customFormat="1" ht="15.75">
      <c r="A31" s="195" t="s">
        <v>12</v>
      </c>
      <c r="B31" s="196"/>
      <c r="C31" s="196"/>
      <c r="D31" s="196"/>
      <c r="E31" s="196"/>
      <c r="F31" s="37"/>
      <c r="I31" s="21" t="s">
        <v>19</v>
      </c>
      <c r="K31" s="30">
        <f>L13/0.9</f>
        <v>0</v>
      </c>
      <c r="L31" s="30"/>
      <c r="M31" s="30">
        <f>IF($K$27&lt;$J$1,$N31,IF($K$27&gt;$J$1,$N32))</f>
        <v>0</v>
      </c>
      <c r="N31" s="163">
        <f>IF($K31&lt;=$J$1,$K31*$K$2)-($K31*0.1)</f>
        <v>0</v>
      </c>
      <c r="O31" s="113"/>
    </row>
    <row r="32" spans="1:15" s="21" customFormat="1">
      <c r="F32" s="38"/>
      <c r="K32" s="30"/>
      <c r="L32" s="30"/>
      <c r="M32" s="30"/>
      <c r="N32" s="163" t="str">
        <f>IF($L$13=0,"Nil",IF($K31&gt;=$J$1,($J$1*$K$2))+(($K31-$J$1)*$K$1)-($K31*0.1))</f>
        <v>Nil</v>
      </c>
      <c r="O32" s="113"/>
    </row>
    <row r="33" spans="1:15" s="21" customFormat="1">
      <c r="E33" s="26"/>
      <c r="F33" s="39"/>
      <c r="I33" s="21" t="s">
        <v>20</v>
      </c>
      <c r="K33" s="30">
        <f>M13/0.9</f>
        <v>0</v>
      </c>
      <c r="L33" s="30"/>
      <c r="M33" s="30">
        <f>IF($K$27&lt;$J$1,$N33,IF($K$27&gt;$J$1,$N34))</f>
        <v>0</v>
      </c>
      <c r="N33" s="163">
        <f>IF($K33&lt;=$J$1,$K33*$K$2)-($K33*0.1)</f>
        <v>0</v>
      </c>
      <c r="O33" s="113"/>
    </row>
    <row r="34" spans="1:15" s="21" customFormat="1" ht="15" thickBot="1">
      <c r="A34" s="21" t="s">
        <v>13</v>
      </c>
      <c r="E34" s="40">
        <f>IF($E$16="No","0",IF($E$10&lt;$K$3,$F$34,IF($E$10&gt;$K$3,$F$35,)))</f>
        <v>25000</v>
      </c>
      <c r="F34" s="39">
        <f>IF($E$10&lt;=$K$3,$E$10*$J$3)</f>
        <v>25000</v>
      </c>
      <c r="K34" s="30"/>
      <c r="L34" s="30"/>
      <c r="M34" s="30"/>
      <c r="N34" s="163" t="str">
        <f>IF($M$13=0,"Nil",IF($K33&gt;=$J$1,($J$1*$K$2))+(($K33-$J$1)*$K$1)-($K33*0.1))</f>
        <v>Nil</v>
      </c>
      <c r="O34" s="113"/>
    </row>
    <row r="35" spans="1:15" s="21" customFormat="1" ht="15" thickTop="1">
      <c r="E35" s="26"/>
      <c r="F35" s="39">
        <f>IF($E$10&gt;=$K$3,($K$3*$J$3))+(($E$10-$K$3)*$J4)</f>
        <v>-40250</v>
      </c>
      <c r="K35" s="29"/>
      <c r="L35" s="29"/>
      <c r="M35" s="29"/>
      <c r="N35" s="160"/>
      <c r="O35" s="113"/>
    </row>
    <row r="36" spans="1:15" s="21" customFormat="1" ht="15.75" thickBot="1">
      <c r="A36" s="21" t="s">
        <v>14</v>
      </c>
      <c r="E36" s="41">
        <f>$E$34/$E$17</f>
        <v>2500</v>
      </c>
      <c r="F36" s="39"/>
      <c r="I36" s="34" t="s">
        <v>39</v>
      </c>
      <c r="M36" s="35">
        <f>SUM(M24:M34)</f>
        <v>31249.999999999993</v>
      </c>
      <c r="N36" s="159"/>
      <c r="O36" s="113"/>
    </row>
    <row r="37" spans="1:15" s="21" customFormat="1" ht="15" thickTop="1">
      <c r="A37" s="33" t="s">
        <v>88</v>
      </c>
      <c r="F37" s="22"/>
      <c r="N37" s="113"/>
      <c r="O37" s="113"/>
    </row>
    <row r="38" spans="1:15" s="21" customFormat="1">
      <c r="F38" s="22"/>
      <c r="N38" s="23"/>
      <c r="O38" s="23"/>
    </row>
    <row r="39" spans="1:15" s="21" customFormat="1" ht="15" thickBot="1">
      <c r="F39" s="22"/>
      <c r="N39" s="23"/>
      <c r="O39" s="23"/>
    </row>
    <row r="40" spans="1:15" s="21" customFormat="1">
      <c r="E40" s="42"/>
      <c r="F40" s="43"/>
      <c r="G40" s="43"/>
      <c r="H40" s="43"/>
      <c r="I40" s="44"/>
      <c r="K40" s="159"/>
      <c r="L40" s="159"/>
      <c r="N40" s="23"/>
      <c r="O40" s="23"/>
    </row>
    <row r="41" spans="1:15" s="21" customFormat="1" ht="15">
      <c r="E41" s="45" t="s">
        <v>40</v>
      </c>
      <c r="F41" s="46"/>
      <c r="G41" s="46"/>
      <c r="H41" s="46"/>
      <c r="I41" s="47">
        <f>$E$28</f>
        <v>10320</v>
      </c>
      <c r="K41" s="160" t="s">
        <v>98</v>
      </c>
      <c r="L41" s="160" t="s">
        <v>99</v>
      </c>
      <c r="N41" s="23"/>
      <c r="O41" s="23"/>
    </row>
    <row r="42" spans="1:15" s="21" customFormat="1" ht="15">
      <c r="E42" s="45" t="s">
        <v>96</v>
      </c>
      <c r="F42" s="46"/>
      <c r="G42" s="46"/>
      <c r="H42" s="84"/>
      <c r="I42" s="48">
        <f>E36</f>
        <v>2500</v>
      </c>
      <c r="K42" s="161">
        <f>I45</f>
        <v>45929.999999999993</v>
      </c>
      <c r="L42" s="161">
        <f>I47</f>
        <v>4685.9999999999991</v>
      </c>
      <c r="N42" s="23"/>
      <c r="O42" s="23"/>
    </row>
    <row r="43" spans="1:15" s="21" customFormat="1" ht="15">
      <c r="E43" s="45" t="s">
        <v>36</v>
      </c>
      <c r="F43" s="46"/>
      <c r="G43" s="46"/>
      <c r="H43" s="46"/>
      <c r="I43" s="48">
        <f>$M$36</f>
        <v>31249.999999999993</v>
      </c>
      <c r="K43" s="159"/>
      <c r="L43" s="159"/>
      <c r="N43" s="23"/>
      <c r="O43" s="23"/>
    </row>
    <row r="44" spans="1:15" s="21" customFormat="1" ht="21" customHeight="1">
      <c r="E44" s="49" t="s">
        <v>37</v>
      </c>
      <c r="F44" s="50"/>
      <c r="G44" s="50"/>
      <c r="H44" s="50"/>
      <c r="I44" s="51">
        <f>SUM(I42:I43)-I41</f>
        <v>23429.999999999993</v>
      </c>
      <c r="K44" s="159"/>
      <c r="L44" s="159"/>
      <c r="N44" s="23"/>
      <c r="O44" s="23"/>
    </row>
    <row r="45" spans="1:15" s="21" customFormat="1" ht="21" customHeight="1">
      <c r="E45" s="156" t="s">
        <v>97</v>
      </c>
      <c r="F45" s="157"/>
      <c r="G45" s="157"/>
      <c r="H45" s="157"/>
      <c r="I45" s="158">
        <f>I43+E34-I41</f>
        <v>45929.999999999993</v>
      </c>
      <c r="N45" s="23"/>
      <c r="O45" s="23"/>
    </row>
    <row r="46" spans="1:15" s="21" customFormat="1">
      <c r="E46" s="45"/>
      <c r="F46" s="46"/>
      <c r="G46" s="46"/>
      <c r="H46" s="46"/>
      <c r="I46" s="52"/>
      <c r="N46" s="23"/>
      <c r="O46" s="23"/>
    </row>
    <row r="47" spans="1:15" s="21" customFormat="1" ht="20.25" customHeight="1" thickBot="1">
      <c r="E47" s="49" t="s">
        <v>38</v>
      </c>
      <c r="F47" s="46"/>
      <c r="G47" s="46"/>
      <c r="H47" s="46"/>
      <c r="I47" s="53">
        <f>$I$44*$C$14</f>
        <v>4685.9999999999991</v>
      </c>
      <c r="N47" s="23"/>
      <c r="O47" s="23"/>
    </row>
    <row r="48" spans="1:15" s="21" customFormat="1" ht="15.75" thickTop="1" thickBot="1">
      <c r="E48" s="54"/>
      <c r="F48" s="55"/>
      <c r="G48" s="55"/>
      <c r="H48" s="55"/>
      <c r="I48" s="56"/>
      <c r="N48" s="23"/>
      <c r="O48" s="23"/>
    </row>
    <row r="49" spans="6:15" s="21" customFormat="1">
      <c r="F49" s="22"/>
      <c r="N49" s="23"/>
      <c r="O49" s="23"/>
    </row>
  </sheetData>
  <sheetProtection selectLockedCells="1"/>
  <mergeCells count="7">
    <mergeCell ref="A31:E31"/>
    <mergeCell ref="I20:M20"/>
    <mergeCell ref="A10:D10"/>
    <mergeCell ref="A11:D11"/>
    <mergeCell ref="A12:D12"/>
    <mergeCell ref="A20:E20"/>
    <mergeCell ref="A14:B14"/>
  </mergeCells>
  <phoneticPr fontId="25" type="noConversion"/>
  <conditionalFormatting sqref="N12">
    <cfRule type="containsText" dxfId="16" priority="1" operator="containsText" text="ERROR">
      <formula>NOT(ISERROR(SEARCH("ERROR",N12)))</formula>
    </cfRule>
  </conditionalFormatting>
  <dataValidations count="1">
    <dataValidation type="list" allowBlank="1" showInputMessage="1" showErrorMessage="1" sqref="E16">
      <formula1>$M$1:$M$2</formula1>
    </dataValidation>
  </dataValidations>
  <pageMargins left="0.7" right="0.7" top="0.75" bottom="0.75" header="0.3" footer="0.3"/>
  <pageSetup paperSize="9" scale="69" orientation="landscape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5"/>
  <sheetViews>
    <sheetView zoomScale="70" zoomScaleNormal="70" zoomScalePageLayoutView="85" workbookViewId="0">
      <pane ySplit="9" topLeftCell="A10" activePane="bottomLeft" state="frozen"/>
      <selection pane="bottomLeft" activeCell="E19" sqref="E19"/>
    </sheetView>
  </sheetViews>
  <sheetFormatPr defaultColWidth="8.875" defaultRowHeight="14.25"/>
  <cols>
    <col min="3" max="3" width="12.25" customWidth="1"/>
    <col min="4" max="4" width="19.875" customWidth="1"/>
    <col min="5" max="5" width="23.25" customWidth="1"/>
    <col min="6" max="10" width="19.875" customWidth="1"/>
    <col min="11" max="11" width="12" customWidth="1"/>
    <col min="12" max="12" width="10.375" customWidth="1"/>
    <col min="13" max="13" width="14.125" customWidth="1"/>
    <col min="14" max="14" width="8.875" customWidth="1"/>
    <col min="15" max="15" width="22.25" style="57" customWidth="1"/>
    <col min="16" max="20" width="15.25" style="57" customWidth="1"/>
    <col min="21" max="21" width="8.875" style="57" customWidth="1"/>
    <col min="22" max="22" width="9.375" style="57" customWidth="1"/>
    <col min="23" max="23" width="8.875" customWidth="1"/>
  </cols>
  <sheetData>
    <row r="1" spans="1:24" ht="15">
      <c r="E1" s="57"/>
      <c r="F1" s="112" t="s">
        <v>58</v>
      </c>
      <c r="G1" s="113" t="s">
        <v>31</v>
      </c>
      <c r="H1" s="113"/>
      <c r="I1" s="113"/>
      <c r="J1" s="114">
        <v>150000</v>
      </c>
      <c r="K1" s="193">
        <v>0.375</v>
      </c>
      <c r="L1" s="113"/>
      <c r="M1" s="113" t="s">
        <v>6</v>
      </c>
      <c r="N1" s="113">
        <v>1</v>
      </c>
      <c r="O1" s="113"/>
      <c r="P1" s="113"/>
      <c r="Q1" s="113"/>
      <c r="R1" s="113"/>
      <c r="S1" s="113"/>
      <c r="T1" s="113"/>
      <c r="U1" s="113"/>
      <c r="V1" s="113"/>
      <c r="W1" s="113"/>
      <c r="X1" s="113"/>
    </row>
    <row r="2" spans="1:24">
      <c r="E2" s="57"/>
      <c r="F2" s="112"/>
      <c r="G2" s="113" t="s">
        <v>22</v>
      </c>
      <c r="H2" s="113"/>
      <c r="I2" s="116">
        <v>0.1</v>
      </c>
      <c r="J2" s="114">
        <v>32010</v>
      </c>
      <c r="K2" s="115">
        <v>0.32500000000000001</v>
      </c>
      <c r="L2" s="113"/>
      <c r="M2" s="113" t="s">
        <v>30</v>
      </c>
      <c r="N2" s="113">
        <v>2</v>
      </c>
      <c r="O2" s="113"/>
      <c r="P2" s="113"/>
      <c r="Q2" s="113"/>
      <c r="R2" s="113"/>
      <c r="S2" s="113"/>
      <c r="T2" s="113"/>
      <c r="U2" s="113"/>
      <c r="V2" s="113"/>
      <c r="W2" s="113"/>
      <c r="X2" s="113"/>
    </row>
    <row r="3" spans="1:24">
      <c r="A3" s="5"/>
      <c r="B3" s="5"/>
      <c r="C3" s="5"/>
      <c r="D3" s="5"/>
      <c r="E3" s="58"/>
      <c r="F3" s="112"/>
      <c r="G3" s="113" t="s">
        <v>24</v>
      </c>
      <c r="H3" s="113"/>
      <c r="I3" s="113"/>
      <c r="J3" s="116">
        <v>0.2</v>
      </c>
      <c r="K3" s="114">
        <v>300000</v>
      </c>
      <c r="L3" s="113"/>
      <c r="M3" s="113"/>
      <c r="N3" s="113">
        <v>3</v>
      </c>
      <c r="O3" s="113"/>
      <c r="P3" s="113"/>
      <c r="Q3" s="113"/>
      <c r="R3" s="113"/>
      <c r="S3" s="113"/>
      <c r="T3" s="113"/>
      <c r="U3" s="113"/>
      <c r="V3" s="113"/>
      <c r="W3" s="113"/>
      <c r="X3" s="113"/>
    </row>
    <row r="4" spans="1:24" ht="15">
      <c r="A4" s="5"/>
      <c r="B4" s="5"/>
      <c r="C4" s="5"/>
      <c r="D4" s="5"/>
      <c r="E4" s="58"/>
      <c r="F4" s="112"/>
      <c r="G4" s="117" t="s">
        <v>35</v>
      </c>
      <c r="H4" s="113"/>
      <c r="I4" s="113"/>
      <c r="J4" s="116">
        <v>0.23</v>
      </c>
      <c r="K4" s="118" t="s">
        <v>34</v>
      </c>
      <c r="L4" s="113"/>
      <c r="M4" s="113" t="s">
        <v>42</v>
      </c>
      <c r="N4" s="113">
        <v>4</v>
      </c>
      <c r="O4" s="113"/>
      <c r="P4" s="200" t="s">
        <v>71</v>
      </c>
      <c r="Q4" s="200"/>
      <c r="R4" s="200"/>
      <c r="S4" s="200"/>
      <c r="T4" s="200"/>
      <c r="U4" s="113"/>
      <c r="V4" s="113"/>
      <c r="W4" s="113"/>
      <c r="X4" s="113"/>
    </row>
    <row r="5" spans="1:24">
      <c r="A5" s="5"/>
      <c r="B5" s="5"/>
      <c r="C5" s="5"/>
      <c r="D5" s="5"/>
      <c r="E5" s="58"/>
      <c r="F5" s="112"/>
      <c r="G5" s="113" t="s">
        <v>46</v>
      </c>
      <c r="H5" s="113"/>
      <c r="I5" s="116">
        <v>0.02</v>
      </c>
      <c r="J5" s="119">
        <v>0.12</v>
      </c>
      <c r="K5" s="114">
        <f>149*52</f>
        <v>7748</v>
      </c>
      <c r="L5" s="114">
        <f>(797*52)-$K$5</f>
        <v>33696</v>
      </c>
      <c r="M5" s="113" t="s">
        <v>43</v>
      </c>
      <c r="N5" s="113">
        <v>5</v>
      </c>
      <c r="O5" s="113"/>
      <c r="P5" s="164" t="str">
        <f>F$12</f>
        <v>Partner 1</v>
      </c>
      <c r="Q5" s="164" t="str">
        <f>G$12</f>
        <v>Partner 2</v>
      </c>
      <c r="R5" s="164" t="str">
        <f>H$12</f>
        <v>Partner 3</v>
      </c>
      <c r="S5" s="164" t="str">
        <f>I$12</f>
        <v>Partner 4</v>
      </c>
      <c r="T5" s="164" t="str">
        <f>J$12</f>
        <v>Partner 5</v>
      </c>
      <c r="U5" s="113"/>
      <c r="V5" s="113"/>
      <c r="W5" s="113"/>
      <c r="X5" s="113"/>
    </row>
    <row r="6" spans="1:24">
      <c r="A6" s="5"/>
      <c r="B6" s="5"/>
      <c r="C6" s="5"/>
      <c r="D6" s="5"/>
      <c r="E6" s="58"/>
      <c r="F6" s="112"/>
      <c r="G6" s="113" t="s">
        <v>47</v>
      </c>
      <c r="H6" s="113"/>
      <c r="I6" s="113"/>
      <c r="J6" s="115">
        <v>0.13800000000000001</v>
      </c>
      <c r="K6" s="114">
        <v>7696</v>
      </c>
      <c r="L6" s="113"/>
      <c r="M6" s="113"/>
      <c r="N6" s="113"/>
      <c r="O6" s="113" t="s">
        <v>67</v>
      </c>
      <c r="P6" s="114">
        <f>IF($D$12="Sole Trader",0,IF(F$15=0,0,IF(F$15&lt;100000,F$15-$K$7,IF(F$15&lt;=118880,F$15-$K$7+($F$15-100000)/2,$F$15))))</f>
        <v>0</v>
      </c>
      <c r="Q6" s="114">
        <f>IF($D$12="Sole Trader",0,IF(G$15=0,0,IF(G$15&lt;100000,G$15-$K$7,IF(G$15&lt;=118880,G$15-$K$7+($G$15-100000)/2,$G$15))))</f>
        <v>0</v>
      </c>
      <c r="R6" s="114">
        <f>IF($D$12="Sole Trader",0,IF(H$15=0,0,IF(H$15&lt;100000,H$15-$K$7,IF(H$15&lt;=118880,H$15-$K$7+($H$15-100000)/2,$H$15))))</f>
        <v>0</v>
      </c>
      <c r="S6" s="114">
        <f>IF($D$12="Sole Trader",0,IF(I$15=0,0,IF(I$15&lt;100000,I$15-$K$7,IF(I$15&lt;=118880,I$15-$K$7+($I$15-100000)/2,$I$15))))</f>
        <v>0</v>
      </c>
      <c r="T6" s="114">
        <f>IF($D$12="Sole Trader",0,IF(J$15=0,0,IF(J$15&lt;100000,J$15-$K$7,IF(J$15&lt;=118880,J$15-$K$7+($J$15-100000)/2,$J$15))))</f>
        <v>0</v>
      </c>
      <c r="U6" s="113"/>
      <c r="V6" s="113"/>
      <c r="W6" s="113"/>
      <c r="X6" s="113"/>
    </row>
    <row r="7" spans="1:24">
      <c r="A7" s="5"/>
      <c r="B7" s="5"/>
      <c r="C7" s="5"/>
      <c r="D7" s="5"/>
      <c r="E7" s="58"/>
      <c r="F7" s="112"/>
      <c r="G7" s="113" t="s">
        <v>55</v>
      </c>
      <c r="H7" s="113"/>
      <c r="I7" s="116">
        <v>0.09</v>
      </c>
      <c r="J7" s="116">
        <v>0.2</v>
      </c>
      <c r="K7" s="114">
        <v>9440</v>
      </c>
      <c r="L7" s="133">
        <f>K7-K6</f>
        <v>1744</v>
      </c>
      <c r="M7" s="113"/>
      <c r="N7" s="116"/>
      <c r="O7" s="113" t="s">
        <v>66</v>
      </c>
      <c r="P7" s="165">
        <f>IF(P$6&lt;$K$8,P$6*$J$7,0)</f>
        <v>0</v>
      </c>
      <c r="Q7" s="165">
        <f>IF(Q$6&lt;$K$8,Q$6*$J$7,"0")</f>
        <v>0</v>
      </c>
      <c r="R7" s="165">
        <f>IF(R$6&lt;$K$8,R$6*$J$7,"0")</f>
        <v>0</v>
      </c>
      <c r="S7" s="165">
        <f>IF(S$6&lt;$K$8,S$6*$J$7,"0")</f>
        <v>0</v>
      </c>
      <c r="T7" s="165">
        <f>IF(T$6&lt;$K$8,T$6*$J$7,"0")</f>
        <v>0</v>
      </c>
      <c r="U7" s="113"/>
      <c r="V7" s="113"/>
      <c r="W7" s="113"/>
      <c r="X7" s="113"/>
    </row>
    <row r="8" spans="1:24" ht="15">
      <c r="E8" s="59"/>
      <c r="F8" s="120"/>
      <c r="G8" s="113"/>
      <c r="H8" s="113"/>
      <c r="I8" s="113"/>
      <c r="J8" s="116">
        <v>0.4</v>
      </c>
      <c r="K8" s="114">
        <v>32011</v>
      </c>
      <c r="L8" s="113"/>
      <c r="M8" s="113"/>
      <c r="N8" s="113"/>
      <c r="O8" s="113"/>
      <c r="P8" s="165">
        <f>IF(P$6&lt;$K$8,0,IF(P$6&gt;=$K$9,0,IF(P$6&lt;$K$9,((P$6-$K$8)*$J$8)+($K$8*$J$7))))</f>
        <v>0</v>
      </c>
      <c r="Q8" s="165">
        <f>IF(Q$6&lt;$K$8,0,IF(Q$6&gt;=$K$9,0,IF(Q$6&lt;$K$9,((Q$6-$K$8)*$J$8)+($K$8*$J$7))))</f>
        <v>0</v>
      </c>
      <c r="R8" s="165">
        <f>IF(R$6&lt;$K$8,0,IF(R$6&gt;=$K$9,0,IF(R$6&lt;$K$9,((R$6-$K$8)*$J$8)+($K$8*$J$7))))</f>
        <v>0</v>
      </c>
      <c r="S8" s="165">
        <f>IF(S$6&lt;$K$8,0,IF(S$6&gt;=$K$9,0,IF(S$6&lt;$K$9,((S$6-$K$8)*$J$8)+($K$8*$J$7))))</f>
        <v>0</v>
      </c>
      <c r="T8" s="165">
        <f>IF(T$6&lt;$K$8,0,IF(T$6&gt;=$K$9,0,IF(T$6&lt;$K$9,((T$6-$K$8)*$J$8)+($K$8*$J$7))))</f>
        <v>0</v>
      </c>
      <c r="U8" s="113"/>
      <c r="V8" s="113"/>
      <c r="W8" s="113"/>
      <c r="X8" s="113"/>
    </row>
    <row r="9" spans="1:24" s="1" customFormat="1" ht="15">
      <c r="E9" s="59"/>
      <c r="F9" s="120"/>
      <c r="G9" s="112"/>
      <c r="H9" s="112"/>
      <c r="I9" s="112"/>
      <c r="J9" s="121">
        <v>0.45</v>
      </c>
      <c r="K9" s="122">
        <v>150001</v>
      </c>
      <c r="L9" s="112"/>
      <c r="M9" s="112"/>
      <c r="N9" s="112"/>
      <c r="O9" s="113"/>
      <c r="P9" s="165">
        <f>IF(P$6=0,0,IF(P$6&gt;=$K$9,P$10,0))</f>
        <v>0</v>
      </c>
      <c r="Q9" s="165">
        <f>IF(Q$6=0,0,IF(Q$6&gt;=$K$9,Q$10,0))</f>
        <v>0</v>
      </c>
      <c r="R9" s="165">
        <f>IF(R$6=0,0,IF(R$6&gt;=$K$9,R$10,0))</f>
        <v>0</v>
      </c>
      <c r="S9" s="165">
        <f>IF(S$6=0,0,IF(S$6&gt;=$K$9,S$10,0))</f>
        <v>0</v>
      </c>
      <c r="T9" s="165">
        <f>IF(T$6=0,0,IF(T$6&gt;=$K$9,T$10,0))</f>
        <v>0</v>
      </c>
      <c r="U9" s="112"/>
      <c r="V9" s="112"/>
      <c r="W9" s="112"/>
      <c r="X9" s="112"/>
    </row>
    <row r="10" spans="1:24" ht="15">
      <c r="A10" s="7" t="s">
        <v>33</v>
      </c>
      <c r="B10" s="7"/>
      <c r="C10" s="79"/>
      <c r="D10" s="79"/>
      <c r="E10" s="78"/>
      <c r="F10" s="98"/>
      <c r="G10" s="98"/>
      <c r="H10" s="98"/>
      <c r="I10" s="98"/>
      <c r="J10" s="80"/>
      <c r="K10" s="1"/>
      <c r="L10" s="58"/>
      <c r="M10" s="58"/>
      <c r="N10" s="58"/>
      <c r="P10" s="166">
        <f>IF($D$12="Sole Trader",0,IF(P$6&gt;$K$9,((((P$6-$K$9)*$J$9)+(($K$9-$K$8)*$J$8)+($K$8*$J$7))),0))</f>
        <v>0</v>
      </c>
      <c r="Q10" s="166">
        <f>IF($D$12="Sole Trader",0,IF(Q$6&gt;$K$9,((((Q$6-$K$9)*$J$9)+(($K$9-$K$8)*$J$8)+($K$8*$J$7))),0))</f>
        <v>0</v>
      </c>
      <c r="R10" s="166">
        <f>IF($D$12="Sole Trader",0,IF(R$6&gt;$K$9,((((R$6-$K$9)*$J$9)+(($K$9-$K$8)*$J$8)+($K$8*$J$7))),0))</f>
        <v>0</v>
      </c>
      <c r="S10" s="166">
        <f>IF($D$12="Sole Trader",0,IF(S$6&gt;$K$9,((((S$6-$K$9)*$J$9)+(($K$9-$K$8)*$J$8)+($K$8*$J$7))),0))</f>
        <v>0</v>
      </c>
      <c r="T10" s="166">
        <f>IF($D$12="Sole Trader",0,IF(T$6&gt;$K$9,((((T$6-$K$9)*$J$9)+(($K$9-$K$8)*$J$8)+($K$8*$J$7))),0))</f>
        <v>0</v>
      </c>
    </row>
    <row r="11" spans="1:24" ht="15">
      <c r="A11" s="78"/>
      <c r="B11" s="78"/>
      <c r="C11" s="78"/>
      <c r="D11" s="78"/>
      <c r="E11" s="80"/>
      <c r="F11" s="69" t="s">
        <v>78</v>
      </c>
      <c r="G11" s="80"/>
      <c r="H11" s="80"/>
      <c r="I11" s="80"/>
      <c r="J11" s="80"/>
      <c r="K11" s="1"/>
      <c r="O11" s="57" t="s">
        <v>68</v>
      </c>
      <c r="P11" s="166">
        <f>IF($D$12="Sole Trader",0,IF(F$15=0,0,IF($D$12="Partnership",(F$15-$K$5))))</f>
        <v>0</v>
      </c>
      <c r="Q11" s="166">
        <f>IF($D$12="Sole Trader",0,IF(G$15=0,0,IF($D$12="Partnership",(G$15-$K$5))))</f>
        <v>0</v>
      </c>
      <c r="R11" s="166">
        <f>IF($D$12="Sole Trader",0,IF(H$15=0,0,IF($D$12="Partnership",(H$15-$K$5))))</f>
        <v>0</v>
      </c>
      <c r="S11" s="166">
        <f>IF($D$12="Sole Trader",0,IF(I$15=0,0,IF($D$12="Partnership",(I$15-$K$5))))</f>
        <v>0</v>
      </c>
      <c r="T11" s="166">
        <f>IF($D$12="Sole Trader",0,IF(J$15=0,0,IF($D$12="Partnership",(J$15-$K$5))))</f>
        <v>0</v>
      </c>
    </row>
    <row r="12" spans="1:24" ht="15">
      <c r="A12" s="80"/>
      <c r="B12" s="80"/>
      <c r="C12" s="81" t="s">
        <v>41</v>
      </c>
      <c r="D12" s="19" t="s">
        <v>42</v>
      </c>
      <c r="E12" s="80"/>
      <c r="F12" s="69" t="s">
        <v>16</v>
      </c>
      <c r="G12" s="69" t="s">
        <v>17</v>
      </c>
      <c r="H12" s="69" t="s">
        <v>18</v>
      </c>
      <c r="I12" s="69" t="s">
        <v>19</v>
      </c>
      <c r="J12" s="69" t="s">
        <v>20</v>
      </c>
      <c r="K12" s="106"/>
      <c r="O12" s="57" t="s">
        <v>69</v>
      </c>
      <c r="P12" s="166">
        <f>IF(P$11&lt;$L$5,P$11*$I$7,IF(P$11&gt;$L$5,"0"))</f>
        <v>0</v>
      </c>
      <c r="Q12" s="166">
        <f>IF(Q$11&lt;$L$5,Q$11*$I$7,IF(Q$11&gt;$L$5,"0"))</f>
        <v>0</v>
      </c>
      <c r="R12" s="166">
        <f>IF(R$11&lt;$L$5,R$11*$I$7,IF(R$11&gt;$L$5,"0"))</f>
        <v>0</v>
      </c>
      <c r="S12" s="166">
        <f>IF(S$11&lt;$L$5,S$11*$I$7,IF(S$11&gt;$L$5,"0"))</f>
        <v>0</v>
      </c>
      <c r="T12" s="166">
        <f>IF(T$11&lt;$L$5,T$11*$I$7,IF(T$11&gt;$L$5,"0"))</f>
        <v>0</v>
      </c>
      <c r="U12" s="99"/>
    </row>
    <row r="13" spans="1:24">
      <c r="A13" s="80"/>
      <c r="B13" s="80"/>
      <c r="C13" s="81"/>
      <c r="D13" s="80"/>
      <c r="E13" s="80"/>
      <c r="F13" s="78"/>
      <c r="G13" s="78"/>
      <c r="H13" s="78"/>
      <c r="I13" s="78"/>
      <c r="J13" s="78"/>
      <c r="K13" s="108">
        <f>SUM(F14:J14)</f>
        <v>1</v>
      </c>
      <c r="P13" s="166" t="str">
        <f>IF($D$12="Sole Trader","0",IF(P$11&gt;$L$5,(((P$11-$L$5)*$I$5))+($L$5*$I$7),0))</f>
        <v>0</v>
      </c>
      <c r="Q13" s="166" t="str">
        <f>IF($D$12="Sole Trader","0",IF(Q$11&gt;$L$5,(((Q$11-$L$5)*$I$5))+($L$5*$I$7),0))</f>
        <v>0</v>
      </c>
      <c r="R13" s="166" t="str">
        <f>IF($D$12="Sole Trader","0",IF(R$11&gt;$L$5,(((R$11-$L$5)*$I$5))+($L$5*$I$7),0))</f>
        <v>0</v>
      </c>
      <c r="S13" s="166" t="str">
        <f>IF($D$12="Sole Trader","0",IF(S$11&gt;$L$5,(((S$11-$L$5)*$I$5))+($L$5*$I$7),0))</f>
        <v>0</v>
      </c>
      <c r="T13" s="166" t="str">
        <f>IF($D$12="Sole Trader","0",IF(T$11&gt;$L$5,(((T$11-$L$5)*$I$5))+($L$5*$I$7),0))</f>
        <v>0</v>
      </c>
      <c r="U13" s="99"/>
    </row>
    <row r="14" spans="1:24">
      <c r="A14" s="80"/>
      <c r="B14" s="80"/>
      <c r="C14" s="81" t="s">
        <v>56</v>
      </c>
      <c r="D14" s="109">
        <v>1</v>
      </c>
      <c r="E14" s="150" t="str">
        <f>IF(D12="Sole Trader","Enter '1' in D14","Enter Partners")</f>
        <v>Enter '1' in D14</v>
      </c>
      <c r="F14" s="70">
        <v>0.5</v>
      </c>
      <c r="G14" s="70">
        <v>0.5</v>
      </c>
      <c r="H14" s="70">
        <v>0</v>
      </c>
      <c r="I14" s="70">
        <v>0</v>
      </c>
      <c r="J14" s="70">
        <v>0</v>
      </c>
      <c r="K14" s="107" t="str">
        <f>IF($K$13=100%,"OKAY","ERROR")</f>
        <v>OKAY</v>
      </c>
      <c r="P14" s="167"/>
      <c r="Q14" s="167"/>
      <c r="R14" s="167"/>
      <c r="S14" s="167"/>
      <c r="T14" s="167"/>
    </row>
    <row r="15" spans="1:24">
      <c r="A15" s="80"/>
      <c r="B15" s="80"/>
      <c r="C15" s="81"/>
      <c r="D15" s="136"/>
      <c r="E15" s="175" t="s">
        <v>76</v>
      </c>
      <c r="F15" s="176">
        <f>$D$16*F14</f>
        <v>30000</v>
      </c>
      <c r="G15" s="176">
        <f>IF($D$12="Sole Trader",0,$D$16*G14)</f>
        <v>0</v>
      </c>
      <c r="H15" s="176">
        <f>IF($D$12="Sole Trader",0,$D$16*H14)</f>
        <v>0</v>
      </c>
      <c r="I15" s="176">
        <f>IF($D$12="Sole Trader",0,$D$16*I14)</f>
        <v>0</v>
      </c>
      <c r="J15" s="176">
        <f>IF($D$12="Sole Trader",0,$D$16*J14)</f>
        <v>0</v>
      </c>
      <c r="K15" s="148" t="str">
        <f>IF($D$12="Sole Trader","OKAY",IF(SUM(F15:J15)=$D$16,"OKAY","ERROR"))</f>
        <v>OKAY</v>
      </c>
      <c r="L15" s="57"/>
      <c r="O15" s="57" t="s">
        <v>70</v>
      </c>
      <c r="P15" s="168">
        <f>SUM(P7:P9)+SUM(P12:P13)</f>
        <v>0</v>
      </c>
      <c r="Q15" s="168">
        <f>SUM(Q7:Q9)+SUM(Q12:Q13)</f>
        <v>0</v>
      </c>
      <c r="R15" s="168">
        <f>SUM(R7:R9)+SUM(R12:R13)</f>
        <v>0</v>
      </c>
      <c r="S15" s="168">
        <f>SUM(S7:S9)+SUM(S12:S13)</f>
        <v>0</v>
      </c>
      <c r="T15" s="168">
        <f>SUM(T7:T9)+SUM(T12:T13)</f>
        <v>0</v>
      </c>
    </row>
    <row r="16" spans="1:24" ht="15">
      <c r="A16" s="80"/>
      <c r="B16" s="80"/>
      <c r="C16" s="81" t="s">
        <v>57</v>
      </c>
      <c r="D16" s="134">
        <v>60000</v>
      </c>
      <c r="E16" s="187"/>
      <c r="F16" s="186"/>
      <c r="G16" s="186"/>
      <c r="H16" s="186"/>
      <c r="I16" s="186"/>
      <c r="J16" s="186"/>
      <c r="K16" s="139"/>
      <c r="L16" s="57"/>
      <c r="T16" s="169">
        <f>SUM(P15:T15)</f>
        <v>0</v>
      </c>
    </row>
    <row r="17" spans="1:22" ht="15">
      <c r="A17" s="80"/>
      <c r="B17" s="80"/>
      <c r="C17" s="135"/>
      <c r="D17" s="80"/>
      <c r="E17" s="175" t="s">
        <v>74</v>
      </c>
      <c r="F17" s="177">
        <f>$D$18*F$14</f>
        <v>20000</v>
      </c>
      <c r="G17" s="177">
        <f>$D$18*G$14</f>
        <v>20000</v>
      </c>
      <c r="H17" s="177">
        <f>$D$18*H$14</f>
        <v>0</v>
      </c>
      <c r="I17" s="177">
        <f>$D$18*I$14</f>
        <v>0</v>
      </c>
      <c r="J17" s="177">
        <f>$D$18*J$14</f>
        <v>0</v>
      </c>
      <c r="K17" s="179">
        <f>SUM(F17:J17)</f>
        <v>40000</v>
      </c>
      <c r="L17" s="57"/>
    </row>
    <row r="18" spans="1:22" ht="15">
      <c r="A18" s="80"/>
      <c r="B18" s="80"/>
      <c r="C18" s="135" t="s">
        <v>89</v>
      </c>
      <c r="D18" s="134">
        <v>40000</v>
      </c>
      <c r="E18" s="175" t="s">
        <v>91</v>
      </c>
      <c r="F18" s="178">
        <f>P$15</f>
        <v>0</v>
      </c>
      <c r="G18" s="178">
        <f>Q$15</f>
        <v>0</v>
      </c>
      <c r="H18" s="178">
        <f>R$15</f>
        <v>0</v>
      </c>
      <c r="I18" s="178">
        <f>S$15</f>
        <v>0</v>
      </c>
      <c r="J18" s="178">
        <f>T$15</f>
        <v>0</v>
      </c>
      <c r="K18" s="179">
        <f>SUM(F18:J18)</f>
        <v>0</v>
      </c>
      <c r="L18" s="57"/>
      <c r="M18" s="71"/>
      <c r="P18" s="201" t="s">
        <v>72</v>
      </c>
      <c r="Q18" s="201"/>
      <c r="R18" s="201"/>
      <c r="S18" s="201"/>
      <c r="T18" s="201"/>
    </row>
    <row r="19" spans="1:22" ht="15">
      <c r="A19" s="80"/>
      <c r="B19" s="80"/>
      <c r="C19" s="82"/>
      <c r="D19" s="80"/>
      <c r="E19" s="175" t="s">
        <v>92</v>
      </c>
      <c r="F19" s="177">
        <f>P$29</f>
        <v>3937.28</v>
      </c>
      <c r="G19" s="177">
        <f>IF($D$12="Sole Trader",0,Q$29)</f>
        <v>0</v>
      </c>
      <c r="H19" s="177">
        <f>IF($D$12="Sole Trader",0,R$29)</f>
        <v>0</v>
      </c>
      <c r="I19" s="177">
        <f>IF($D$12="Sole Trader",0,S$29)</f>
        <v>0</v>
      </c>
      <c r="J19" s="177">
        <f>IF($D$12="Sole Trader",0,T$29)</f>
        <v>0</v>
      </c>
      <c r="K19" s="179">
        <f>SUM(F19:J19)</f>
        <v>3937.28</v>
      </c>
      <c r="L19" s="57"/>
      <c r="M19" s="71"/>
      <c r="P19" s="164" t="str">
        <f>F$12</f>
        <v>Partner 1</v>
      </c>
      <c r="Q19" s="164" t="str">
        <f>G$12</f>
        <v>Partner 2</v>
      </c>
      <c r="R19" s="164" t="str">
        <f>H$12</f>
        <v>Partner 3</v>
      </c>
      <c r="S19" s="164" t="str">
        <f>I$12</f>
        <v>Partner 4</v>
      </c>
      <c r="T19" s="164" t="str">
        <f>J$12</f>
        <v>Partner 5</v>
      </c>
    </row>
    <row r="20" spans="1:22">
      <c r="A20" s="80"/>
      <c r="B20" s="80"/>
      <c r="C20" s="187"/>
      <c r="D20" s="186" t="str">
        <f>IF($G$25&lt;0,"Making a loss","Okay")</f>
        <v>Okay</v>
      </c>
      <c r="E20" s="188" t="s">
        <v>93</v>
      </c>
      <c r="F20" s="177">
        <f>P$46</f>
        <v>0</v>
      </c>
      <c r="G20" s="177">
        <f>Q$46</f>
        <v>0</v>
      </c>
      <c r="H20" s="177">
        <f>R$46</f>
        <v>0</v>
      </c>
      <c r="I20" s="177">
        <f>S$46</f>
        <v>0</v>
      </c>
      <c r="J20" s="177">
        <f>T$46</f>
        <v>0</v>
      </c>
      <c r="K20" s="179">
        <f>SUM(F20:J20)</f>
        <v>0</v>
      </c>
      <c r="L20" s="57"/>
      <c r="M20" s="71"/>
      <c r="O20" s="57" t="s">
        <v>67</v>
      </c>
      <c r="P20" s="99">
        <f>IF(F$17&lt;$K$6,0,IF(F$17&lt;100000,F$17-$K$6,IF(F$17&gt;=100000,F$17)))</f>
        <v>12304</v>
      </c>
      <c r="Q20" s="99">
        <f>IF($D$12="Sole Trader",0,IF(G$17&lt;$K$6,0,IF(G$17&lt;100000,G$17-$K$6,IF(G$17&gt;=100000,G$17))))</f>
        <v>0</v>
      </c>
      <c r="R20" s="99">
        <f>IF($D$12="Sole Trader",0,IF(H$17&lt;$K$6,0,IF(H$17&lt;100000,H$17-$K$6,IF(H$17&gt;=100000,H$17))))</f>
        <v>0</v>
      </c>
      <c r="S20" s="99">
        <f>IF($D$12="Sole Trader",0,IF(I$17&lt;$K$6,0,IF(I$17&lt;100000,I$17-$K$6,IF(I$17&gt;=100000,I$17))))</f>
        <v>0</v>
      </c>
      <c r="T20" s="99">
        <f>IF($D$12="Sole Trader",0,IF(J$17&lt;$K$6,0,IF(J$17&lt;100000,J$17-$K$6,IF(J$17&gt;=100000,J$17))))</f>
        <v>0</v>
      </c>
      <c r="U20" s="169" t="s">
        <v>94</v>
      </c>
      <c r="V20" s="169"/>
    </row>
    <row r="21" spans="1:22">
      <c r="A21" s="80"/>
      <c r="B21" s="80"/>
      <c r="C21" s="189"/>
      <c r="D21" s="186" t="str">
        <f>IF(($D$16-$J$28-$D$18)&lt;0,"Illegal Dividend","Okay")</f>
        <v>Okay</v>
      </c>
      <c r="E21" s="190"/>
      <c r="F21" s="80"/>
      <c r="G21" s="83"/>
      <c r="H21" s="81" t="s">
        <v>86</v>
      </c>
      <c r="I21" s="125">
        <v>0.2</v>
      </c>
      <c r="J21" s="80" t="s">
        <v>87</v>
      </c>
      <c r="K21" s="180"/>
      <c r="P21" s="166">
        <f>IF(P$20&lt;$K$8,P$20*$J$7,IF(P$20&gt;$K$8,0))</f>
        <v>2460.8000000000002</v>
      </c>
      <c r="Q21" s="166">
        <f>IF(Q$20=0,0,IF(Q$20&lt;$K$8,Q$20*$J$7,IF(Q$20&gt;$K$8,0)))</f>
        <v>0</v>
      </c>
      <c r="R21" s="166">
        <f>IF(R$20=0,0,IF(R$20&lt;$K$8,R$20*$J$7,IF(R$20&gt;$K$8,0)))</f>
        <v>0</v>
      </c>
      <c r="S21" s="166">
        <f>IF(S$20=0,0,IF(S$20&lt;$K$8,S$20*$J$7,IF(S$20&gt;$K$8,0)))</f>
        <v>0</v>
      </c>
      <c r="T21" s="166">
        <f>IF(T$20=0,0,IF(T$20&lt;$K$8,T$20*$J$7,IF(T$20&gt;$K$8,0)))</f>
        <v>0</v>
      </c>
    </row>
    <row r="22" spans="1:22">
      <c r="A22" s="1"/>
      <c r="B22" s="1"/>
      <c r="C22" s="73"/>
      <c r="D22" s="68"/>
      <c r="E22" s="104"/>
      <c r="F22" s="1"/>
      <c r="G22" s="104"/>
      <c r="H22" s="1"/>
      <c r="I22" s="105"/>
      <c r="J22" s="1"/>
      <c r="K22" s="180"/>
      <c r="L22" s="57"/>
      <c r="M22" s="57"/>
      <c r="N22" s="57"/>
      <c r="P22" s="166">
        <f>IF(P$20&lt;$K$8,0,IF(P$20&gt;=$K$9,0,IF(P$20&lt;$K$9,((P$20-$K$8)*$J$8)+($K$8*$J$7))))</f>
        <v>0</v>
      </c>
      <c r="Q22" s="166">
        <f>IF(Q$20=0,0,IF(Q$20&lt;$K$8,0,IF(Q$20&gt;=$K$9,0,IF(Q$20&lt;$K$9,((Q$20-$K$8)*$J$8)+($K$8*$J$7)))))</f>
        <v>0</v>
      </c>
      <c r="R22" s="166">
        <f>IF(R$20=0,0,IF(R$20&lt;$K$8,0,IF(R$20&gt;=$K$9,0,IF(R$20&lt;$K$9,((R$20-$K$8)*$J$8)+($K$8*$J$7)))))</f>
        <v>0</v>
      </c>
      <c r="S22" s="166">
        <f>IF(S$20=0,0,IF(S$20&lt;$K$8,0,IF(S$20&gt;=$K$9,0,IF(S$20&lt;$K$9,((S$20-$K$8)*$J$8)+($K$8*$J$7)))))</f>
        <v>0</v>
      </c>
      <c r="T22" s="166">
        <f>IF(T$20=0,0,IF(T$20&lt;$K$8,0,IF(T$20&gt;=$K$9,0,IF(T$20&lt;$K$9,((T$20-$K$8)*$J$8)+($K$8*$J$7)))))</f>
        <v>0</v>
      </c>
      <c r="V22" s="124"/>
    </row>
    <row r="23" spans="1:22">
      <c r="A23" s="1"/>
      <c r="B23" s="1"/>
      <c r="C23" s="73"/>
      <c r="D23" s="68"/>
      <c r="E23" s="104"/>
      <c r="F23" s="1"/>
      <c r="G23" s="104"/>
      <c r="H23" s="1"/>
      <c r="I23" s="105"/>
      <c r="J23" s="1"/>
      <c r="K23" s="104"/>
      <c r="L23" s="57"/>
      <c r="M23" s="57"/>
      <c r="N23" s="57"/>
      <c r="P23" s="166">
        <f>IF(P$20=0,0,IF(P$20&gt;=$K$9,P$24,0))</f>
        <v>0</v>
      </c>
      <c r="Q23" s="166">
        <f>IF(Q$20=0,0,IF(Q$20&gt;=$K$9,Q$24,0))</f>
        <v>0</v>
      </c>
      <c r="R23" s="166">
        <f>IF(R$20=0,0,IF(R$20&gt;=$K$9,R$24,0))</f>
        <v>0</v>
      </c>
      <c r="S23" s="166">
        <f>IF(S$20=0,0,IF(S$20&gt;=$K$9,S$24,0))</f>
        <v>0</v>
      </c>
      <c r="T23" s="166">
        <f>IF(T$20=0,0,IF(T$20&gt;=$K$9,T$24,0))</f>
        <v>0</v>
      </c>
    </row>
    <row r="24" spans="1:22" ht="15" thickBot="1">
      <c r="A24" s="1"/>
      <c r="B24" s="1"/>
      <c r="C24" s="137"/>
      <c r="D24" s="68"/>
      <c r="E24" s="104"/>
      <c r="F24" s="1"/>
      <c r="G24" s="180"/>
      <c r="H24" s="1"/>
      <c r="I24" s="105"/>
      <c r="J24" s="1"/>
      <c r="K24" s="180"/>
      <c r="L24" s="57"/>
      <c r="M24" s="57"/>
      <c r="N24" s="57"/>
      <c r="P24" s="166">
        <f>IF(P$20&gt;$K$9,((((P$20-$K$9)*$J$9)+(($K$9-$K$8)*$J$8)+($K$8*$J$7))),0)</f>
        <v>0</v>
      </c>
      <c r="Q24" s="166">
        <f>IF(Q$20=0,0,IF(Q$20&gt;$K$9,((((Q$20-$K$9)*$J$9)+(($K$9-$K$8)*$J$8)+($K$8*$J$7))),0))</f>
        <v>0</v>
      </c>
      <c r="R24" s="166">
        <f>IF(R$20=0,0,IF(R$20&gt;$K$9,((((R$20-$K$9)*$J$9)+(($K$9-$K$8)*$J$8)+($K$8*$J$7))),0))</f>
        <v>0</v>
      </c>
      <c r="S24" s="166">
        <f>IF(S$20=0,0,IF(S$20&gt;$K$9,((((S$20-$K$9)*$J$9)+(($K$9-$K$8)*$J$8)+($K$8*$J$7))),0))</f>
        <v>0</v>
      </c>
      <c r="T24" s="166">
        <f>IF(T$20=0,0,IF(T$20&gt;$K$9,((((T$20-$K$9)*$J$9)+(($K$9-$K$8)*$J$8)+($K$8*$J$7))),0))</f>
        <v>0</v>
      </c>
    </row>
    <row r="25" spans="1:22">
      <c r="C25" s="138">
        <f>IF($D$12="Partnership",0,IF($D$16&lt;=$K$7,0,IF($D$16&lt;=100000,$D$16-$K$7,IF($D$16&gt;=100000,$D$16))))</f>
        <v>50560</v>
      </c>
      <c r="D25" s="62"/>
      <c r="E25" s="100"/>
      <c r="F25" s="62"/>
      <c r="G25" s="181">
        <f>$D$16-$K$17-$H$32</f>
        <v>15542.047999999999</v>
      </c>
      <c r="H25" s="62"/>
      <c r="I25" s="57"/>
      <c r="J25" s="62"/>
      <c r="K25" s="183"/>
      <c r="L25" s="99"/>
      <c r="M25" s="57"/>
      <c r="N25" s="57"/>
      <c r="O25" s="57" t="s">
        <v>68</v>
      </c>
      <c r="P25" s="99">
        <f>IF(F$17&lt;$K$6,0,(F$17-$K$6))</f>
        <v>12304</v>
      </c>
      <c r="Q25" s="99">
        <f>IF($D$12="Sole Trader",0,IF(G$17&lt;$K$6,0,((G$17-$K$6))))</f>
        <v>0</v>
      </c>
      <c r="R25" s="99">
        <f>IF($D$12="Sole Trader",0,IF(H$17&lt;$K$6,0,((H$17-$K$6))))</f>
        <v>0</v>
      </c>
      <c r="S25" s="99">
        <f>IF($D$12="Sole Trader",0,IF(I$17&lt;$K$6,0,((I$17-$K$6))))</f>
        <v>0</v>
      </c>
      <c r="T25" s="99">
        <f>IF($D$12="Sole Trader",0,IF(J$17&lt;$K$6,0,((J$17-$K$6))))</f>
        <v>0</v>
      </c>
    </row>
    <row r="26" spans="1:22" ht="15">
      <c r="C26" s="139"/>
      <c r="D26" s="76" t="s">
        <v>44</v>
      </c>
      <c r="E26" s="100"/>
      <c r="F26" s="76" t="s">
        <v>43</v>
      </c>
      <c r="G26" s="182"/>
      <c r="H26" s="76" t="s">
        <v>59</v>
      </c>
      <c r="I26" s="102"/>
      <c r="J26" s="76" t="s">
        <v>45</v>
      </c>
      <c r="K26" s="184">
        <f>($D$16-($D$14*$K$6))</f>
        <v>52304</v>
      </c>
      <c r="L26" s="103"/>
      <c r="M26" s="57"/>
      <c r="N26" s="57"/>
      <c r="O26" s="57" t="s">
        <v>69</v>
      </c>
      <c r="P26" s="166">
        <f>IF(P$25&lt;$L$5,P$25*$J$5,IF(P$25&gt;$L$5,"0"))</f>
        <v>1476.48</v>
      </c>
      <c r="Q26" s="166">
        <f>IF($D$12="Sole Trader",0,IF(Q$25&lt;$L$5,Q$25*$J$5,IF(Q$25&gt;$L$5,0)))</f>
        <v>0</v>
      </c>
      <c r="R26" s="166">
        <f>IF($D$12="Sole Trader",0,IF(R$25&lt;$L$5,R$25*$J$5,IF(R$25&gt;$L$5,0)))</f>
        <v>0</v>
      </c>
      <c r="S26" s="166">
        <f>IF($D$12="Sole Trader",0,IF(S$25&lt;$L$5,S$25*$J$5,IF(S$25&gt;$L$5,0)))</f>
        <v>0</v>
      </c>
      <c r="T26" s="166">
        <f>IF($D$12="Sole Trader",0,IF(T$25&lt;$L$5,T$25*$J$5,IF(T$25&gt;$L$5,0)))</f>
        <v>0</v>
      </c>
    </row>
    <row r="27" spans="1:22" ht="18" customHeight="1">
      <c r="A27" s="60" t="s">
        <v>50</v>
      </c>
      <c r="C27" s="139"/>
      <c r="D27" s="63"/>
      <c r="E27" s="139"/>
      <c r="F27" s="63"/>
      <c r="G27" s="182"/>
      <c r="H27" s="63"/>
      <c r="I27" s="57"/>
      <c r="J27" s="66"/>
      <c r="K27" s="183"/>
      <c r="L27" s="100"/>
      <c r="M27" s="57"/>
      <c r="N27" s="57"/>
      <c r="P27" s="166">
        <f>IF(P$25&gt;$L$5,(((P$25-$L$5)*$I$5))+($L$5*$J$5),0)</f>
        <v>0</v>
      </c>
      <c r="Q27" s="166">
        <f>IF($D$12="Sole Trader",0,IF(Q$25&gt;$L$5,(((Q$25-$L$5)*$I$5))+($L$5*$J$5),0))</f>
        <v>0</v>
      </c>
      <c r="R27" s="166">
        <f>IF($D$12="Sole Trader",0,IF(R$25&gt;$L$5,(((R$25-$L$5)*$I$5))+($L$5*$J$5),0))</f>
        <v>0</v>
      </c>
      <c r="S27" s="166">
        <f>IF($D$12="Sole Trader",0,IF(S$25&gt;$L$5,(((S$25-$L$5)*$I$5))+($L$5*$J$5),0))</f>
        <v>0</v>
      </c>
      <c r="T27" s="166">
        <f>IF($D$12="Sole Trader",0,IF(T$25&gt;$L$5,(((T$25-$L$5)*$I$5))+($L$5*$J$5),0))</f>
        <v>0</v>
      </c>
    </row>
    <row r="28" spans="1:22" ht="18" customHeight="1">
      <c r="A28" t="s">
        <v>48</v>
      </c>
      <c r="C28" s="139"/>
      <c r="D28" s="65">
        <v>0</v>
      </c>
      <c r="E28" s="138" t="str">
        <f>IF($C$25&lt;$K$8,$C$25*$J$7,IF($C$25&gt;$K$8,"0"))</f>
        <v>0</v>
      </c>
      <c r="F28" s="149">
        <v>0</v>
      </c>
      <c r="G28" s="72"/>
      <c r="H28" s="65">
        <f>IF(G$25&lt;$K$3,G$25*$J$3,IF(G$25&gt;$K$3,((G$25-$K$3)*$J$4)+($K$3*$J$3)))</f>
        <v>3108.4096</v>
      </c>
      <c r="I28" s="72"/>
      <c r="J28" s="65">
        <f>IF($K$26&lt;=$K$3,$K$26*$J$3,IF($K$26&gt;$K$3,(K3*J3)+(($K$26-$K$3)*$J$4)))</f>
        <v>10460.800000000001</v>
      </c>
      <c r="K28" s="185"/>
      <c r="L28" s="100"/>
      <c r="M28" s="99"/>
      <c r="N28" s="57"/>
      <c r="P28" s="99"/>
      <c r="Q28" s="99"/>
      <c r="R28" s="99"/>
      <c r="S28" s="99"/>
      <c r="T28" s="99"/>
    </row>
    <row r="29" spans="1:22" ht="18" customHeight="1">
      <c r="A29" t="s">
        <v>49</v>
      </c>
      <c r="C29" s="139"/>
      <c r="D29" s="194">
        <f>SUM(E28:E30)</f>
        <v>13821.800000000001</v>
      </c>
      <c r="E29" s="138">
        <f>IF($C$25&lt;$K$8,"0",IF($C$25&gt;=$K$9,"0",IF($C$25&lt;$K$9,(($C$25-$K$8)*$J$8)+($K$8*$J$7))))</f>
        <v>13821.800000000001</v>
      </c>
      <c r="F29" s="65">
        <f>SUM(P7:T9)</f>
        <v>0</v>
      </c>
      <c r="G29" s="72"/>
      <c r="H29" s="65">
        <f>SUM(P21:T23)</f>
        <v>2460.8000000000002</v>
      </c>
      <c r="I29" s="72"/>
      <c r="J29" s="65">
        <f>$T$47</f>
        <v>0</v>
      </c>
      <c r="K29" s="100"/>
      <c r="L29" s="100"/>
      <c r="M29" s="99"/>
      <c r="N29" s="57"/>
      <c r="O29" s="57" t="s">
        <v>73</v>
      </c>
      <c r="P29" s="168">
        <f>SUM(P21:P23)+SUM(P26:P27)</f>
        <v>3937.28</v>
      </c>
      <c r="Q29" s="168">
        <f>SUM(Q21:Q23)+SUM(Q26:Q27)</f>
        <v>0</v>
      </c>
      <c r="R29" s="168">
        <f>SUM(R21:R23)+SUM(R26:R27)</f>
        <v>0</v>
      </c>
      <c r="S29" s="168">
        <f>SUM(S21:S23)+SUM(S26:S27)</f>
        <v>0</v>
      </c>
      <c r="T29" s="168">
        <f>SUM(T21:T23)+SUM(T26:T27)</f>
        <v>0</v>
      </c>
    </row>
    <row r="30" spans="1:22" ht="18" customHeight="1">
      <c r="C30" s="139"/>
      <c r="D30" s="65"/>
      <c r="E30" s="138" t="b">
        <f>IF($D$12="Partnership",0,IF($D$16&gt;=$K9,$E$31+$E$32))</f>
        <v>0</v>
      </c>
      <c r="F30" s="65"/>
      <c r="G30" s="100"/>
      <c r="H30" s="65"/>
      <c r="I30" s="100"/>
      <c r="J30" s="65"/>
      <c r="K30" s="100"/>
      <c r="L30" s="99"/>
      <c r="M30" s="99"/>
      <c r="N30" s="57"/>
      <c r="P30" s="124"/>
      <c r="T30" s="169">
        <f>SUM(P29:T29)</f>
        <v>3937.28</v>
      </c>
    </row>
    <row r="31" spans="1:22" ht="18" customHeight="1">
      <c r="A31" s="60" t="s">
        <v>51</v>
      </c>
      <c r="C31" s="139"/>
      <c r="D31" s="65"/>
      <c r="E31" s="138" t="str">
        <f>IF($D$12="Partnership","0",IF($C$25&lt;$K$9,"0",($C$25-$K$9)*$J$9))</f>
        <v>0</v>
      </c>
      <c r="F31" s="65"/>
      <c r="G31" s="100"/>
      <c r="H31" s="65"/>
      <c r="I31" s="72"/>
      <c r="J31" s="65"/>
      <c r="K31" s="72"/>
      <c r="L31" s="57"/>
      <c r="M31" s="99"/>
      <c r="N31" s="57"/>
      <c r="O31" s="57" t="s">
        <v>75</v>
      </c>
      <c r="P31" s="99">
        <f>P$20-P$29</f>
        <v>8366.7199999999993</v>
      </c>
      <c r="Q31" s="99">
        <f>Q$20-Q$29</f>
        <v>0</v>
      </c>
      <c r="R31" s="99">
        <f>R$20-R$29</f>
        <v>0</v>
      </c>
      <c r="S31" s="99">
        <f>S$20-S$29</f>
        <v>0</v>
      </c>
      <c r="T31" s="99">
        <f>T$20-T$29</f>
        <v>0</v>
      </c>
    </row>
    <row r="32" spans="1:22" ht="18" customHeight="1">
      <c r="A32" t="s">
        <v>52</v>
      </c>
      <c r="C32" s="138"/>
      <c r="D32" s="65">
        <v>0</v>
      </c>
      <c r="E32" s="138">
        <f>($K$8*$J$7)+(($K$9-$K$8)*$J$8)</f>
        <v>53598.2</v>
      </c>
      <c r="F32" s="65">
        <v>0</v>
      </c>
      <c r="G32" s="72"/>
      <c r="H32" s="65">
        <f>($D$18-($D$14*$K$6))*$J$6</f>
        <v>4457.9520000000002</v>
      </c>
      <c r="I32" s="100"/>
      <c r="J32" s="65">
        <v>0</v>
      </c>
      <c r="K32" s="72"/>
      <c r="L32" s="57"/>
      <c r="M32" s="99"/>
      <c r="N32" s="57"/>
    </row>
    <row r="33" spans="1:22" ht="18" customHeight="1">
      <c r="A33" t="s">
        <v>53</v>
      </c>
      <c r="C33" s="138">
        <f>IF($D$12="Partnership","0",IF($D$16&lt;=$K$5,0,IF($D$12="Sole Trader",$D$16-$K$5)))</f>
        <v>52252</v>
      </c>
      <c r="D33" s="65">
        <f>SUM(E33:E34)</f>
        <v>3403.7599999999998</v>
      </c>
      <c r="E33" s="138" t="str">
        <f>IF(C$33&lt;$L$5,$C$33*$I$7,IF($C$33&gt;$L$5,"0"))</f>
        <v>0</v>
      </c>
      <c r="F33" s="65">
        <f>SUM(P12:T13)</f>
        <v>0</v>
      </c>
      <c r="G33" s="72"/>
      <c r="H33" s="65">
        <f>SUM(P26:T27)</f>
        <v>1476.48</v>
      </c>
      <c r="I33" s="100"/>
      <c r="J33" s="65">
        <v>0</v>
      </c>
      <c r="K33" s="57"/>
      <c r="L33" s="57"/>
      <c r="M33" s="99"/>
      <c r="N33" s="57"/>
    </row>
    <row r="34" spans="1:22" ht="18" customHeight="1">
      <c r="C34" s="139"/>
      <c r="D34" s="65"/>
      <c r="E34" s="138">
        <f>IF($D$12="Partnership","0",IF($C$33&gt;$L$5,((($C$33-$L$5)*$I$5))+($L$5*$I$7),"0"))</f>
        <v>3403.7599999999998</v>
      </c>
      <c r="F34" s="65"/>
      <c r="G34" s="72"/>
      <c r="H34" s="65"/>
      <c r="I34" s="99"/>
      <c r="J34" s="65"/>
      <c r="K34" s="57"/>
      <c r="L34" s="57"/>
      <c r="M34" s="57"/>
      <c r="N34" s="57"/>
      <c r="P34" s="201" t="s">
        <v>77</v>
      </c>
      <c r="Q34" s="201"/>
      <c r="R34" s="201"/>
      <c r="S34" s="201"/>
      <c r="T34" s="201"/>
    </row>
    <row r="35" spans="1:22" s="57" customFormat="1" ht="18" customHeight="1" thickBot="1">
      <c r="A35" s="146" t="s">
        <v>54</v>
      </c>
      <c r="D35" s="147">
        <f>SUM(D28:D33)</f>
        <v>17225.560000000001</v>
      </c>
      <c r="E35" s="123"/>
      <c r="F35" s="147">
        <f>SUM(F28:F33)</f>
        <v>0</v>
      </c>
      <c r="G35" s="75"/>
      <c r="H35" s="147">
        <f>SUM(H28:H33)</f>
        <v>11503.641599999999</v>
      </c>
      <c r="I35" s="100"/>
      <c r="J35" s="147">
        <f>SUM(J28:J33)</f>
        <v>10460.800000000001</v>
      </c>
      <c r="P35" s="164" t="str">
        <f>F$12</f>
        <v>Partner 1</v>
      </c>
      <c r="Q35" s="164" t="str">
        <f>G$12</f>
        <v>Partner 2</v>
      </c>
      <c r="R35" s="164" t="str">
        <f>H$12</f>
        <v>Partner 3</v>
      </c>
      <c r="S35" s="164" t="str">
        <f>I$12</f>
        <v>Partner 4</v>
      </c>
      <c r="T35" s="164" t="str">
        <f>J$12</f>
        <v>Partner 5</v>
      </c>
    </row>
    <row r="36" spans="1:22" ht="15" thickTop="1">
      <c r="C36" s="57"/>
      <c r="D36" s="65"/>
      <c r="E36" s="140"/>
      <c r="F36" s="65"/>
      <c r="G36" s="72"/>
      <c r="H36" s="65"/>
      <c r="I36" s="100"/>
      <c r="J36" s="63"/>
      <c r="K36" s="57"/>
      <c r="L36" s="57"/>
      <c r="M36" s="57"/>
      <c r="N36" s="57"/>
      <c r="O36" s="57" t="s">
        <v>79</v>
      </c>
      <c r="P36" s="170">
        <f>(F$17-$K$6)/0.9</f>
        <v>13671.111111111111</v>
      </c>
      <c r="Q36" s="170">
        <f>IF($D$12="Sole Trader",0,((G$17-$K$6)/0.9))</f>
        <v>0</v>
      </c>
      <c r="R36" s="170">
        <f>IF($D$12="Sole Trader",0,((H$17-$K$6)/0.9))</f>
        <v>0</v>
      </c>
      <c r="S36" s="170">
        <f>IF($D$12="Sole Trader",0,((I$17-$K$6)/0.9))</f>
        <v>0</v>
      </c>
      <c r="T36" s="170">
        <f>IF($D$12="Sole Trader",0,((J$17-$K$6)/0.9))</f>
        <v>0</v>
      </c>
      <c r="U36" s="99"/>
    </row>
    <row r="37" spans="1:22" s="142" customFormat="1" ht="23.1" customHeight="1" thickBot="1">
      <c r="A37" s="141" t="s">
        <v>90</v>
      </c>
      <c r="D37" s="143">
        <f>IF(C25=0,0,IF(C25&gt;0,$D$16-D35))</f>
        <v>42774.44</v>
      </c>
      <c r="F37" s="143" t="str">
        <f>IF($D$12="Sole Trader","0",IF(SUM(F15:J15)&gt;0,$D$16-$F$35))</f>
        <v>0</v>
      </c>
      <c r="G37" s="144"/>
      <c r="H37" s="143">
        <f>$K$17-$T$30</f>
        <v>36062.720000000001</v>
      </c>
      <c r="I37" s="145"/>
      <c r="J37" s="143">
        <f>$D$18-$J$29</f>
        <v>40000</v>
      </c>
      <c r="O37" s="57" t="s">
        <v>80</v>
      </c>
      <c r="P37" s="99">
        <f>-P$36*0.1</f>
        <v>-1367.1111111111113</v>
      </c>
      <c r="Q37" s="99">
        <f>-Q$36*0.1</f>
        <v>0</v>
      </c>
      <c r="R37" s="99">
        <f>-R$36*0.1</f>
        <v>0</v>
      </c>
      <c r="S37" s="99">
        <f>-S$36*0.1</f>
        <v>0</v>
      </c>
      <c r="T37" s="99">
        <f>-T$36*0.1</f>
        <v>0</v>
      </c>
      <c r="U37" s="99"/>
      <c r="V37" s="57"/>
    </row>
    <row r="38" spans="1:22" ht="21" customHeight="1" thickTop="1">
      <c r="A38" s="60" t="s">
        <v>60</v>
      </c>
      <c r="C38" s="57"/>
      <c r="D38" s="74">
        <f>IF($D$12="Partnership","0",$D$16-D$35-D$37)</f>
        <v>0</v>
      </c>
      <c r="E38" s="139"/>
      <c r="F38" s="74" t="str">
        <f>IF($D$12="Sole Trader","0",$D$16-F$35-F$37)</f>
        <v>0</v>
      </c>
      <c r="G38" s="101"/>
      <c r="H38" s="74">
        <f>$D$16-$H$28-$H$32-$K$17-$V$20</f>
        <v>12433.638400000003</v>
      </c>
      <c r="I38" s="57"/>
      <c r="J38" s="74">
        <f>$D$16-$J$28-$D$18</f>
        <v>9539.1999999999971</v>
      </c>
      <c r="K38" s="57"/>
      <c r="L38" s="57"/>
      <c r="M38" s="57"/>
      <c r="N38" s="57"/>
      <c r="P38" s="99"/>
      <c r="Q38" s="99"/>
      <c r="R38" s="99"/>
      <c r="S38" s="99"/>
      <c r="T38" s="99"/>
    </row>
    <row r="39" spans="1:22">
      <c r="C39" s="57"/>
      <c r="D39" s="65"/>
      <c r="E39" s="72"/>
      <c r="F39" s="65"/>
      <c r="G39" s="72"/>
      <c r="H39" s="65"/>
      <c r="I39" s="72"/>
      <c r="J39" s="63"/>
      <c r="K39" s="57"/>
      <c r="L39" s="57"/>
      <c r="M39" s="57"/>
      <c r="N39" s="57"/>
      <c r="O39" s="57" t="s">
        <v>81</v>
      </c>
      <c r="P39" s="171">
        <f>($K$8+$L$7)*$I$2</f>
        <v>3375.5</v>
      </c>
      <c r="Q39" s="171">
        <f>IF($D$12="Sole Trader",0,(($K$8+$L$7)*$I$2))</f>
        <v>0</v>
      </c>
      <c r="R39" s="171">
        <f>IF($D$12="Sole Trader",0,(($K$8+$L$7)*$I$2))</f>
        <v>0</v>
      </c>
      <c r="S39" s="171">
        <f>IF($D$12="Sole Trader",0,(($K$8+$L$7)*$I$2))</f>
        <v>0</v>
      </c>
      <c r="T39" s="171">
        <f>IF($D$12="Sole Trader",0,(($K$8+$L$7)*$I$2))</f>
        <v>0</v>
      </c>
      <c r="U39" s="99"/>
    </row>
    <row r="40" spans="1:22" ht="18" customHeight="1">
      <c r="A40" s="60" t="s">
        <v>61</v>
      </c>
      <c r="C40" s="57"/>
      <c r="D40" s="77">
        <f>SUM(D37:D38)</f>
        <v>42774.44</v>
      </c>
      <c r="E40" s="101"/>
      <c r="F40" s="77">
        <f>SUM(F37:F38)</f>
        <v>0</v>
      </c>
      <c r="G40" s="101"/>
      <c r="H40" s="77">
        <f>SUM(H37:H38)</f>
        <v>48496.358400000005</v>
      </c>
      <c r="I40" s="101"/>
      <c r="J40" s="77">
        <f>SUM(J37:J38)</f>
        <v>49539.199999999997</v>
      </c>
      <c r="K40" s="57"/>
      <c r="L40" s="57"/>
      <c r="M40" s="57"/>
      <c r="N40" s="57"/>
      <c r="O40" s="172" t="s">
        <v>82</v>
      </c>
      <c r="P40" s="100">
        <f>IF(P$36&lt;$K$8,0,IF(P$36&gt;$K$9,0,IF(P$36&gt;$K$8,(P$36-$J$2-$L$7)*$K$2)))</f>
        <v>0</v>
      </c>
      <c r="Q40" s="100">
        <f>IF(Q$36&lt;$K$8,0,IF(Q$36&gt;$K$9,0,IF(Q$36&gt;$K$8,(Q$36-$J$2-$L$7)*$K$2)))</f>
        <v>0</v>
      </c>
      <c r="R40" s="100">
        <f>IF(R$36&lt;$K$8,0,IF(R$36&gt;$K$9,0,IF(R$36&gt;$K$8,(R$36-$J$2-$L$7)*$K$2)))</f>
        <v>0</v>
      </c>
      <c r="S40" s="100">
        <f>IF(S$36&lt;$K$8,0,IF(S$36&gt;$K$9,0,IF(S$36&gt;$K$8,(S$36-$J$2-$L$7)*$K$2)))</f>
        <v>0</v>
      </c>
      <c r="T40" s="100">
        <f>IF(T$36&lt;$K$8,0,IF(T$36&gt;$K$9,0,IF(T$36&gt;$K$8,(T$36-$J$2-$L$7)*$K$2)))</f>
        <v>0</v>
      </c>
      <c r="U40" s="99"/>
    </row>
    <row r="41" spans="1:22" ht="18.75" customHeight="1" thickBot="1">
      <c r="C41" s="57"/>
      <c r="D41" s="64"/>
      <c r="E41" s="72"/>
      <c r="F41" s="64"/>
      <c r="G41" s="72"/>
      <c r="H41" s="64"/>
      <c r="I41" s="72"/>
      <c r="J41" s="67"/>
      <c r="K41" s="57"/>
      <c r="L41" s="57"/>
      <c r="M41" s="57"/>
      <c r="N41" s="57"/>
      <c r="O41" s="57" t="s">
        <v>83</v>
      </c>
      <c r="P41" s="100">
        <f>IF(P$36&lt;$K$9,0,IF(P$36&gt;$K$9,((P$36-$K$9)*$K$1)))</f>
        <v>0</v>
      </c>
      <c r="Q41" s="100">
        <f>IF($D$12="Sole Trader",0,IF(Q$36&lt;$K$9,0,IF(Q$36&gt;$K$9,((Q$36-$K$9)*$K$1))))</f>
        <v>0</v>
      </c>
      <c r="R41" s="100">
        <f>IF($D$12="Sole Trader",0,IF(R$36&lt;$K$9,0,IF(R$36&gt;$K$9,((R$36-$K$9)*$K$1))))</f>
        <v>0</v>
      </c>
      <c r="S41" s="100">
        <f>IF($D$12="Sole Trader",0,IF(S$36&lt;$K$9,0,IF(S$36&gt;$K$9,((S$36-$K$9)*$K$1))))</f>
        <v>0</v>
      </c>
      <c r="T41" s="100">
        <f>IF($D$12="Sole Trader",0,IF(T$36&lt;$K$9,0,IF(T$36&gt;$K$9,((T$36-$K$9)*$K$1))))</f>
        <v>0</v>
      </c>
      <c r="U41" s="99"/>
    </row>
    <row r="42" spans="1:22">
      <c r="C42" s="57"/>
      <c r="D42" s="61"/>
      <c r="E42" s="61"/>
      <c r="F42" s="61"/>
      <c r="G42" s="72"/>
      <c r="H42" s="61"/>
      <c r="I42" s="72"/>
      <c r="K42" s="57"/>
      <c r="L42" s="57"/>
      <c r="M42" s="57"/>
      <c r="N42" s="57"/>
      <c r="P42" s="100">
        <f>IF(P$41&lt;=0,0,IF(P$41&gt;0,($J$1-$J$2-$L$7)*$K$2))</f>
        <v>0</v>
      </c>
      <c r="Q42" s="100">
        <f>IF($D$12="Sole Trader",0,IF(Q$41&lt;=0,0,IF(Q$41&gt;0,($J$1-$J$2-$L$7)*$K$2)))</f>
        <v>0</v>
      </c>
      <c r="R42" s="100">
        <f>IF($D$12="Sole Trader",0,IF(R$41&lt;=0,0,IF(R$41&gt;0,($J$1-$J$2-$L$7)*$K$2)))</f>
        <v>0</v>
      </c>
      <c r="S42" s="100">
        <f>IF($D$12="Sole Trader",0,IF(S$41&lt;=0,0,IF(S$41&gt;0,($J$1-$J$2-$L$7)*$K$2)))</f>
        <v>0</v>
      </c>
      <c r="T42" s="100">
        <f>IF($D$12="Sole Trader",0,IF(T$41&lt;=0,0,IF(T$41&gt;0,($J$1-$J$2-$L$7)*$K$2)))</f>
        <v>0</v>
      </c>
      <c r="U42" s="99"/>
    </row>
    <row r="43" spans="1:22">
      <c r="C43" s="57"/>
      <c r="D43" s="61"/>
      <c r="E43" s="61"/>
      <c r="F43" s="61"/>
      <c r="G43" s="72"/>
      <c r="H43" s="61"/>
      <c r="I43" s="72"/>
      <c r="K43" s="57"/>
      <c r="L43" s="57"/>
      <c r="M43" s="57"/>
      <c r="N43" s="57"/>
      <c r="P43" s="100"/>
      <c r="Q43" s="100"/>
      <c r="R43" s="100"/>
      <c r="S43" s="100"/>
      <c r="T43" s="100"/>
      <c r="U43" s="99"/>
    </row>
    <row r="44" spans="1:22">
      <c r="C44" s="57"/>
      <c r="D44" s="61"/>
      <c r="E44" s="61"/>
      <c r="F44" s="61"/>
      <c r="G44" s="72"/>
      <c r="H44" s="61"/>
      <c r="I44" s="72"/>
      <c r="K44" s="57"/>
      <c r="L44" s="57"/>
      <c r="M44" s="57"/>
      <c r="N44" s="57"/>
      <c r="P44" s="173"/>
      <c r="Q44" s="173"/>
      <c r="R44" s="173"/>
      <c r="S44" s="173"/>
      <c r="T44" s="173"/>
      <c r="U44" s="99"/>
    </row>
    <row r="45" spans="1:22" ht="21.75" customHeight="1" thickBot="1">
      <c r="C45" s="57"/>
      <c r="D45" s="61"/>
      <c r="E45" s="61"/>
      <c r="F45" s="61"/>
      <c r="G45" s="61"/>
      <c r="H45" s="61"/>
      <c r="I45" s="61"/>
      <c r="J45" s="155"/>
      <c r="K45" s="57"/>
      <c r="L45" s="57"/>
      <c r="M45" s="57"/>
      <c r="N45" s="57"/>
      <c r="P45" s="99"/>
      <c r="Q45" s="99"/>
      <c r="R45" s="99"/>
      <c r="S45" s="99"/>
      <c r="T45" s="99"/>
      <c r="U45" s="99"/>
    </row>
    <row r="46" spans="1:22">
      <c r="D46" s="85"/>
      <c r="E46" s="86"/>
      <c r="F46" s="86"/>
      <c r="G46" s="86"/>
      <c r="H46" s="86"/>
      <c r="I46" s="151"/>
      <c r="J46" s="155"/>
      <c r="K46" s="57"/>
      <c r="L46" s="57"/>
      <c r="M46" s="57"/>
      <c r="N46" s="57"/>
      <c r="O46" s="57" t="s">
        <v>84</v>
      </c>
      <c r="P46" s="168">
        <f>IF(P$36&lt;($K$8+$L$7),0,SUM(P37:P42))</f>
        <v>0</v>
      </c>
      <c r="Q46" s="168">
        <f>IF(Q$36&lt;($K$8+$L$7),0,SUM(Q37:Q42))</f>
        <v>0</v>
      </c>
      <c r="R46" s="168">
        <f>IF(R$36&lt;($K$8+$L$7),0,SUM(R37:R42))</f>
        <v>0</v>
      </c>
      <c r="S46" s="168">
        <f>IF(S$36&lt;($K$8+$L$7),0,SUM(S37:S42))</f>
        <v>0</v>
      </c>
      <c r="T46" s="168">
        <f>IF(T$36&lt;($K$8+$L$7),0,SUM(T37:T42))</f>
        <v>0</v>
      </c>
      <c r="U46" s="99"/>
    </row>
    <row r="47" spans="1:22" ht="15">
      <c r="D47" s="87"/>
      <c r="E47" s="91" t="s">
        <v>63</v>
      </c>
      <c r="F47" s="95"/>
      <c r="G47" s="92"/>
      <c r="H47" s="95">
        <f>$D$35</f>
        <v>17225.560000000001</v>
      </c>
      <c r="I47" s="152"/>
      <c r="J47" s="155"/>
      <c r="K47" s="57"/>
      <c r="L47" s="57"/>
      <c r="M47" s="57"/>
      <c r="N47" s="57"/>
      <c r="P47" s="99"/>
      <c r="Q47" s="99"/>
      <c r="R47" s="99"/>
      <c r="S47" s="99"/>
      <c r="T47" s="99">
        <f>SUM(P46:T46)</f>
        <v>0</v>
      </c>
      <c r="U47" s="99"/>
    </row>
    <row r="48" spans="1:22" ht="15">
      <c r="D48" s="87"/>
      <c r="E48" s="91" t="s">
        <v>62</v>
      </c>
      <c r="F48" s="95"/>
      <c r="G48" s="92"/>
      <c r="H48" s="95">
        <f>$F$35</f>
        <v>0</v>
      </c>
      <c r="I48" s="152"/>
      <c r="J48" s="155"/>
      <c r="M48" s="57"/>
      <c r="N48" s="57"/>
      <c r="O48" s="57" t="s">
        <v>75</v>
      </c>
      <c r="P48" s="169">
        <f>P$36-P$46</f>
        <v>13671.111111111111</v>
      </c>
      <c r="Q48" s="169">
        <f>Q$36-Q$46</f>
        <v>0</v>
      </c>
      <c r="R48" s="169">
        <f>R$36-R$46</f>
        <v>0</v>
      </c>
      <c r="S48" s="169">
        <f>S$36-S$46</f>
        <v>0</v>
      </c>
      <c r="T48" s="169">
        <f>T$36-T$46</f>
        <v>0</v>
      </c>
    </row>
    <row r="49" spans="3:20" ht="15">
      <c r="D49" s="87"/>
      <c r="E49" s="91" t="s">
        <v>95</v>
      </c>
      <c r="F49" s="95"/>
      <c r="G49" s="92"/>
      <c r="H49" s="95">
        <f>$H$35</f>
        <v>11503.641599999999</v>
      </c>
      <c r="I49" s="152"/>
      <c r="J49" s="155"/>
      <c r="M49" s="57"/>
      <c r="N49" s="57"/>
      <c r="P49" s="169"/>
      <c r="Q49" s="169"/>
      <c r="R49" s="169"/>
      <c r="S49" s="169"/>
      <c r="T49" s="169"/>
    </row>
    <row r="50" spans="3:20" ht="15">
      <c r="D50" s="87"/>
      <c r="E50" s="91" t="s">
        <v>85</v>
      </c>
      <c r="F50" s="95"/>
      <c r="G50" s="95"/>
      <c r="H50" s="95">
        <f>$J$35</f>
        <v>10460.800000000001</v>
      </c>
      <c r="I50" s="152"/>
      <c r="J50" s="155"/>
      <c r="M50" s="57"/>
      <c r="N50" s="57"/>
    </row>
    <row r="51" spans="3:20" ht="15">
      <c r="D51" s="87"/>
      <c r="E51" s="95"/>
      <c r="F51" s="95"/>
      <c r="G51" s="95"/>
      <c r="H51" s="95"/>
      <c r="I51" s="152"/>
      <c r="J51" s="155"/>
      <c r="M51" s="57"/>
      <c r="N51" s="57"/>
    </row>
    <row r="52" spans="3:20" ht="16.5" thickBot="1">
      <c r="D52" s="87"/>
      <c r="E52" s="93" t="s">
        <v>64</v>
      </c>
      <c r="F52" s="94"/>
      <c r="G52" s="94"/>
      <c r="H52" s="96">
        <f>H47+H48-H50</f>
        <v>6764.76</v>
      </c>
      <c r="I52" s="153"/>
      <c r="J52" s="155"/>
    </row>
    <row r="53" spans="3:20" ht="16.5" thickTop="1">
      <c r="D53" s="87"/>
      <c r="E53" s="93"/>
      <c r="F53" s="94"/>
      <c r="G53" s="94"/>
      <c r="H53" s="94"/>
      <c r="I53" s="154"/>
      <c r="J53" s="155"/>
    </row>
    <row r="54" spans="3:20" ht="16.5" thickBot="1">
      <c r="D54" s="87"/>
      <c r="E54" s="93" t="s">
        <v>65</v>
      </c>
      <c r="F54" s="95"/>
      <c r="G54" s="95"/>
      <c r="H54" s="97">
        <f>$H$52*$I$21</f>
        <v>1352.9520000000002</v>
      </c>
      <c r="I54" s="154"/>
      <c r="J54" s="155"/>
    </row>
    <row r="55" spans="3:20" ht="16.5" thickTop="1">
      <c r="D55" s="87"/>
      <c r="E55" s="93"/>
      <c r="F55" s="95"/>
      <c r="G55" s="95"/>
      <c r="H55" s="94"/>
      <c r="I55" s="154"/>
      <c r="J55" s="155"/>
    </row>
    <row r="56" spans="3:20" ht="15" thickBot="1">
      <c r="D56" s="88"/>
      <c r="E56" s="89"/>
      <c r="F56" s="89"/>
      <c r="G56" s="89"/>
      <c r="H56" s="89"/>
      <c r="I56" s="90"/>
      <c r="J56" s="155"/>
    </row>
    <row r="57" spans="3:20">
      <c r="C57" s="139"/>
      <c r="D57" s="139"/>
      <c r="E57" s="139"/>
      <c r="F57" s="139"/>
      <c r="G57" s="139"/>
      <c r="H57" s="139"/>
    </row>
    <row r="58" spans="3:20">
      <c r="C58" s="139"/>
      <c r="D58" s="139"/>
      <c r="E58" s="139"/>
      <c r="F58" s="139"/>
      <c r="G58" s="139"/>
      <c r="H58" s="139"/>
    </row>
    <row r="59" spans="3:20">
      <c r="C59" s="139"/>
      <c r="D59" s="139" t="s">
        <v>100</v>
      </c>
      <c r="E59" s="139" t="s">
        <v>101</v>
      </c>
      <c r="F59" s="139" t="s">
        <v>102</v>
      </c>
      <c r="G59" s="139" t="s">
        <v>103</v>
      </c>
      <c r="H59" s="139"/>
    </row>
    <row r="60" spans="3:20">
      <c r="C60" s="139"/>
      <c r="D60" s="174">
        <f>H47</f>
        <v>17225.560000000001</v>
      </c>
      <c r="E60" s="174">
        <f>H48</f>
        <v>0</v>
      </c>
      <c r="F60" s="174">
        <f>H49</f>
        <v>11503.641599999999</v>
      </c>
      <c r="G60" s="174">
        <f>H50</f>
        <v>10460.800000000001</v>
      </c>
      <c r="H60" s="139"/>
    </row>
    <row r="61" spans="3:20">
      <c r="C61" s="139"/>
      <c r="D61" s="139"/>
      <c r="E61" s="139"/>
      <c r="F61" s="139"/>
      <c r="G61" s="139"/>
      <c r="H61" s="139"/>
    </row>
    <row r="62" spans="3:20">
      <c r="C62" s="139"/>
      <c r="D62" s="139" t="s">
        <v>104</v>
      </c>
      <c r="E62" s="139" t="s">
        <v>99</v>
      </c>
      <c r="F62" s="139"/>
      <c r="G62" s="139"/>
      <c r="H62" s="139"/>
    </row>
    <row r="63" spans="3:20">
      <c r="C63" s="139"/>
      <c r="D63" s="174">
        <f>H52</f>
        <v>6764.76</v>
      </c>
      <c r="E63" s="174">
        <f>H54</f>
        <v>1352.9520000000002</v>
      </c>
      <c r="F63" s="139"/>
      <c r="G63" s="139"/>
      <c r="H63" s="139"/>
    </row>
    <row r="64" spans="3:20">
      <c r="C64" s="139"/>
      <c r="D64" s="139"/>
      <c r="E64" s="139"/>
      <c r="F64" s="139"/>
      <c r="G64" s="139"/>
      <c r="H64" s="139"/>
    </row>
    <row r="65" spans="3:8">
      <c r="C65" s="139"/>
      <c r="D65" s="139"/>
      <c r="E65" s="139"/>
      <c r="F65" s="139"/>
      <c r="G65" s="139"/>
      <c r="H65" s="139"/>
    </row>
  </sheetData>
  <sheetProtection selectLockedCells="1"/>
  <mergeCells count="3">
    <mergeCell ref="P4:T4"/>
    <mergeCell ref="P18:T18"/>
    <mergeCell ref="P34:T34"/>
  </mergeCells>
  <phoneticPr fontId="25" type="noConversion"/>
  <conditionalFormatting sqref="K14">
    <cfRule type="containsText" dxfId="15" priority="7" stopIfTrue="1" operator="containsText" text="Error">
      <formula>NOT(ISERROR(SEARCH("Error",K14)))</formula>
    </cfRule>
    <cfRule type="containsText" dxfId="14" priority="8" operator="containsText" text="ERROR">
      <formula>NOT(ISERROR(SEARCH("ERROR",K14)))</formula>
    </cfRule>
  </conditionalFormatting>
  <conditionalFormatting sqref="K15">
    <cfRule type="containsText" dxfId="13" priority="6" stopIfTrue="1" operator="containsText" text="ERROR">
      <formula>NOT(ISERROR(SEARCH("ERROR",K15)))</formula>
    </cfRule>
  </conditionalFormatting>
  <conditionalFormatting sqref="D20">
    <cfRule type="containsText" dxfId="12" priority="4" operator="containsText" text="Okay">
      <formula>NOT(ISERROR(SEARCH("Okay",D20)))</formula>
    </cfRule>
    <cfRule type="containsText" dxfId="11" priority="5" operator="containsText" text="Making a loss">
      <formula>NOT(ISERROR(SEARCH("Making a loss",D20)))</formula>
    </cfRule>
  </conditionalFormatting>
  <conditionalFormatting sqref="D21">
    <cfRule type="containsText" dxfId="10" priority="1" operator="containsText" text="Illegal Dividend">
      <formula>NOT(ISERROR(SEARCH("Illegal Dividend",D21)))</formula>
    </cfRule>
    <cfRule type="containsText" dxfId="9" priority="2" operator="containsText" text="Okay">
      <formula>NOT(ISERROR(SEARCH("Okay",D21)))</formula>
    </cfRule>
    <cfRule type="containsText" dxfId="8" priority="3" operator="containsText" text="Making a loss">
      <formula>NOT(ISERROR(SEARCH("Making a loss",D21)))</formula>
    </cfRule>
  </conditionalFormatting>
  <dataValidations count="2">
    <dataValidation type="list" allowBlank="1" showInputMessage="1" showErrorMessage="1" sqref="D12">
      <formula1>$M$4:$M$5</formula1>
    </dataValidation>
    <dataValidation type="list" allowBlank="1" showInputMessage="1" showErrorMessage="1" prompt="If Sole Trader, select 1" sqref="D14">
      <formula1>$N$1:$N$5</formula1>
    </dataValidation>
  </dataValidations>
  <pageMargins left="0.7" right="0.7" top="0.75" bottom="0.75" header="0.3" footer="0.3"/>
  <pageSetup paperSize="9" scale="3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5"/>
  <sheetViews>
    <sheetView tabSelected="1" zoomScale="70" zoomScaleNormal="70" zoomScalePageLayoutView="85" workbookViewId="0">
      <pane ySplit="9" topLeftCell="A10" activePane="bottomLeft" state="frozen"/>
      <selection pane="bottomLeft" activeCell="G26" sqref="G26"/>
    </sheetView>
  </sheetViews>
  <sheetFormatPr defaultColWidth="8.875" defaultRowHeight="14.25"/>
  <cols>
    <col min="3" max="3" width="12.25" customWidth="1"/>
    <col min="4" max="4" width="19.875" customWidth="1"/>
    <col min="5" max="5" width="23.25" customWidth="1"/>
    <col min="6" max="10" width="19.875" customWidth="1"/>
    <col min="11" max="11" width="12" customWidth="1"/>
    <col min="12" max="12" width="10.375" customWidth="1"/>
    <col min="13" max="13" width="14.125" customWidth="1"/>
    <col min="14" max="14" width="8.875" customWidth="1"/>
    <col min="15" max="15" width="22.25" style="57" customWidth="1"/>
    <col min="16" max="20" width="15.25" style="57" customWidth="1"/>
    <col min="21" max="21" width="8.875" style="57" customWidth="1"/>
    <col min="22" max="22" width="9.375" style="57" customWidth="1"/>
    <col min="23" max="23" width="8.875" customWidth="1"/>
  </cols>
  <sheetData>
    <row r="1" spans="1:24" ht="15">
      <c r="E1" s="57"/>
      <c r="F1" s="112" t="s">
        <v>58</v>
      </c>
      <c r="G1" s="113" t="s">
        <v>31</v>
      </c>
      <c r="H1" s="113"/>
      <c r="I1" s="113"/>
      <c r="J1" s="114">
        <v>150000</v>
      </c>
      <c r="K1" s="193">
        <v>0.375</v>
      </c>
      <c r="L1" s="113"/>
      <c r="M1" s="113" t="s">
        <v>6</v>
      </c>
      <c r="N1" s="113">
        <v>1</v>
      </c>
      <c r="O1" s="113"/>
      <c r="P1" s="113"/>
      <c r="Q1" s="113"/>
      <c r="R1" s="113"/>
      <c r="S1" s="113"/>
      <c r="T1" s="113"/>
      <c r="U1" s="113"/>
      <c r="V1" s="113"/>
      <c r="W1" s="113"/>
      <c r="X1" s="113"/>
    </row>
    <row r="2" spans="1:24">
      <c r="E2" s="57"/>
      <c r="F2" s="112"/>
      <c r="G2" s="113" t="s">
        <v>22</v>
      </c>
      <c r="H2" s="113"/>
      <c r="I2" s="116">
        <v>0.1</v>
      </c>
      <c r="J2" s="114">
        <v>31865</v>
      </c>
      <c r="K2" s="115">
        <v>0.32500000000000001</v>
      </c>
      <c r="L2" s="113"/>
      <c r="M2" s="113" t="s">
        <v>30</v>
      </c>
      <c r="N2" s="113">
        <v>2</v>
      </c>
      <c r="O2" s="113"/>
      <c r="P2" s="113"/>
      <c r="Q2" s="113"/>
      <c r="R2" s="113"/>
      <c r="S2" s="113"/>
      <c r="T2" s="113"/>
      <c r="U2" s="113"/>
      <c r="V2" s="113"/>
      <c r="W2" s="113"/>
      <c r="X2" s="113"/>
    </row>
    <row r="3" spans="1:24">
      <c r="A3" s="5"/>
      <c r="B3" s="5"/>
      <c r="C3" s="5"/>
      <c r="D3" s="5"/>
      <c r="E3" s="58"/>
      <c r="F3" s="112"/>
      <c r="G3" s="113" t="s">
        <v>24</v>
      </c>
      <c r="H3" s="113"/>
      <c r="I3" s="113"/>
      <c r="J3" s="116">
        <v>0.2</v>
      </c>
      <c r="K3" s="114">
        <v>300000</v>
      </c>
      <c r="L3" s="113"/>
      <c r="M3" s="113"/>
      <c r="N3" s="113">
        <v>3</v>
      </c>
      <c r="O3" s="113"/>
      <c r="P3" s="113"/>
      <c r="Q3" s="113"/>
      <c r="R3" s="113"/>
      <c r="S3" s="113"/>
      <c r="T3" s="113"/>
      <c r="U3" s="113"/>
      <c r="V3" s="113"/>
      <c r="W3" s="113"/>
      <c r="X3" s="113"/>
    </row>
    <row r="4" spans="1:24" ht="15">
      <c r="A4" s="5"/>
      <c r="B4" s="5"/>
      <c r="C4" s="5"/>
      <c r="D4" s="5"/>
      <c r="E4" s="58"/>
      <c r="F4" s="112"/>
      <c r="G4" s="117" t="s">
        <v>35</v>
      </c>
      <c r="H4" s="113"/>
      <c r="I4" s="113"/>
      <c r="J4" s="116">
        <v>0.21</v>
      </c>
      <c r="K4" s="118" t="s">
        <v>34</v>
      </c>
      <c r="L4" s="113"/>
      <c r="M4" s="113" t="s">
        <v>42</v>
      </c>
      <c r="N4" s="113">
        <v>4</v>
      </c>
      <c r="O4" s="113"/>
      <c r="P4" s="200" t="s">
        <v>71</v>
      </c>
      <c r="Q4" s="200"/>
      <c r="R4" s="200"/>
      <c r="S4" s="200"/>
      <c r="T4" s="200"/>
      <c r="U4" s="113"/>
      <c r="V4" s="113"/>
      <c r="W4" s="113"/>
      <c r="X4" s="113"/>
    </row>
    <row r="5" spans="1:24">
      <c r="A5" s="5"/>
      <c r="B5" s="5"/>
      <c r="C5" s="5"/>
      <c r="D5" s="5"/>
      <c r="E5" s="58"/>
      <c r="F5" s="112"/>
      <c r="G5" s="113" t="s">
        <v>46</v>
      </c>
      <c r="H5" s="113"/>
      <c r="I5" s="116">
        <v>0.02</v>
      </c>
      <c r="J5" s="119">
        <v>0.12</v>
      </c>
      <c r="K5" s="114">
        <f>153*52</f>
        <v>7956</v>
      </c>
      <c r="L5" s="114">
        <f>(805*52)-$K$5</f>
        <v>33904</v>
      </c>
      <c r="M5" s="113" t="s">
        <v>43</v>
      </c>
      <c r="N5" s="113">
        <v>5</v>
      </c>
      <c r="O5" s="113"/>
      <c r="P5" s="164" t="str">
        <f>F$12</f>
        <v>Partner 1</v>
      </c>
      <c r="Q5" s="164" t="str">
        <f>G$12</f>
        <v>Partner 2</v>
      </c>
      <c r="R5" s="164" t="str">
        <f>H$12</f>
        <v>Partner 3</v>
      </c>
      <c r="S5" s="164" t="str">
        <f>I$12</f>
        <v>Partner 4</v>
      </c>
      <c r="T5" s="164" t="str">
        <f>J$12</f>
        <v>Partner 5</v>
      </c>
      <c r="U5" s="113"/>
      <c r="V5" s="113"/>
      <c r="W5" s="113"/>
      <c r="X5" s="113"/>
    </row>
    <row r="6" spans="1:24">
      <c r="A6" s="5"/>
      <c r="B6" s="5"/>
      <c r="C6" s="5"/>
      <c r="D6" s="5"/>
      <c r="E6" s="58"/>
      <c r="F6" s="112"/>
      <c r="G6" s="113" t="s">
        <v>47</v>
      </c>
      <c r="H6" s="113"/>
      <c r="I6" s="113"/>
      <c r="J6" s="115">
        <v>0.13800000000000001</v>
      </c>
      <c r="K6" s="114">
        <v>7956</v>
      </c>
      <c r="L6" s="113"/>
      <c r="M6" s="113"/>
      <c r="N6" s="113"/>
      <c r="O6" s="113" t="s">
        <v>67</v>
      </c>
      <c r="P6" s="114">
        <f>IF($D$12="Sole Trader",0,IF(F$15=0,0,IF(F$15&lt;100000,F$15-$K$7,IF(F$15&lt;=118880,F$15-$K$7+($F$15-100000)/2,$F$15))))</f>
        <v>20000</v>
      </c>
      <c r="Q6" s="114">
        <f>IF($D$12="Sole Trader",0,IF(G$15=0,0,IF(G$15&lt;100000,G$15-$K$7,IF(G$15&lt;=118880,G$15-$K$7+($G$15-100000)/2,$G$15))))</f>
        <v>20000</v>
      </c>
      <c r="R6" s="114">
        <f>IF($D$12="Sole Trader",0,IF(H$15=0,0,IF(H$15&lt;100000,H$15-$K$7,IF(H$15&lt;=118880,H$15-$K$7+($H$15-100000)/2,$H$15))))</f>
        <v>0</v>
      </c>
      <c r="S6" s="114">
        <f>IF($D$12="Sole Trader",0,IF(I$15=0,0,IF(I$15&lt;100000,I$15-$K$7,IF(I$15&lt;=118880,I$15-$K$7+($I$15-100000)/2,$I$15))))</f>
        <v>0</v>
      </c>
      <c r="T6" s="114">
        <f>IF($D$12="Sole Trader",0,IF(J$15=0,0,IF(J$15&lt;100000,J$15-$K$7,IF(J$15&lt;=118880,J$15-$K$7+($J$15-100000)/2,$J$15))))</f>
        <v>0</v>
      </c>
      <c r="U6" s="113"/>
      <c r="V6" s="113"/>
      <c r="W6" s="113"/>
      <c r="X6" s="113"/>
    </row>
    <row r="7" spans="1:24">
      <c r="A7" s="5"/>
      <c r="B7" s="5"/>
      <c r="C7" s="5"/>
      <c r="D7" s="5"/>
      <c r="E7" s="58"/>
      <c r="F7" s="112"/>
      <c r="G7" s="113" t="s">
        <v>55</v>
      </c>
      <c r="H7" s="113"/>
      <c r="I7" s="116">
        <v>0.09</v>
      </c>
      <c r="J7" s="116">
        <v>0.2</v>
      </c>
      <c r="K7" s="114">
        <v>10000</v>
      </c>
      <c r="L7" s="133">
        <f>K7-K6</f>
        <v>2044</v>
      </c>
      <c r="M7" s="113"/>
      <c r="N7" s="116"/>
      <c r="O7" s="113" t="s">
        <v>66</v>
      </c>
      <c r="P7" s="165">
        <f>IF(P$6&lt;$K$8,P$6*$J$7,0)</f>
        <v>4000</v>
      </c>
      <c r="Q7" s="165">
        <f>IF(Q$6&lt;$K$8,Q$6*$J$7,"0")</f>
        <v>4000</v>
      </c>
      <c r="R7" s="165">
        <f>IF(R$6&lt;$K$8,R$6*$J$7,"0")</f>
        <v>0</v>
      </c>
      <c r="S7" s="165">
        <f>IF(S$6&lt;$K$8,S$6*$J$7,"0")</f>
        <v>0</v>
      </c>
      <c r="T7" s="165">
        <f>IF(T$6&lt;$K$8,T$6*$J$7,"0")</f>
        <v>0</v>
      </c>
      <c r="U7" s="113"/>
      <c r="V7" s="113"/>
      <c r="W7" s="113"/>
      <c r="X7" s="113"/>
    </row>
    <row r="8" spans="1:24" ht="15">
      <c r="E8" s="59"/>
      <c r="F8" s="120"/>
      <c r="G8" s="113"/>
      <c r="H8" s="113"/>
      <c r="I8" s="113"/>
      <c r="J8" s="116">
        <v>0.4</v>
      </c>
      <c r="K8" s="114">
        <v>31866</v>
      </c>
      <c r="L8" s="113"/>
      <c r="M8" s="113"/>
      <c r="N8" s="113"/>
      <c r="O8" s="113"/>
      <c r="P8" s="165">
        <f>IF(P$6&lt;$K$8,0,IF(P$6&gt;=$K$9,0,IF(P$6&lt;$K$9,((P$6-$K$8)*$J$8)+($K$8*$J$7))))</f>
        <v>0</v>
      </c>
      <c r="Q8" s="165">
        <f>IF(Q$6&lt;$K$8,0,IF(Q$6&gt;=$K$9,0,IF(Q$6&lt;$K$9,((Q$6-$K$8)*$J$8)+($K$8*$J$7))))</f>
        <v>0</v>
      </c>
      <c r="R8" s="165">
        <f>IF(R$6&lt;$K$8,0,IF(R$6&gt;=$K$9,0,IF(R$6&lt;$K$9,((R$6-$K$8)*$J$8)+($K$8*$J$7))))</f>
        <v>0</v>
      </c>
      <c r="S8" s="165">
        <f>IF(S$6&lt;$K$8,0,IF(S$6&gt;=$K$9,0,IF(S$6&lt;$K$9,((S$6-$K$8)*$J$8)+($K$8*$J$7))))</f>
        <v>0</v>
      </c>
      <c r="T8" s="165">
        <f>IF(T$6&lt;$K$8,0,IF(T$6&gt;=$K$9,0,IF(T$6&lt;$K$9,((T$6-$K$8)*$J$8)+($K$8*$J$7))))</f>
        <v>0</v>
      </c>
      <c r="U8" s="113"/>
      <c r="V8" s="113"/>
      <c r="W8" s="113"/>
      <c r="X8" s="113"/>
    </row>
    <row r="9" spans="1:24" s="1" customFormat="1" ht="15">
      <c r="E9" s="59"/>
      <c r="F9" s="120"/>
      <c r="G9" s="112"/>
      <c r="H9" s="112"/>
      <c r="I9" s="112"/>
      <c r="J9" s="121">
        <v>0.45</v>
      </c>
      <c r="K9" s="122">
        <v>150001</v>
      </c>
      <c r="L9" s="112"/>
      <c r="M9" s="112"/>
      <c r="N9" s="112"/>
      <c r="O9" s="113"/>
      <c r="P9" s="165">
        <f>IF(P$6=0,0,IF(P$6&gt;=$K$9,P$10,0))</f>
        <v>0</v>
      </c>
      <c r="Q9" s="165">
        <f>IF(Q$6=0,0,IF(Q$6&gt;=$K$9,Q$10,0))</f>
        <v>0</v>
      </c>
      <c r="R9" s="165">
        <f>IF(R$6=0,0,IF(R$6&gt;=$K$9,R$10,0))</f>
        <v>0</v>
      </c>
      <c r="S9" s="165">
        <f>IF(S$6=0,0,IF(S$6&gt;=$K$9,S$10,0))</f>
        <v>0</v>
      </c>
      <c r="T9" s="165">
        <f>IF(T$6=0,0,IF(T$6&gt;=$K$9,T$10,0))</f>
        <v>0</v>
      </c>
      <c r="U9" s="112"/>
      <c r="V9" s="112"/>
      <c r="W9" s="112"/>
      <c r="X9" s="112"/>
    </row>
    <row r="10" spans="1:24" ht="15">
      <c r="A10" s="7" t="s">
        <v>33</v>
      </c>
      <c r="B10" s="7"/>
      <c r="C10" s="79"/>
      <c r="D10" s="79"/>
      <c r="E10" s="78"/>
      <c r="F10" s="98"/>
      <c r="G10" s="98"/>
      <c r="H10" s="98"/>
      <c r="I10" s="98"/>
      <c r="J10" s="80"/>
      <c r="K10" s="1"/>
      <c r="L10" s="58"/>
      <c r="M10" s="58"/>
      <c r="N10" s="58"/>
      <c r="P10" s="166">
        <f>IF($D$12="Sole Trader",0,IF(P$6&gt;$K$9,((((P$6-$K$9)*$J$9)+(($K$9-$K$8)*$J$8)+($K$8*$J$7))),0))</f>
        <v>0</v>
      </c>
      <c r="Q10" s="166">
        <f>IF($D$12="Sole Trader",0,IF(Q$6&gt;$K$9,((((Q$6-$K$9)*$J$9)+(($K$9-$K$8)*$J$8)+($K$8*$J$7))),0))</f>
        <v>0</v>
      </c>
      <c r="R10" s="166">
        <f>IF($D$12="Sole Trader",0,IF(R$6&gt;$K$9,((((R$6-$K$9)*$J$9)+(($K$9-$K$8)*$J$8)+($K$8*$J$7))),0))</f>
        <v>0</v>
      </c>
      <c r="S10" s="166">
        <f>IF($D$12="Sole Trader",0,IF(S$6&gt;$K$9,((((S$6-$K$9)*$J$9)+(($K$9-$K$8)*$J$8)+($K$8*$J$7))),0))</f>
        <v>0</v>
      </c>
      <c r="T10" s="166">
        <f>IF($D$12="Sole Trader",0,IF(T$6&gt;$K$9,((((T$6-$K$9)*$J$9)+(($K$9-$K$8)*$J$8)+($K$8*$J$7))),0))</f>
        <v>0</v>
      </c>
    </row>
    <row r="11" spans="1:24" ht="15">
      <c r="A11" s="78"/>
      <c r="B11" s="78"/>
      <c r="C11" s="78"/>
      <c r="D11" s="78"/>
      <c r="E11" s="80"/>
      <c r="F11" s="69" t="s">
        <v>78</v>
      </c>
      <c r="G11" s="80"/>
      <c r="H11" s="80"/>
      <c r="I11" s="80"/>
      <c r="J11" s="80"/>
      <c r="K11" s="1"/>
      <c r="O11" s="57" t="s">
        <v>68</v>
      </c>
      <c r="P11" s="166">
        <f>IF($D$12="Sole Trader",0,IF(F$15=0,0,IF($D$12="Partnership",(F$15-$K$5))))</f>
        <v>22044</v>
      </c>
      <c r="Q11" s="166">
        <f>IF($D$12="Sole Trader",0,IF(G$15=0,0,IF($D$12="Partnership",(G$15-$K$5))))</f>
        <v>22044</v>
      </c>
      <c r="R11" s="166">
        <f>IF($D$12="Sole Trader",0,IF(H$15=0,0,IF($D$12="Partnership",(H$15-$K$5))))</f>
        <v>0</v>
      </c>
      <c r="S11" s="166">
        <f>IF($D$12="Sole Trader",0,IF(I$15=0,0,IF($D$12="Partnership",(I$15-$K$5))))</f>
        <v>0</v>
      </c>
      <c r="T11" s="166">
        <f>IF($D$12="Sole Trader",0,IF(J$15=0,0,IF($D$12="Partnership",(J$15-$K$5))))</f>
        <v>0</v>
      </c>
    </row>
    <row r="12" spans="1:24" ht="15">
      <c r="A12" s="80"/>
      <c r="B12" s="80"/>
      <c r="C12" s="150" t="s">
        <v>41</v>
      </c>
      <c r="D12" s="19" t="s">
        <v>43</v>
      </c>
      <c r="E12" s="80"/>
      <c r="F12" s="69" t="s">
        <v>16</v>
      </c>
      <c r="G12" s="69" t="s">
        <v>17</v>
      </c>
      <c r="H12" s="69" t="s">
        <v>18</v>
      </c>
      <c r="I12" s="69" t="s">
        <v>19</v>
      </c>
      <c r="J12" s="69" t="s">
        <v>20</v>
      </c>
      <c r="K12" s="106"/>
      <c r="O12" s="57" t="s">
        <v>69</v>
      </c>
      <c r="P12" s="166">
        <f>IF(P$11&lt;$L$5,P$11*$I$7,IF(P$11&gt;$L$5,"0"))</f>
        <v>1983.96</v>
      </c>
      <c r="Q12" s="166">
        <f>IF(Q$11&lt;$L$5,Q$11*$I$7,IF(Q$11&gt;$L$5,"0"))</f>
        <v>1983.96</v>
      </c>
      <c r="R12" s="166">
        <f>IF(R$11&lt;$L$5,R$11*$I$7,IF(R$11&gt;$L$5,"0"))</f>
        <v>0</v>
      </c>
      <c r="S12" s="166">
        <f>IF(S$11&lt;$L$5,S$11*$I$7,IF(S$11&gt;$L$5,"0"))</f>
        <v>0</v>
      </c>
      <c r="T12" s="166">
        <f>IF(T$11&lt;$L$5,T$11*$I$7,IF(T$11&gt;$L$5,"0"))</f>
        <v>0</v>
      </c>
      <c r="U12" s="99"/>
    </row>
    <row r="13" spans="1:24">
      <c r="A13" s="80"/>
      <c r="B13" s="80"/>
      <c r="C13" s="150"/>
      <c r="D13" s="80"/>
      <c r="E13" s="80"/>
      <c r="F13" s="78"/>
      <c r="G13" s="78"/>
      <c r="H13" s="78"/>
      <c r="I13" s="78"/>
      <c r="J13" s="78"/>
      <c r="K13" s="108">
        <f>SUM(F14:J14)</f>
        <v>1</v>
      </c>
      <c r="P13" s="166">
        <f>IF($D$12="Sole Trader","0",IF(P$11&gt;$L$5,(((P$11-$L$5)*$I$5))+($L$5*$I$7),0))</f>
        <v>0</v>
      </c>
      <c r="Q13" s="166">
        <f>IF($D$12="Sole Trader","0",IF(Q$11&gt;$L$5,(((Q$11-$L$5)*$I$5))+($L$5*$I$7),0))</f>
        <v>0</v>
      </c>
      <c r="R13" s="166">
        <f>IF($D$12="Sole Trader","0",IF(R$11&gt;$L$5,(((R$11-$L$5)*$I$5))+($L$5*$I$7),0))</f>
        <v>0</v>
      </c>
      <c r="S13" s="166">
        <f>IF($D$12="Sole Trader","0",IF(S$11&gt;$L$5,(((S$11-$L$5)*$I$5))+($L$5*$I$7),0))</f>
        <v>0</v>
      </c>
      <c r="T13" s="166">
        <f>IF($D$12="Sole Trader","0",IF(T$11&gt;$L$5,(((T$11-$L$5)*$I$5))+($L$5*$I$7),0))</f>
        <v>0</v>
      </c>
      <c r="U13" s="99"/>
    </row>
    <row r="14" spans="1:24">
      <c r="A14" s="80"/>
      <c r="B14" s="80"/>
      <c r="C14" s="150" t="s">
        <v>56</v>
      </c>
      <c r="D14" s="109">
        <v>2</v>
      </c>
      <c r="E14" s="150" t="str">
        <f>IF(D12="Sole Trader","Enter '1' in D14","Enter Partners")</f>
        <v>Enter Partners</v>
      </c>
      <c r="F14" s="70">
        <v>0.5</v>
      </c>
      <c r="G14" s="70">
        <v>0.5</v>
      </c>
      <c r="H14" s="70">
        <v>0</v>
      </c>
      <c r="I14" s="70">
        <v>0</v>
      </c>
      <c r="J14" s="70">
        <v>0</v>
      </c>
      <c r="K14" s="107" t="str">
        <f>IF($K$13=100%,"OKAY","ERROR")</f>
        <v>OKAY</v>
      </c>
      <c r="P14" s="167"/>
      <c r="Q14" s="167"/>
      <c r="R14" s="167"/>
      <c r="S14" s="167"/>
      <c r="T14" s="167"/>
    </row>
    <row r="15" spans="1:24">
      <c r="A15" s="80"/>
      <c r="B15" s="80"/>
      <c r="C15" s="150"/>
      <c r="D15" s="136"/>
      <c r="E15" s="175" t="s">
        <v>76</v>
      </c>
      <c r="F15" s="176">
        <f>$D$16*F14</f>
        <v>30000</v>
      </c>
      <c r="G15" s="176">
        <f>IF($D$12="Sole Trader",0,$D$16*G14)</f>
        <v>30000</v>
      </c>
      <c r="H15" s="176">
        <f>IF($D$12="Sole Trader",0,$D$16*H14)</f>
        <v>0</v>
      </c>
      <c r="I15" s="176">
        <f>IF($D$12="Sole Trader",0,$D$16*I14)</f>
        <v>0</v>
      </c>
      <c r="J15" s="176">
        <f>IF($D$12="Sole Trader",0,$D$16*J14)</f>
        <v>0</v>
      </c>
      <c r="K15" s="148" t="str">
        <f>IF($D$12="Sole Trader","OKAY",IF(SUM(F15:J15)=$D$16,"OKAY","ERROR"))</f>
        <v>OKAY</v>
      </c>
      <c r="L15" s="57"/>
      <c r="O15" s="57" t="s">
        <v>70</v>
      </c>
      <c r="P15" s="168">
        <f>SUM(P7:P9)+SUM(P12:P13)</f>
        <v>5983.96</v>
      </c>
      <c r="Q15" s="168">
        <f>SUM(Q7:Q9)+SUM(Q12:Q13)</f>
        <v>5983.96</v>
      </c>
      <c r="R15" s="168">
        <f>SUM(R7:R9)+SUM(R12:R13)</f>
        <v>0</v>
      </c>
      <c r="S15" s="168">
        <f>SUM(S7:S9)+SUM(S12:S13)</f>
        <v>0</v>
      </c>
      <c r="T15" s="168">
        <f>SUM(T7:T9)+SUM(T12:T13)</f>
        <v>0</v>
      </c>
    </row>
    <row r="16" spans="1:24" ht="15">
      <c r="A16" s="80"/>
      <c r="B16" s="80"/>
      <c r="C16" s="150" t="s">
        <v>57</v>
      </c>
      <c r="D16" s="134">
        <v>60000</v>
      </c>
      <c r="E16" s="187"/>
      <c r="F16" s="186"/>
      <c r="G16" s="186"/>
      <c r="H16" s="186"/>
      <c r="I16" s="186"/>
      <c r="J16" s="186"/>
      <c r="K16" s="139"/>
      <c r="L16" s="57"/>
      <c r="T16" s="169">
        <f>SUM(P15:T15)</f>
        <v>11967.92</v>
      </c>
    </row>
    <row r="17" spans="1:22" ht="15">
      <c r="A17" s="80"/>
      <c r="B17" s="80"/>
      <c r="C17" s="135"/>
      <c r="D17" s="80"/>
      <c r="E17" s="175" t="s">
        <v>74</v>
      </c>
      <c r="F17" s="177">
        <f>$D$18*F$14</f>
        <v>20000</v>
      </c>
      <c r="G17" s="177">
        <f>$D$18*G$14</f>
        <v>20000</v>
      </c>
      <c r="H17" s="177">
        <f>$D$18*H$14</f>
        <v>0</v>
      </c>
      <c r="I17" s="177">
        <f>$D$18*I$14</f>
        <v>0</v>
      </c>
      <c r="J17" s="177">
        <f>$D$18*J$14</f>
        <v>0</v>
      </c>
      <c r="K17" s="179">
        <f>SUM(F17:J17)</f>
        <v>40000</v>
      </c>
      <c r="L17" s="57"/>
    </row>
    <row r="18" spans="1:22" ht="15">
      <c r="A18" s="80"/>
      <c r="B18" s="80"/>
      <c r="C18" s="135" t="s">
        <v>89</v>
      </c>
      <c r="D18" s="134">
        <v>40000</v>
      </c>
      <c r="E18" s="175" t="s">
        <v>91</v>
      </c>
      <c r="F18" s="178">
        <f>P$15</f>
        <v>5983.96</v>
      </c>
      <c r="G18" s="178">
        <f>Q$15</f>
        <v>5983.96</v>
      </c>
      <c r="H18" s="178">
        <f>R$15</f>
        <v>0</v>
      </c>
      <c r="I18" s="178">
        <f>S$15</f>
        <v>0</v>
      </c>
      <c r="J18" s="178">
        <f>T$15</f>
        <v>0</v>
      </c>
      <c r="K18" s="179">
        <f>SUM(F18:J18)</f>
        <v>11967.92</v>
      </c>
      <c r="L18" s="57"/>
      <c r="M18" s="71"/>
      <c r="P18" s="201" t="s">
        <v>72</v>
      </c>
      <c r="Q18" s="201"/>
      <c r="R18" s="201"/>
      <c r="S18" s="201"/>
      <c r="T18" s="201"/>
    </row>
    <row r="19" spans="1:22" ht="15">
      <c r="A19" s="80"/>
      <c r="B19" s="80"/>
      <c r="C19" s="82"/>
      <c r="D19" s="80"/>
      <c r="E19" s="175" t="s">
        <v>92</v>
      </c>
      <c r="F19" s="177">
        <f>P$29</f>
        <v>3854.08</v>
      </c>
      <c r="G19" s="177">
        <f>IF($D$12="Sole Trader",0,Q$29)</f>
        <v>3854.08</v>
      </c>
      <c r="H19" s="177">
        <f>IF($D$12="Sole Trader",0,R$29)</f>
        <v>0</v>
      </c>
      <c r="I19" s="177">
        <f>IF($D$12="Sole Trader",0,S$29)</f>
        <v>0</v>
      </c>
      <c r="J19" s="177">
        <f>IF($D$12="Sole Trader",0,T$29)</f>
        <v>0</v>
      </c>
      <c r="K19" s="179">
        <f>SUM(F19:J19)</f>
        <v>7708.16</v>
      </c>
      <c r="L19" s="57"/>
      <c r="M19" s="71"/>
      <c r="P19" s="164" t="str">
        <f>F$12</f>
        <v>Partner 1</v>
      </c>
      <c r="Q19" s="164" t="str">
        <f>G$12</f>
        <v>Partner 2</v>
      </c>
      <c r="R19" s="164" t="str">
        <f>H$12</f>
        <v>Partner 3</v>
      </c>
      <c r="S19" s="164" t="str">
        <f>I$12</f>
        <v>Partner 4</v>
      </c>
      <c r="T19" s="164" t="str">
        <f>J$12</f>
        <v>Partner 5</v>
      </c>
    </row>
    <row r="20" spans="1:22">
      <c r="A20" s="80"/>
      <c r="B20" s="80"/>
      <c r="C20" s="187"/>
      <c r="D20" s="186" t="str">
        <f>IF($G$25&lt;0,"Making a loss","Okay")</f>
        <v>Okay</v>
      </c>
      <c r="E20" s="188" t="s">
        <v>93</v>
      </c>
      <c r="F20" s="177">
        <f>P$46</f>
        <v>0</v>
      </c>
      <c r="G20" s="177">
        <f>Q$46</f>
        <v>0</v>
      </c>
      <c r="H20" s="177">
        <f>R$46</f>
        <v>0</v>
      </c>
      <c r="I20" s="177">
        <f>S$46</f>
        <v>0</v>
      </c>
      <c r="J20" s="177">
        <f>T$46</f>
        <v>0</v>
      </c>
      <c r="K20" s="179">
        <f>SUM(F20:J20)</f>
        <v>0</v>
      </c>
      <c r="L20" s="57"/>
      <c r="M20" s="71"/>
      <c r="O20" s="57" t="s">
        <v>67</v>
      </c>
      <c r="P20" s="99">
        <f>IF(F$17&lt;$K$6,0,IF(F$17&lt;100000,F$17-$K$6,IF(F$17&gt;=100000,F$17)))</f>
        <v>12044</v>
      </c>
      <c r="Q20" s="99">
        <f>IF($D$12="Sole Trader",0,IF(G$17&lt;$K$6,0,IF(G$17&lt;100000,G$17-$K$6,IF(G$17&gt;=100000,G$17))))</f>
        <v>12044</v>
      </c>
      <c r="R20" s="99">
        <f>IF($D$12="Sole Trader",0,IF(H$17&lt;$K$6,0,IF(H$17&lt;100000,H$17-$K$6,IF(H$17&gt;=100000,H$17))))</f>
        <v>0</v>
      </c>
      <c r="S20" s="99">
        <f>IF($D$12="Sole Trader",0,IF(I$17&lt;$K$6,0,IF(I$17&lt;100000,I$17-$K$6,IF(I$17&gt;=100000,I$17))))</f>
        <v>0</v>
      </c>
      <c r="T20" s="99">
        <f>IF($D$12="Sole Trader",0,IF(J$17&lt;$K$6,0,IF(J$17&lt;100000,J$17-$K$6,IF(J$17&gt;=100000,J$17))))</f>
        <v>0</v>
      </c>
      <c r="U20" s="169" t="s">
        <v>94</v>
      </c>
      <c r="V20" s="169"/>
    </row>
    <row r="21" spans="1:22">
      <c r="A21" s="80"/>
      <c r="B21" s="80"/>
      <c r="C21" s="189"/>
      <c r="D21" s="186" t="str">
        <f>IF(($D$16-$J$28-$D$18)&lt;0,"Illegal Dividend","Okay")</f>
        <v>Okay</v>
      </c>
      <c r="E21" s="190"/>
      <c r="F21" s="80"/>
      <c r="G21" s="83"/>
      <c r="H21" s="150" t="s">
        <v>86</v>
      </c>
      <c r="I21" s="125">
        <v>0.2</v>
      </c>
      <c r="J21" s="80" t="s">
        <v>87</v>
      </c>
      <c r="K21" s="180"/>
      <c r="P21" s="166">
        <f>IF(P$20&lt;$K$8,P$20*$J$7,IF(P$20&gt;$K$8,0))</f>
        <v>2408.8000000000002</v>
      </c>
      <c r="Q21" s="166">
        <f>IF(Q$20=0,0,IF(Q$20&lt;$K$8,Q$20*$J$7,IF(Q$20&gt;$K$8,0)))</f>
        <v>2408.8000000000002</v>
      </c>
      <c r="R21" s="166">
        <f>IF(R$20=0,0,IF(R$20&lt;$K$8,R$20*$J$7,IF(R$20&gt;$K$8,0)))</f>
        <v>0</v>
      </c>
      <c r="S21" s="166">
        <f>IF(S$20=0,0,IF(S$20&lt;$K$8,S$20*$J$7,IF(S$20&gt;$K$8,0)))</f>
        <v>0</v>
      </c>
      <c r="T21" s="166">
        <f>IF(T$20=0,0,IF(T$20&lt;$K$8,T$20*$J$7,IF(T$20&gt;$K$8,0)))</f>
        <v>0</v>
      </c>
    </row>
    <row r="22" spans="1:22">
      <c r="A22" s="1"/>
      <c r="B22" s="1"/>
      <c r="C22" s="73"/>
      <c r="D22" s="68"/>
      <c r="E22" s="104"/>
      <c r="F22" s="1"/>
      <c r="G22" s="104"/>
      <c r="H22" s="1"/>
      <c r="I22" s="105"/>
      <c r="J22" s="1"/>
      <c r="K22" s="180"/>
      <c r="L22" s="57"/>
      <c r="M22" s="57"/>
      <c r="N22" s="57"/>
      <c r="P22" s="166">
        <f>IF(P$20&lt;$K$8,0,IF(P$20&gt;=$K$9,0,IF(P$20&lt;$K$9,((P$20-$K$8)*$J$8)+($K$8*$J$7))))</f>
        <v>0</v>
      </c>
      <c r="Q22" s="166">
        <f>IF(Q$20=0,0,IF(Q$20&lt;$K$8,0,IF(Q$20&gt;=$K$9,0,IF(Q$20&lt;$K$9,((Q$20-$K$8)*$J$8)+($K$8*$J$7)))))</f>
        <v>0</v>
      </c>
      <c r="R22" s="166">
        <f>IF(R$20=0,0,IF(R$20&lt;$K$8,0,IF(R$20&gt;=$K$9,0,IF(R$20&lt;$K$9,((R$20-$K$8)*$J$8)+($K$8*$J$7)))))</f>
        <v>0</v>
      </c>
      <c r="S22" s="166">
        <f>IF(S$20=0,0,IF(S$20&lt;$K$8,0,IF(S$20&gt;=$K$9,0,IF(S$20&lt;$K$9,((S$20-$K$8)*$J$8)+($K$8*$J$7)))))</f>
        <v>0</v>
      </c>
      <c r="T22" s="166">
        <f>IF(T$20=0,0,IF(T$20&lt;$K$8,0,IF(T$20&gt;=$K$9,0,IF(T$20&lt;$K$9,((T$20-$K$8)*$J$8)+($K$8*$J$7)))))</f>
        <v>0</v>
      </c>
      <c r="V22" s="124"/>
    </row>
    <row r="23" spans="1:22">
      <c r="A23" s="1"/>
      <c r="B23" s="1"/>
      <c r="C23" s="73"/>
      <c r="D23" s="68"/>
      <c r="E23" s="104"/>
      <c r="F23" s="1"/>
      <c r="G23" s="104"/>
      <c r="H23" s="1"/>
      <c r="I23" s="105"/>
      <c r="J23" s="1"/>
      <c r="K23" s="104"/>
      <c r="L23" s="57"/>
      <c r="M23" s="57"/>
      <c r="N23" s="57"/>
      <c r="P23" s="166">
        <f>IF(P$20=0,0,IF(P$20&gt;=$K$9,P$24,0))</f>
        <v>0</v>
      </c>
      <c r="Q23" s="166">
        <f>IF(Q$20=0,0,IF(Q$20&gt;=$K$9,Q$24,0))</f>
        <v>0</v>
      </c>
      <c r="R23" s="166">
        <f>IF(R$20=0,0,IF(R$20&gt;=$K$9,R$24,0))</f>
        <v>0</v>
      </c>
      <c r="S23" s="166">
        <f>IF(S$20=0,0,IF(S$20&gt;=$K$9,S$24,0))</f>
        <v>0</v>
      </c>
      <c r="T23" s="166">
        <f>IF(T$20=0,0,IF(T$20&gt;=$K$9,T$24,0))</f>
        <v>0</v>
      </c>
    </row>
    <row r="24" spans="1:22" ht="15" thickBot="1">
      <c r="A24" s="1"/>
      <c r="B24" s="1"/>
      <c r="C24" s="137"/>
      <c r="D24" s="68"/>
      <c r="E24" s="104"/>
      <c r="F24" s="1"/>
      <c r="G24" s="180"/>
      <c r="H24" s="1"/>
      <c r="I24" s="105"/>
      <c r="J24" s="1"/>
      <c r="K24" s="180"/>
      <c r="L24" s="57"/>
      <c r="M24" s="57"/>
      <c r="N24" s="57"/>
      <c r="P24" s="166">
        <f>IF(P$20&gt;$K$9,((((P$20-$K$9)*$J$9)+(($K$9-$K$8)*$J$8)+($K$8*$J$7))),0)</f>
        <v>0</v>
      </c>
      <c r="Q24" s="166">
        <f>IF(Q$20=0,0,IF(Q$20&gt;$K$9,((((Q$20-$K$9)*$J$9)+(($K$9-$K$8)*$J$8)+($K$8*$J$7))),0))</f>
        <v>0</v>
      </c>
      <c r="R24" s="166">
        <f>IF(R$20=0,0,IF(R$20&gt;$K$9,((((R$20-$K$9)*$J$9)+(($K$9-$K$8)*$J$8)+($K$8*$J$7))),0))</f>
        <v>0</v>
      </c>
      <c r="S24" s="166">
        <f>IF(S$20=0,0,IF(S$20&gt;$K$9,((((S$20-$K$9)*$J$9)+(($K$9-$K$8)*$J$8)+($K$8*$J$7))),0))</f>
        <v>0</v>
      </c>
      <c r="T24" s="166">
        <f>IF(T$20=0,0,IF(T$20&gt;$K$9,((((T$20-$K$9)*$J$9)+(($K$9-$K$8)*$J$8)+($K$8*$J$7))),0))</f>
        <v>0</v>
      </c>
    </row>
    <row r="25" spans="1:22">
      <c r="C25" s="138">
        <f>IF($D$12="Partnership",0,IF($D$16&lt;=$K$7,0,IF($D$16&lt;=100000,$D$16-$K$7,IF($D$16&gt;=100000,$D$16))))</f>
        <v>0</v>
      </c>
      <c r="D25" s="62"/>
      <c r="E25" s="100"/>
      <c r="F25" s="62"/>
      <c r="G25" s="181">
        <f>$D$16-$K$17-$H$32</f>
        <v>16675.856</v>
      </c>
      <c r="H25" s="62"/>
      <c r="I25" s="57"/>
      <c r="J25" s="62"/>
      <c r="K25" s="183"/>
      <c r="L25" s="99"/>
      <c r="M25" s="57"/>
      <c r="N25" s="57"/>
      <c r="O25" s="57" t="s">
        <v>68</v>
      </c>
      <c r="P25" s="99">
        <f>IF(F$17&lt;$K$6,0,(F$17-$K$6))</f>
        <v>12044</v>
      </c>
      <c r="Q25" s="99">
        <f>IF($D$12="Sole Trader",0,IF(G$17&lt;$K$6,0,((G$17-$K$6))))</f>
        <v>12044</v>
      </c>
      <c r="R25" s="99">
        <f>IF($D$12="Sole Trader",0,IF(H$17&lt;$K$6,0,((H$17-$K$6))))</f>
        <v>0</v>
      </c>
      <c r="S25" s="99">
        <f>IF($D$12="Sole Trader",0,IF(I$17&lt;$K$6,0,((I$17-$K$6))))</f>
        <v>0</v>
      </c>
      <c r="T25" s="99">
        <f>IF($D$12="Sole Trader",0,IF(J$17&lt;$K$6,0,((J$17-$K$6))))</f>
        <v>0</v>
      </c>
    </row>
    <row r="26" spans="1:22" ht="15">
      <c r="C26" s="139"/>
      <c r="D26" s="76" t="s">
        <v>44</v>
      </c>
      <c r="E26" s="100"/>
      <c r="F26" s="76" t="s">
        <v>43</v>
      </c>
      <c r="G26" s="182"/>
      <c r="H26" s="76" t="s">
        <v>59</v>
      </c>
      <c r="I26" s="102"/>
      <c r="J26" s="76" t="s">
        <v>45</v>
      </c>
      <c r="K26" s="184">
        <f>($D$16-($D$14*$K$6))</f>
        <v>44088</v>
      </c>
      <c r="L26" s="103"/>
      <c r="M26" s="57"/>
      <c r="N26" s="57"/>
      <c r="O26" s="57" t="s">
        <v>69</v>
      </c>
      <c r="P26" s="166">
        <f>IF(P$25&lt;$L$5,P$25*$J$5,IF(P$25&gt;$L$5,"0"))</f>
        <v>1445.28</v>
      </c>
      <c r="Q26" s="166">
        <f>IF($D$12="Sole Trader",0,IF(Q$25&lt;$L$5,Q$25*$J$5,IF(Q$25&gt;$L$5,0)))</f>
        <v>1445.28</v>
      </c>
      <c r="R26" s="166">
        <f>IF($D$12="Sole Trader",0,IF(R$25&lt;$L$5,R$25*$J$5,IF(R$25&gt;$L$5,0)))</f>
        <v>0</v>
      </c>
      <c r="S26" s="166">
        <f>IF($D$12="Sole Trader",0,IF(S$25&lt;$L$5,S$25*$J$5,IF(S$25&gt;$L$5,0)))</f>
        <v>0</v>
      </c>
      <c r="T26" s="166">
        <f>IF($D$12="Sole Trader",0,IF(T$25&lt;$L$5,T$25*$J$5,IF(T$25&gt;$L$5,0)))</f>
        <v>0</v>
      </c>
    </row>
    <row r="27" spans="1:22" ht="18" customHeight="1">
      <c r="A27" s="60" t="s">
        <v>50</v>
      </c>
      <c r="C27" s="139"/>
      <c r="D27" s="63"/>
      <c r="E27" s="139"/>
      <c r="F27" s="63"/>
      <c r="G27" s="182"/>
      <c r="H27" s="63"/>
      <c r="I27" s="57"/>
      <c r="J27" s="66"/>
      <c r="K27" s="183"/>
      <c r="L27" s="100"/>
      <c r="M27" s="57"/>
      <c r="N27" s="57"/>
      <c r="P27" s="166">
        <f>IF(P$25&gt;$L$5,(((P$25-$L$5)*$I$5))+($L$5*$J$5),0)</f>
        <v>0</v>
      </c>
      <c r="Q27" s="166">
        <f>IF($D$12="Sole Trader",0,IF(Q$25&gt;$L$5,(((Q$25-$L$5)*$I$5))+($L$5*$J$5),0))</f>
        <v>0</v>
      </c>
      <c r="R27" s="166">
        <f>IF($D$12="Sole Trader",0,IF(R$25&gt;$L$5,(((R$25-$L$5)*$I$5))+($L$5*$J$5),0))</f>
        <v>0</v>
      </c>
      <c r="S27" s="166">
        <f>IF($D$12="Sole Trader",0,IF(S$25&gt;$L$5,(((S$25-$L$5)*$I$5))+($L$5*$J$5),0))</f>
        <v>0</v>
      </c>
      <c r="T27" s="166">
        <f>IF($D$12="Sole Trader",0,IF(T$25&gt;$L$5,(((T$25-$L$5)*$I$5))+($L$5*$J$5),0))</f>
        <v>0</v>
      </c>
    </row>
    <row r="28" spans="1:22" ht="18" customHeight="1">
      <c r="A28" t="s">
        <v>48</v>
      </c>
      <c r="C28" s="139"/>
      <c r="D28" s="65">
        <v>0</v>
      </c>
      <c r="E28" s="138">
        <f>IF($C$25&lt;$K$8,$C$25*$J$7,IF($C$25&gt;$K$8,"0"))</f>
        <v>0</v>
      </c>
      <c r="F28" s="149">
        <v>0</v>
      </c>
      <c r="G28" s="72"/>
      <c r="H28" s="65">
        <f>IF(G$25&lt;$K$3,G$25*$J$3,IF(G$25&gt;$K$3,((G$25-$K$3)*$J$4)+($K$3*$J$3)))</f>
        <v>3335.1712000000002</v>
      </c>
      <c r="I28" s="72"/>
      <c r="J28" s="65">
        <f>IF($K$26&lt;=$K$3,$K$26*$J$3,IF($K$26&gt;$K$3,(K3*J3)+(($K$26-$K$3)*$J$4)))</f>
        <v>8817.6</v>
      </c>
      <c r="K28" s="185"/>
      <c r="L28" s="100"/>
      <c r="M28" s="99"/>
      <c r="N28" s="57"/>
      <c r="P28" s="99"/>
      <c r="Q28" s="99"/>
      <c r="R28" s="99"/>
      <c r="S28" s="99"/>
      <c r="T28" s="99"/>
    </row>
    <row r="29" spans="1:22" ht="18" customHeight="1">
      <c r="A29" t="s">
        <v>49</v>
      </c>
      <c r="C29" s="139"/>
      <c r="D29" s="194">
        <f>SUM(E28:E30)</f>
        <v>0</v>
      </c>
      <c r="E29" s="138" t="str">
        <f>IF($C$25&lt;$K$8,"0",IF($C$25&gt;=$K$9,"0",IF($C$25&lt;$K$9,(($C$25-$K$8)*$J$8)+($K$8*$J$7))))</f>
        <v>0</v>
      </c>
      <c r="F29" s="65">
        <f>SUM(P7:T9)</f>
        <v>8000</v>
      </c>
      <c r="G29" s="72"/>
      <c r="H29" s="65">
        <f>SUM(P21:T23)</f>
        <v>4817.6000000000004</v>
      </c>
      <c r="I29" s="72"/>
      <c r="J29" s="65">
        <f>$T$47</f>
        <v>0</v>
      </c>
      <c r="K29" s="100"/>
      <c r="L29" s="100"/>
      <c r="M29" s="99"/>
      <c r="N29" s="57"/>
      <c r="O29" s="57" t="s">
        <v>73</v>
      </c>
      <c r="P29" s="168">
        <f>SUM(P21:P23)+SUM(P26:P27)</f>
        <v>3854.08</v>
      </c>
      <c r="Q29" s="168">
        <f>SUM(Q21:Q23)+SUM(Q26:Q27)</f>
        <v>3854.08</v>
      </c>
      <c r="R29" s="168">
        <f>SUM(R21:R23)+SUM(R26:R27)</f>
        <v>0</v>
      </c>
      <c r="S29" s="168">
        <f>SUM(S21:S23)+SUM(S26:S27)</f>
        <v>0</v>
      </c>
      <c r="T29" s="168">
        <f>SUM(T21:T23)+SUM(T26:T27)</f>
        <v>0</v>
      </c>
    </row>
    <row r="30" spans="1:22" ht="18" customHeight="1">
      <c r="C30" s="139"/>
      <c r="D30" s="65"/>
      <c r="E30" s="138">
        <f>IF($D$12="Partnership",0,IF($D$16&gt;=$K9,$E$31+$E$32))</f>
        <v>0</v>
      </c>
      <c r="F30" s="65"/>
      <c r="G30" s="100"/>
      <c r="H30" s="65"/>
      <c r="I30" s="100"/>
      <c r="J30" s="65"/>
      <c r="K30" s="100"/>
      <c r="L30" s="99"/>
      <c r="M30" s="99"/>
      <c r="N30" s="57"/>
      <c r="P30" s="124"/>
      <c r="T30" s="169">
        <f>SUM(P29:T29)</f>
        <v>7708.16</v>
      </c>
    </row>
    <row r="31" spans="1:22" ht="18" customHeight="1">
      <c r="A31" s="60" t="s">
        <v>51</v>
      </c>
      <c r="C31" s="139"/>
      <c r="D31" s="65"/>
      <c r="E31" s="138" t="str">
        <f>IF($D$12="Partnership","0",IF($C$25&lt;$K$9,"0",($C$25-$K$9)*$J$9))</f>
        <v>0</v>
      </c>
      <c r="F31" s="65"/>
      <c r="G31" s="100"/>
      <c r="H31" s="65"/>
      <c r="I31" s="72"/>
      <c r="J31" s="65"/>
      <c r="K31" s="72"/>
      <c r="L31" s="57"/>
      <c r="M31" s="99"/>
      <c r="N31" s="57"/>
      <c r="O31" s="57" t="s">
        <v>75</v>
      </c>
      <c r="P31" s="99">
        <f>P$20-P$29</f>
        <v>8189.92</v>
      </c>
      <c r="Q31" s="99">
        <f>Q$20-Q$29</f>
        <v>8189.92</v>
      </c>
      <c r="R31" s="99">
        <f>R$20-R$29</f>
        <v>0</v>
      </c>
      <c r="S31" s="99">
        <f>S$20-S$29</f>
        <v>0</v>
      </c>
      <c r="T31" s="99">
        <f>T$20-T$29</f>
        <v>0</v>
      </c>
    </row>
    <row r="32" spans="1:22" ht="18" customHeight="1">
      <c r="A32" t="s">
        <v>52</v>
      </c>
      <c r="C32" s="138"/>
      <c r="D32" s="65">
        <v>0</v>
      </c>
      <c r="E32" s="138">
        <f>($K$8*$J$7)+(($K$9-$K$8)*$J$8)</f>
        <v>53627.199999999997</v>
      </c>
      <c r="F32" s="65">
        <v>0</v>
      </c>
      <c r="G32" s="72"/>
      <c r="H32" s="65">
        <f>($D$18-($D$14*$K$6))*$J$6</f>
        <v>3324.1440000000002</v>
      </c>
      <c r="I32" s="100"/>
      <c r="J32" s="65">
        <v>0</v>
      </c>
      <c r="K32" s="72"/>
      <c r="L32" s="57"/>
      <c r="M32" s="99"/>
      <c r="N32" s="57"/>
    </row>
    <row r="33" spans="1:22" ht="18" customHeight="1">
      <c r="A33" t="s">
        <v>53</v>
      </c>
      <c r="C33" s="138" t="str">
        <f>IF($D$12="Partnership","0",IF($D$16&lt;=$K$5,0,IF($D$12="Sole Trader",$D$16-$K$5)))</f>
        <v>0</v>
      </c>
      <c r="D33" s="65">
        <f>SUM(E33:E34)</f>
        <v>0</v>
      </c>
      <c r="E33" s="138" t="str">
        <f>IF(C$33&lt;$L$5,$C$33*$I$7,IF($C$33&gt;$L$5,"0"))</f>
        <v>0</v>
      </c>
      <c r="F33" s="65">
        <f>SUM(P12:T13)</f>
        <v>3967.92</v>
      </c>
      <c r="G33" s="72"/>
      <c r="H33" s="65">
        <f>SUM(P26:T27)</f>
        <v>2890.56</v>
      </c>
      <c r="I33" s="100"/>
      <c r="J33" s="65">
        <v>0</v>
      </c>
      <c r="K33" s="57"/>
      <c r="L33" s="57"/>
      <c r="M33" s="99"/>
      <c r="N33" s="57"/>
    </row>
    <row r="34" spans="1:22" ht="18" customHeight="1">
      <c r="C34" s="139"/>
      <c r="D34" s="65"/>
      <c r="E34" s="138" t="str">
        <f>IF($D$12="Partnership","0",IF($C$33&gt;$L$5,((($C$33-$L$5)*$I$5))+($L$5*$I$7),"0"))</f>
        <v>0</v>
      </c>
      <c r="F34" s="65"/>
      <c r="G34" s="72"/>
      <c r="H34" s="65"/>
      <c r="I34" s="99"/>
      <c r="J34" s="65"/>
      <c r="K34" s="57"/>
      <c r="L34" s="57"/>
      <c r="M34" s="57"/>
      <c r="N34" s="57"/>
      <c r="P34" s="201" t="s">
        <v>77</v>
      </c>
      <c r="Q34" s="201"/>
      <c r="R34" s="201"/>
      <c r="S34" s="201"/>
      <c r="T34" s="201"/>
    </row>
    <row r="35" spans="1:22" s="57" customFormat="1" ht="18" customHeight="1" thickBot="1">
      <c r="A35" s="146" t="s">
        <v>54</v>
      </c>
      <c r="D35" s="147">
        <f>SUM(D28:D33)</f>
        <v>0</v>
      </c>
      <c r="E35" s="123"/>
      <c r="F35" s="147">
        <f>SUM(F28:F33)</f>
        <v>11967.92</v>
      </c>
      <c r="G35" s="75"/>
      <c r="H35" s="147">
        <f>SUM(H28:H33)</f>
        <v>14367.475200000001</v>
      </c>
      <c r="I35" s="100"/>
      <c r="J35" s="147">
        <f>SUM(J28:J33)</f>
        <v>8817.6</v>
      </c>
      <c r="P35" s="164" t="str">
        <f>F$12</f>
        <v>Partner 1</v>
      </c>
      <c r="Q35" s="164" t="str">
        <f>G$12</f>
        <v>Partner 2</v>
      </c>
      <c r="R35" s="164" t="str">
        <f>H$12</f>
        <v>Partner 3</v>
      </c>
      <c r="S35" s="164" t="str">
        <f>I$12</f>
        <v>Partner 4</v>
      </c>
      <c r="T35" s="164" t="str">
        <f>J$12</f>
        <v>Partner 5</v>
      </c>
    </row>
    <row r="36" spans="1:22" ht="15" thickTop="1">
      <c r="C36" s="57"/>
      <c r="D36" s="65"/>
      <c r="E36" s="140"/>
      <c r="F36" s="65"/>
      <c r="G36" s="72"/>
      <c r="H36" s="65"/>
      <c r="I36" s="100"/>
      <c r="J36" s="63"/>
      <c r="K36" s="57"/>
      <c r="L36" s="57"/>
      <c r="M36" s="57"/>
      <c r="N36" s="57"/>
      <c r="O36" s="57" t="s">
        <v>79</v>
      </c>
      <c r="P36" s="170">
        <f>(F$17-$K$6)/0.9</f>
        <v>13382.222222222223</v>
      </c>
      <c r="Q36" s="170">
        <f>IF($D$12="Sole Trader",0,((G$17-$K$6)/0.9))</f>
        <v>13382.222222222223</v>
      </c>
      <c r="R36" s="170">
        <f>IF($D$12="Sole Trader",0,((H$17-$K$6)/0.9))</f>
        <v>-8840</v>
      </c>
      <c r="S36" s="170">
        <f>IF($D$12="Sole Trader",0,((I$17-$K$6)/0.9))</f>
        <v>-8840</v>
      </c>
      <c r="T36" s="170">
        <f>IF($D$12="Sole Trader",0,((J$17-$K$6)/0.9))</f>
        <v>-8840</v>
      </c>
      <c r="U36" s="99"/>
    </row>
    <row r="37" spans="1:22" s="142" customFormat="1" ht="23.1" customHeight="1" thickBot="1">
      <c r="A37" s="141" t="s">
        <v>90</v>
      </c>
      <c r="D37" s="143">
        <f>IF(C25=0,0,IF(C25&gt;0,$D$16-D35))</f>
        <v>0</v>
      </c>
      <c r="F37" s="143">
        <f>IF($D$12="Sole Trader","0",IF(SUM(F15:J15)&gt;0,$D$16-$F$35))</f>
        <v>48032.08</v>
      </c>
      <c r="G37" s="144"/>
      <c r="H37" s="143">
        <f>$K$17-$T$30</f>
        <v>32291.84</v>
      </c>
      <c r="I37" s="145"/>
      <c r="J37" s="143">
        <f>$D$18-$J$29</f>
        <v>40000</v>
      </c>
      <c r="O37" s="57" t="s">
        <v>80</v>
      </c>
      <c r="P37" s="99">
        <f>-P$36*0.1</f>
        <v>-1338.2222222222224</v>
      </c>
      <c r="Q37" s="99">
        <f>-Q$36*0.1</f>
        <v>-1338.2222222222224</v>
      </c>
      <c r="R37" s="99">
        <f>-R$36*0.1</f>
        <v>884</v>
      </c>
      <c r="S37" s="99">
        <f>-S$36*0.1</f>
        <v>884</v>
      </c>
      <c r="T37" s="99">
        <f>-T$36*0.1</f>
        <v>884</v>
      </c>
      <c r="U37" s="99"/>
      <c r="V37" s="57"/>
    </row>
    <row r="38" spans="1:22" ht="21" customHeight="1" thickTop="1">
      <c r="A38" s="60" t="s">
        <v>60</v>
      </c>
      <c r="C38" s="57"/>
      <c r="D38" s="74" t="str">
        <f>IF($D$12="Partnership","0",$D$16-D$35-D$37)</f>
        <v>0</v>
      </c>
      <c r="E38" s="139"/>
      <c r="F38" s="74">
        <f>IF($D$12="Sole Trader","0",$D$16-F$35-F$37)</f>
        <v>0</v>
      </c>
      <c r="G38" s="101"/>
      <c r="H38" s="74">
        <f>$D$16-$H$28-$H$32-$K$17-$V$20</f>
        <v>13340.684800000003</v>
      </c>
      <c r="I38" s="57"/>
      <c r="J38" s="74">
        <f>$D$16-$J$28-$D$18</f>
        <v>11182.400000000001</v>
      </c>
      <c r="K38" s="57"/>
      <c r="L38" s="57"/>
      <c r="M38" s="57"/>
      <c r="N38" s="57"/>
      <c r="P38" s="99"/>
      <c r="Q38" s="99"/>
      <c r="R38" s="99"/>
      <c r="S38" s="99"/>
      <c r="T38" s="99"/>
    </row>
    <row r="39" spans="1:22">
      <c r="C39" s="57"/>
      <c r="D39" s="65"/>
      <c r="E39" s="72"/>
      <c r="F39" s="65"/>
      <c r="G39" s="72"/>
      <c r="H39" s="65"/>
      <c r="I39" s="72"/>
      <c r="J39" s="63"/>
      <c r="K39" s="57"/>
      <c r="L39" s="57"/>
      <c r="M39" s="57"/>
      <c r="N39" s="57"/>
      <c r="O39" s="57" t="s">
        <v>81</v>
      </c>
      <c r="P39" s="171">
        <f>($K$8+$L$7)*$I$2</f>
        <v>3391</v>
      </c>
      <c r="Q39" s="171">
        <f>IF($D$12="Sole Trader",0,(($K$8+$L$7)*$I$2))</f>
        <v>3391</v>
      </c>
      <c r="R39" s="171">
        <f>IF($D$12="Sole Trader",0,(($K$8+$L$7)*$I$2))</f>
        <v>3391</v>
      </c>
      <c r="S39" s="171">
        <f>IF($D$12="Sole Trader",0,(($K$8+$L$7)*$I$2))</f>
        <v>3391</v>
      </c>
      <c r="T39" s="171">
        <f>IF($D$12="Sole Trader",0,(($K$8+$L$7)*$I$2))</f>
        <v>3391</v>
      </c>
      <c r="U39" s="99"/>
    </row>
    <row r="40" spans="1:22" ht="18" customHeight="1">
      <c r="A40" s="60" t="s">
        <v>61</v>
      </c>
      <c r="C40" s="57"/>
      <c r="D40" s="77">
        <f>SUM(D37:D38)</f>
        <v>0</v>
      </c>
      <c r="E40" s="101"/>
      <c r="F40" s="77">
        <f>SUM(F37:F38)</f>
        <v>48032.08</v>
      </c>
      <c r="G40" s="101"/>
      <c r="H40" s="77">
        <f>SUM(H37:H38)</f>
        <v>45632.524799999999</v>
      </c>
      <c r="I40" s="101"/>
      <c r="J40" s="77">
        <f>SUM(J37:J38)</f>
        <v>51182.400000000001</v>
      </c>
      <c r="K40" s="57"/>
      <c r="L40" s="57"/>
      <c r="M40" s="57"/>
      <c r="N40" s="57"/>
      <c r="O40" s="172" t="s">
        <v>82</v>
      </c>
      <c r="P40" s="100">
        <f>IF(P$36&lt;$K$8,0,IF(P$36&gt;$K$9,0,IF(P$36&gt;$K$8,(P$36-$J$2-$L$7)*$K$2)))</f>
        <v>0</v>
      </c>
      <c r="Q40" s="100">
        <f>IF(Q$36&lt;$K$8,0,IF(Q$36&gt;$K$9,0,IF(Q$36&gt;$K$8,(Q$36-$J$2-$L$7)*$K$2)))</f>
        <v>0</v>
      </c>
      <c r="R40" s="100">
        <f>IF(R$36&lt;$K$8,0,IF(R$36&gt;$K$9,0,IF(R$36&gt;$K$8,(R$36-$J$2-$L$7)*$K$2)))</f>
        <v>0</v>
      </c>
      <c r="S40" s="100">
        <f>IF(S$36&lt;$K$8,0,IF(S$36&gt;$K$9,0,IF(S$36&gt;$K$8,(S$36-$J$2-$L$7)*$K$2)))</f>
        <v>0</v>
      </c>
      <c r="T40" s="100">
        <f>IF(T$36&lt;$K$8,0,IF(T$36&gt;$K$9,0,IF(T$36&gt;$K$8,(T$36-$J$2-$L$7)*$K$2)))</f>
        <v>0</v>
      </c>
      <c r="U40" s="99"/>
    </row>
    <row r="41" spans="1:22" ht="18.75" customHeight="1" thickBot="1">
      <c r="C41" s="57"/>
      <c r="D41" s="64"/>
      <c r="E41" s="72"/>
      <c r="F41" s="64"/>
      <c r="G41" s="72"/>
      <c r="H41" s="64"/>
      <c r="I41" s="72"/>
      <c r="J41" s="67"/>
      <c r="K41" s="57"/>
      <c r="L41" s="57"/>
      <c r="M41" s="57"/>
      <c r="N41" s="57"/>
      <c r="O41" s="57" t="s">
        <v>83</v>
      </c>
      <c r="P41" s="100">
        <f>IF(P$36&lt;$K$9,0,IF(P$36&gt;$K$9,((P$36-$K$9)*$K$1)))</f>
        <v>0</v>
      </c>
      <c r="Q41" s="100">
        <f>IF($D$12="Sole Trader",0,IF(Q$36&lt;$K$9,0,IF(Q$36&gt;$K$9,((Q$36-$K$9)*$K$1))))</f>
        <v>0</v>
      </c>
      <c r="R41" s="100">
        <f>IF($D$12="Sole Trader",0,IF(R$36&lt;$K$9,0,IF(R$36&gt;$K$9,((R$36-$K$9)*$K$1))))</f>
        <v>0</v>
      </c>
      <c r="S41" s="100">
        <f>IF($D$12="Sole Trader",0,IF(S$36&lt;$K$9,0,IF(S$36&gt;$K$9,((S$36-$K$9)*$K$1))))</f>
        <v>0</v>
      </c>
      <c r="T41" s="100">
        <f>IF($D$12="Sole Trader",0,IF(T$36&lt;$K$9,0,IF(T$36&gt;$K$9,((T$36-$K$9)*$K$1))))</f>
        <v>0</v>
      </c>
      <c r="U41" s="99"/>
    </row>
    <row r="42" spans="1:22">
      <c r="C42" s="57"/>
      <c r="D42" s="61"/>
      <c r="E42" s="61"/>
      <c r="F42" s="61"/>
      <c r="G42" s="72"/>
      <c r="H42" s="61"/>
      <c r="I42" s="72"/>
      <c r="K42" s="57"/>
      <c r="L42" s="57"/>
      <c r="M42" s="57"/>
      <c r="N42" s="57"/>
      <c r="P42" s="100">
        <f>IF(P$41&lt;=0,0,IF(P$41&gt;0,($J$1-$J$2-$L$7)*$K$2))</f>
        <v>0</v>
      </c>
      <c r="Q42" s="100">
        <f>IF($D$12="Sole Trader",0,IF(Q$41&lt;=0,0,IF(Q$41&gt;0,($J$1-$J$2-$L$7)*$K$2)))</f>
        <v>0</v>
      </c>
      <c r="R42" s="100">
        <f>IF($D$12="Sole Trader",0,IF(R$41&lt;=0,0,IF(R$41&gt;0,($J$1-$J$2-$L$7)*$K$2)))</f>
        <v>0</v>
      </c>
      <c r="S42" s="100">
        <f>IF($D$12="Sole Trader",0,IF(S$41&lt;=0,0,IF(S$41&gt;0,($J$1-$J$2-$L$7)*$K$2)))</f>
        <v>0</v>
      </c>
      <c r="T42" s="100">
        <f>IF($D$12="Sole Trader",0,IF(T$41&lt;=0,0,IF(T$41&gt;0,($J$1-$J$2-$L$7)*$K$2)))</f>
        <v>0</v>
      </c>
      <c r="U42" s="99"/>
    </row>
    <row r="43" spans="1:22">
      <c r="C43" s="57"/>
      <c r="D43" s="61"/>
      <c r="E43" s="61"/>
      <c r="F43" s="61"/>
      <c r="G43" s="72"/>
      <c r="H43" s="61"/>
      <c r="I43" s="72"/>
      <c r="K43" s="57"/>
      <c r="L43" s="57"/>
      <c r="M43" s="57"/>
      <c r="N43" s="57"/>
      <c r="P43" s="100"/>
      <c r="Q43" s="100"/>
      <c r="R43" s="100"/>
      <c r="S43" s="100"/>
      <c r="T43" s="100"/>
      <c r="U43" s="99"/>
    </row>
    <row r="44" spans="1:22">
      <c r="C44" s="57"/>
      <c r="D44" s="61"/>
      <c r="E44" s="61"/>
      <c r="F44" s="61"/>
      <c r="G44" s="72"/>
      <c r="H44" s="61"/>
      <c r="I44" s="72"/>
      <c r="K44" s="57"/>
      <c r="L44" s="57"/>
      <c r="M44" s="57"/>
      <c r="N44" s="57"/>
      <c r="P44" s="173"/>
      <c r="Q44" s="173"/>
      <c r="R44" s="173"/>
      <c r="S44" s="173"/>
      <c r="T44" s="173"/>
      <c r="U44" s="99"/>
    </row>
    <row r="45" spans="1:22" ht="21.75" customHeight="1" thickBot="1">
      <c r="C45" s="57"/>
      <c r="D45" s="61"/>
      <c r="E45" s="61"/>
      <c r="F45" s="61"/>
      <c r="G45" s="61"/>
      <c r="H45" s="61"/>
      <c r="I45" s="61"/>
      <c r="J45" s="155"/>
      <c r="K45" s="57"/>
      <c r="L45" s="57"/>
      <c r="M45" s="57"/>
      <c r="N45" s="57"/>
      <c r="P45" s="99"/>
      <c r="Q45" s="99"/>
      <c r="R45" s="99"/>
      <c r="S45" s="99"/>
      <c r="T45" s="99"/>
      <c r="U45" s="99"/>
    </row>
    <row r="46" spans="1:22">
      <c r="D46" s="85"/>
      <c r="E46" s="86"/>
      <c r="F46" s="86"/>
      <c r="G46" s="86"/>
      <c r="H46" s="86"/>
      <c r="I46" s="151"/>
      <c r="J46" s="155"/>
      <c r="K46" s="57"/>
      <c r="L46" s="57"/>
      <c r="M46" s="57"/>
      <c r="N46" s="57"/>
      <c r="O46" s="57" t="s">
        <v>84</v>
      </c>
      <c r="P46" s="168">
        <f>IF(P$36&lt;($K$8+$L$7),0,SUM(P37:P42))</f>
        <v>0</v>
      </c>
      <c r="Q46" s="168">
        <f>IF(Q$36&lt;($K$8+$L$7),0,SUM(Q37:Q42))</f>
        <v>0</v>
      </c>
      <c r="R46" s="168">
        <f>IF(R$36&lt;($K$8+$L$7),0,SUM(R37:R42))</f>
        <v>0</v>
      </c>
      <c r="S46" s="168">
        <f>IF(S$36&lt;($K$8+$L$7),0,SUM(S37:S42))</f>
        <v>0</v>
      </c>
      <c r="T46" s="168">
        <f>IF(T$36&lt;($K$8+$L$7),0,SUM(T37:T42))</f>
        <v>0</v>
      </c>
      <c r="U46" s="99"/>
    </row>
    <row r="47" spans="1:22" ht="15">
      <c r="D47" s="87"/>
      <c r="E47" s="91" t="s">
        <v>63</v>
      </c>
      <c r="F47" s="95"/>
      <c r="G47" s="92"/>
      <c r="H47" s="95">
        <f>$D$35</f>
        <v>0</v>
      </c>
      <c r="I47" s="152"/>
      <c r="J47" s="155"/>
      <c r="K47" s="57"/>
      <c r="L47" s="57"/>
      <c r="M47" s="57"/>
      <c r="N47" s="57"/>
      <c r="P47" s="99"/>
      <c r="Q47" s="99"/>
      <c r="R47" s="99"/>
      <c r="S47" s="99"/>
      <c r="T47" s="99">
        <f>SUM(P46:T46)</f>
        <v>0</v>
      </c>
      <c r="U47" s="99"/>
    </row>
    <row r="48" spans="1:22" ht="15">
      <c r="D48" s="87"/>
      <c r="E48" s="91" t="s">
        <v>62</v>
      </c>
      <c r="F48" s="95"/>
      <c r="G48" s="92"/>
      <c r="H48" s="95">
        <f>$F$35</f>
        <v>11967.92</v>
      </c>
      <c r="I48" s="152"/>
      <c r="J48" s="155"/>
      <c r="M48" s="57"/>
      <c r="N48" s="57"/>
      <c r="O48" s="57" t="s">
        <v>75</v>
      </c>
      <c r="P48" s="169">
        <f>P$36-P$46</f>
        <v>13382.222222222223</v>
      </c>
      <c r="Q48" s="169">
        <f>Q$36-Q$46</f>
        <v>13382.222222222223</v>
      </c>
      <c r="R48" s="169">
        <f>R$36-R$46</f>
        <v>-8840</v>
      </c>
      <c r="S48" s="169">
        <f>S$36-S$46</f>
        <v>-8840</v>
      </c>
      <c r="T48" s="169">
        <f>T$36-T$46</f>
        <v>-8840</v>
      </c>
    </row>
    <row r="49" spans="3:20" ht="15">
      <c r="D49" s="87"/>
      <c r="E49" s="91" t="s">
        <v>95</v>
      </c>
      <c r="F49" s="95"/>
      <c r="G49" s="92"/>
      <c r="H49" s="95">
        <f>$H$35</f>
        <v>14367.475200000001</v>
      </c>
      <c r="I49" s="152"/>
      <c r="J49" s="155"/>
      <c r="M49" s="57"/>
      <c r="N49" s="57"/>
      <c r="P49" s="169"/>
      <c r="Q49" s="169"/>
      <c r="R49" s="169"/>
      <c r="S49" s="169"/>
      <c r="T49" s="169"/>
    </row>
    <row r="50" spans="3:20" ht="15">
      <c r="D50" s="87"/>
      <c r="E50" s="91" t="s">
        <v>85</v>
      </c>
      <c r="F50" s="95"/>
      <c r="G50" s="95"/>
      <c r="H50" s="95">
        <f>$J$35</f>
        <v>8817.6</v>
      </c>
      <c r="I50" s="152"/>
      <c r="J50" s="155"/>
      <c r="M50" s="57"/>
      <c r="N50" s="57"/>
    </row>
    <row r="51" spans="3:20" ht="15">
      <c r="D51" s="87"/>
      <c r="E51" s="95"/>
      <c r="F51" s="95"/>
      <c r="G51" s="95"/>
      <c r="H51" s="95"/>
      <c r="I51" s="152"/>
      <c r="J51" s="155"/>
      <c r="M51" s="57"/>
      <c r="N51" s="57"/>
    </row>
    <row r="52" spans="3:20" ht="16.5" thickBot="1">
      <c r="D52" s="87"/>
      <c r="E52" s="93" t="s">
        <v>64</v>
      </c>
      <c r="F52" s="94"/>
      <c r="G52" s="94"/>
      <c r="H52" s="96">
        <f>H47+H48-H50</f>
        <v>3150.3199999999997</v>
      </c>
      <c r="I52" s="153"/>
      <c r="J52" s="155"/>
    </row>
    <row r="53" spans="3:20" ht="16.5" thickTop="1">
      <c r="D53" s="87"/>
      <c r="E53" s="93"/>
      <c r="F53" s="94"/>
      <c r="G53" s="94"/>
      <c r="H53" s="94"/>
      <c r="I53" s="154"/>
      <c r="J53" s="155"/>
    </row>
    <row r="54" spans="3:20" ht="16.5" thickBot="1">
      <c r="D54" s="87"/>
      <c r="E54" s="93" t="s">
        <v>65</v>
      </c>
      <c r="F54" s="95"/>
      <c r="G54" s="95"/>
      <c r="H54" s="97">
        <f>$H$52*$I$21</f>
        <v>630.06399999999996</v>
      </c>
      <c r="I54" s="154"/>
      <c r="J54" s="155"/>
    </row>
    <row r="55" spans="3:20" ht="16.5" thickTop="1">
      <c r="D55" s="87"/>
      <c r="E55" s="93"/>
      <c r="F55" s="95"/>
      <c r="G55" s="95"/>
      <c r="H55" s="94"/>
      <c r="I55" s="154"/>
      <c r="J55" s="155"/>
    </row>
    <row r="56" spans="3:20" ht="15" thickBot="1">
      <c r="D56" s="88"/>
      <c r="E56" s="89"/>
      <c r="F56" s="89"/>
      <c r="G56" s="89"/>
      <c r="H56" s="89"/>
      <c r="I56" s="90"/>
      <c r="J56" s="155"/>
    </row>
    <row r="57" spans="3:20">
      <c r="C57" s="139"/>
      <c r="D57" s="139"/>
      <c r="E57" s="139"/>
      <c r="F57" s="139"/>
      <c r="G57" s="139"/>
      <c r="H57" s="139"/>
    </row>
    <row r="58" spans="3:20">
      <c r="C58" s="139"/>
      <c r="D58" s="139"/>
      <c r="E58" s="139"/>
      <c r="F58" s="139"/>
      <c r="G58" s="139"/>
      <c r="H58" s="139"/>
    </row>
    <row r="59" spans="3:20">
      <c r="C59" s="139"/>
      <c r="D59" s="139" t="s">
        <v>100</v>
      </c>
      <c r="E59" s="139" t="s">
        <v>101</v>
      </c>
      <c r="F59" s="139" t="s">
        <v>102</v>
      </c>
      <c r="G59" s="139" t="s">
        <v>103</v>
      </c>
      <c r="H59" s="139"/>
    </row>
    <row r="60" spans="3:20">
      <c r="C60" s="139"/>
      <c r="D60" s="174">
        <f>H47</f>
        <v>0</v>
      </c>
      <c r="E60" s="174">
        <f>H48</f>
        <v>11967.92</v>
      </c>
      <c r="F60" s="174">
        <f>H49</f>
        <v>14367.475200000001</v>
      </c>
      <c r="G60" s="174">
        <f>H50</f>
        <v>8817.6</v>
      </c>
      <c r="H60" s="139"/>
    </row>
    <row r="61" spans="3:20">
      <c r="C61" s="139"/>
      <c r="D61" s="139"/>
      <c r="E61" s="139"/>
      <c r="F61" s="139"/>
      <c r="G61" s="139"/>
      <c r="H61" s="139"/>
    </row>
    <row r="62" spans="3:20">
      <c r="C62" s="139"/>
      <c r="D62" s="139" t="s">
        <v>104</v>
      </c>
      <c r="E62" s="139" t="s">
        <v>99</v>
      </c>
      <c r="F62" s="139"/>
      <c r="G62" s="139"/>
      <c r="H62" s="139"/>
    </row>
    <row r="63" spans="3:20">
      <c r="C63" s="139"/>
      <c r="D63" s="174">
        <f>H52</f>
        <v>3150.3199999999997</v>
      </c>
      <c r="E63" s="174">
        <f>H54</f>
        <v>630.06399999999996</v>
      </c>
      <c r="F63" s="139"/>
      <c r="G63" s="139"/>
      <c r="H63" s="139"/>
    </row>
    <row r="64" spans="3:20">
      <c r="C64" s="139"/>
      <c r="D64" s="139"/>
      <c r="E64" s="139"/>
      <c r="F64" s="139"/>
      <c r="G64" s="139"/>
      <c r="H64" s="139"/>
    </row>
    <row r="65" spans="3:8">
      <c r="C65" s="139"/>
      <c r="D65" s="139"/>
      <c r="E65" s="139"/>
      <c r="F65" s="139"/>
      <c r="G65" s="139"/>
      <c r="H65" s="139"/>
    </row>
  </sheetData>
  <sheetProtection selectLockedCells="1"/>
  <mergeCells count="3">
    <mergeCell ref="P4:T4"/>
    <mergeCell ref="P18:T18"/>
    <mergeCell ref="P34:T34"/>
  </mergeCells>
  <conditionalFormatting sqref="K14">
    <cfRule type="containsText" dxfId="7" priority="7" stopIfTrue="1" operator="containsText" text="Error">
      <formula>NOT(ISERROR(SEARCH("Error",K14)))</formula>
    </cfRule>
    <cfRule type="containsText" dxfId="6" priority="8" operator="containsText" text="ERROR">
      <formula>NOT(ISERROR(SEARCH("ERROR",K14)))</formula>
    </cfRule>
  </conditionalFormatting>
  <conditionalFormatting sqref="K15">
    <cfRule type="containsText" dxfId="5" priority="6" stopIfTrue="1" operator="containsText" text="ERROR">
      <formula>NOT(ISERROR(SEARCH("ERROR",K15)))</formula>
    </cfRule>
  </conditionalFormatting>
  <conditionalFormatting sqref="D20">
    <cfRule type="containsText" dxfId="4" priority="4" operator="containsText" text="Okay">
      <formula>NOT(ISERROR(SEARCH("Okay",D20)))</formula>
    </cfRule>
    <cfRule type="containsText" dxfId="3" priority="5" operator="containsText" text="Making a loss">
      <formula>NOT(ISERROR(SEARCH("Making a loss",D20)))</formula>
    </cfRule>
  </conditionalFormatting>
  <conditionalFormatting sqref="D21">
    <cfRule type="containsText" dxfId="2" priority="1" operator="containsText" text="Illegal Dividend">
      <formula>NOT(ISERROR(SEARCH("Illegal Dividend",D21)))</formula>
    </cfRule>
    <cfRule type="containsText" dxfId="1" priority="2" operator="containsText" text="Okay">
      <formula>NOT(ISERROR(SEARCH("Okay",D21)))</formula>
    </cfRule>
    <cfRule type="containsText" dxfId="0" priority="3" operator="containsText" text="Making a loss">
      <formula>NOT(ISERROR(SEARCH("Making a loss",D21)))</formula>
    </cfRule>
  </conditionalFormatting>
  <dataValidations count="2">
    <dataValidation type="list" allowBlank="1" showInputMessage="1" showErrorMessage="1" prompt="If Sole Trader, select 1" sqref="D14">
      <formula1>$N$1:$N$5</formula1>
    </dataValidation>
    <dataValidation type="list" allowBlank="1" showInputMessage="1" showErrorMessage="1" sqref="D12">
      <formula1>$M$4:$M$5</formula1>
    </dataValidation>
  </dataValidations>
  <pageMargins left="0.7" right="0.7" top="0.75" bottom="0.75" header="0.3" footer="0.3"/>
  <pageSetup paperSize="9"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Goodwill</vt:lpstr>
      <vt:lpstr>Incorporation</vt:lpstr>
      <vt:lpstr>Incorporation (2)</vt:lpstr>
      <vt:lpstr>Goodwill!Print_Area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Kensington</dc:creator>
  <cp:lastModifiedBy>Ian Curtis</cp:lastModifiedBy>
  <cp:lastPrinted>2014-05-06T15:07:20Z</cp:lastPrinted>
  <dcterms:created xsi:type="dcterms:W3CDTF">2013-02-18T09:35:40Z</dcterms:created>
  <dcterms:modified xsi:type="dcterms:W3CDTF">2014-05-06T15:07:23Z</dcterms:modified>
</cp:coreProperties>
</file>