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60" yWindow="525" windowWidth="19815" windowHeight="7365" activeTab="2"/>
  </bookViews>
  <sheets>
    <sheet name="Goodwill" sheetId="1" r:id="rId1"/>
    <sheet name="Incorporation" sheetId="2" r:id="rId2"/>
    <sheet name="Incorporation (2)" sheetId="3" r:id="rId3"/>
  </sheets>
  <calcPr calcId="124519"/>
</workbook>
</file>

<file path=xl/calcChain.xml><?xml version="1.0" encoding="utf-8"?>
<calcChain xmlns="http://schemas.openxmlformats.org/spreadsheetml/2006/main">
  <c r="P6" i="3"/>
  <c r="P20"/>
  <c r="C25" l="1"/>
  <c r="E28"/>
  <c r="E29"/>
  <c r="E30"/>
  <c r="D29"/>
  <c r="K5"/>
  <c r="C33"/>
  <c r="L5"/>
  <c r="E33"/>
  <c r="E34"/>
  <c r="D33"/>
  <c r="D35"/>
  <c r="H47"/>
  <c r="P7"/>
  <c r="Q6"/>
  <c r="Q7"/>
  <c r="R6"/>
  <c r="R7"/>
  <c r="S6"/>
  <c r="S7"/>
  <c r="T6"/>
  <c r="T7"/>
  <c r="P8"/>
  <c r="Q8"/>
  <c r="R8"/>
  <c r="S8"/>
  <c r="T8"/>
  <c r="Q9"/>
  <c r="R9"/>
  <c r="S9"/>
  <c r="T9"/>
  <c r="P11"/>
  <c r="P12"/>
  <c r="Q11"/>
  <c r="Q12"/>
  <c r="R11"/>
  <c r="R12"/>
  <c r="S11"/>
  <c r="S12"/>
  <c r="T11"/>
  <c r="T12"/>
  <c r="P13"/>
  <c r="Q13"/>
  <c r="R13"/>
  <c r="S13"/>
  <c r="T13"/>
  <c r="F33"/>
  <c r="K26"/>
  <c r="J28"/>
  <c r="F17"/>
  <c r="P36"/>
  <c r="L7"/>
  <c r="P46"/>
  <c r="Q36"/>
  <c r="Q46"/>
  <c r="R36"/>
  <c r="R46"/>
  <c r="S36"/>
  <c r="S46"/>
  <c r="T36"/>
  <c r="T46"/>
  <c r="T47"/>
  <c r="J29"/>
  <c r="J35"/>
  <c r="H50"/>
  <c r="G60"/>
  <c r="G17"/>
  <c r="H17"/>
  <c r="I17"/>
  <c r="J17"/>
  <c r="K17"/>
  <c r="H32"/>
  <c r="G25"/>
  <c r="H28"/>
  <c r="P21"/>
  <c r="H29" s="1"/>
  <c r="H35" s="1"/>
  <c r="H49" s="1"/>
  <c r="F60" s="1"/>
  <c r="Q20"/>
  <c r="Q21"/>
  <c r="R20"/>
  <c r="R21"/>
  <c r="S20"/>
  <c r="S21"/>
  <c r="T20"/>
  <c r="T21"/>
  <c r="P22"/>
  <c r="Q22"/>
  <c r="R22"/>
  <c r="S22"/>
  <c r="T22"/>
  <c r="P23"/>
  <c r="Q23"/>
  <c r="R23"/>
  <c r="S23"/>
  <c r="T23"/>
  <c r="P25"/>
  <c r="P26"/>
  <c r="Q26"/>
  <c r="R26"/>
  <c r="S26"/>
  <c r="T26"/>
  <c r="P27"/>
  <c r="Q27"/>
  <c r="R27"/>
  <c r="S27"/>
  <c r="T27"/>
  <c r="H33"/>
  <c r="D60"/>
  <c r="T48"/>
  <c r="S48"/>
  <c r="R48"/>
  <c r="Q48"/>
  <c r="P48"/>
  <c r="T42"/>
  <c r="S42"/>
  <c r="R42"/>
  <c r="Q42"/>
  <c r="P41"/>
  <c r="P42"/>
  <c r="T41"/>
  <c r="S41"/>
  <c r="R41"/>
  <c r="Q41"/>
  <c r="T40"/>
  <c r="S40"/>
  <c r="R40"/>
  <c r="Q40"/>
  <c r="P40"/>
  <c r="J37"/>
  <c r="J38"/>
  <c r="J40"/>
  <c r="Q29"/>
  <c r="R29"/>
  <c r="S29"/>
  <c r="T29"/>
  <c r="H38"/>
  <c r="F37"/>
  <c r="F38"/>
  <c r="D37"/>
  <c r="D38"/>
  <c r="D40"/>
  <c r="T39"/>
  <c r="S39"/>
  <c r="R39"/>
  <c r="Q39"/>
  <c r="P39"/>
  <c r="T37"/>
  <c r="S37"/>
  <c r="R37"/>
  <c r="Q37"/>
  <c r="P37"/>
  <c r="T35"/>
  <c r="S35"/>
  <c r="R35"/>
  <c r="Q35"/>
  <c r="P35"/>
  <c r="E32"/>
  <c r="T31"/>
  <c r="S31"/>
  <c r="R31"/>
  <c r="Q31"/>
  <c r="E31"/>
  <c r="T25"/>
  <c r="S25"/>
  <c r="R25"/>
  <c r="Q25"/>
  <c r="T24"/>
  <c r="S24"/>
  <c r="R24"/>
  <c r="Q24"/>
  <c r="P24"/>
  <c r="D21"/>
  <c r="F20"/>
  <c r="G20"/>
  <c r="H20"/>
  <c r="I20"/>
  <c r="J20"/>
  <c r="K20"/>
  <c r="D20"/>
  <c r="T19"/>
  <c r="S19"/>
  <c r="R19"/>
  <c r="Q19"/>
  <c r="P19"/>
  <c r="G19"/>
  <c r="H19"/>
  <c r="I19"/>
  <c r="J19"/>
  <c r="Q15"/>
  <c r="G18"/>
  <c r="R15"/>
  <c r="H18"/>
  <c r="S15"/>
  <c r="I18"/>
  <c r="T15"/>
  <c r="J18"/>
  <c r="K15"/>
  <c r="J15"/>
  <c r="I15"/>
  <c r="H15"/>
  <c r="G15"/>
  <c r="F15"/>
  <c r="K13"/>
  <c r="K14"/>
  <c r="E14"/>
  <c r="T10"/>
  <c r="S10"/>
  <c r="R10"/>
  <c r="Q10"/>
  <c r="P10"/>
  <c r="P9" s="1"/>
  <c r="P15" s="1"/>
  <c r="T5"/>
  <c r="S5"/>
  <c r="R5"/>
  <c r="Q5"/>
  <c r="P5"/>
  <c r="C25" i="2"/>
  <c r="E28"/>
  <c r="E29"/>
  <c r="E30"/>
  <c r="D29"/>
  <c r="K5"/>
  <c r="C33"/>
  <c r="L5"/>
  <c r="E33"/>
  <c r="E34"/>
  <c r="D33"/>
  <c r="D35"/>
  <c r="H47"/>
  <c r="P6"/>
  <c r="P7"/>
  <c r="Q6"/>
  <c r="Q7"/>
  <c r="R6"/>
  <c r="R7"/>
  <c r="S6"/>
  <c r="S7"/>
  <c r="T6"/>
  <c r="T7"/>
  <c r="P8"/>
  <c r="Q8"/>
  <c r="R8"/>
  <c r="S8"/>
  <c r="T8"/>
  <c r="P9"/>
  <c r="Q9"/>
  <c r="R9"/>
  <c r="S9"/>
  <c r="T9"/>
  <c r="F29"/>
  <c r="P11"/>
  <c r="P12"/>
  <c r="Q11"/>
  <c r="Q12"/>
  <c r="R11"/>
  <c r="R12"/>
  <c r="S11"/>
  <c r="S12"/>
  <c r="T11"/>
  <c r="T12"/>
  <c r="P13"/>
  <c r="Q13"/>
  <c r="R13"/>
  <c r="S13"/>
  <c r="T13"/>
  <c r="F33"/>
  <c r="F35"/>
  <c r="H48"/>
  <c r="K26"/>
  <c r="J28"/>
  <c r="F17"/>
  <c r="P36"/>
  <c r="L7"/>
  <c r="P46"/>
  <c r="Q36"/>
  <c r="Q46"/>
  <c r="R36"/>
  <c r="R46"/>
  <c r="S36"/>
  <c r="S46"/>
  <c r="T36"/>
  <c r="T46"/>
  <c r="T47"/>
  <c r="J29"/>
  <c r="J35"/>
  <c r="H50"/>
  <c r="H52"/>
  <c r="H54"/>
  <c r="E63"/>
  <c r="D63"/>
  <c r="G60"/>
  <c r="G17"/>
  <c r="H17"/>
  <c r="I17"/>
  <c r="J17"/>
  <c r="K17"/>
  <c r="H32"/>
  <c r="G25"/>
  <c r="H28"/>
  <c r="P20"/>
  <c r="P21"/>
  <c r="Q20"/>
  <c r="Q21"/>
  <c r="R20"/>
  <c r="R21"/>
  <c r="S20"/>
  <c r="S21"/>
  <c r="T20"/>
  <c r="T21"/>
  <c r="P22"/>
  <c r="Q22"/>
  <c r="R22"/>
  <c r="S22"/>
  <c r="T22"/>
  <c r="P23"/>
  <c r="Q23"/>
  <c r="R23"/>
  <c r="S23"/>
  <c r="T23"/>
  <c r="H29"/>
  <c r="P25"/>
  <c r="P26"/>
  <c r="Q26"/>
  <c r="R26"/>
  <c r="S26"/>
  <c r="T26"/>
  <c r="P27"/>
  <c r="Q27"/>
  <c r="R27"/>
  <c r="S27"/>
  <c r="T27"/>
  <c r="H33"/>
  <c r="H35"/>
  <c r="H49"/>
  <c r="F60"/>
  <c r="E60"/>
  <c r="D60"/>
  <c r="T48"/>
  <c r="S48"/>
  <c r="R48"/>
  <c r="Q48"/>
  <c r="P48"/>
  <c r="T42"/>
  <c r="S42"/>
  <c r="R42"/>
  <c r="Q42"/>
  <c r="P41"/>
  <c r="P42"/>
  <c r="T41"/>
  <c r="S41"/>
  <c r="R41"/>
  <c r="Q41"/>
  <c r="T40"/>
  <c r="S40"/>
  <c r="R40"/>
  <c r="Q40"/>
  <c r="P40"/>
  <c r="J37"/>
  <c r="J38"/>
  <c r="J40"/>
  <c r="P29"/>
  <c r="Q29"/>
  <c r="R29"/>
  <c r="S29"/>
  <c r="T29"/>
  <c r="T30"/>
  <c r="H37"/>
  <c r="H38"/>
  <c r="H40"/>
  <c r="F37"/>
  <c r="F38"/>
  <c r="F40"/>
  <c r="D37"/>
  <c r="D38"/>
  <c r="D40"/>
  <c r="T39"/>
  <c r="S39"/>
  <c r="R39"/>
  <c r="Q39"/>
  <c r="P39"/>
  <c r="T37"/>
  <c r="S37"/>
  <c r="R37"/>
  <c r="Q37"/>
  <c r="P37"/>
  <c r="T35"/>
  <c r="S35"/>
  <c r="R35"/>
  <c r="Q35"/>
  <c r="P35"/>
  <c r="E32"/>
  <c r="T31"/>
  <c r="S31"/>
  <c r="R31"/>
  <c r="Q31"/>
  <c r="P31"/>
  <c r="E31"/>
  <c r="T25"/>
  <c r="S25"/>
  <c r="R25"/>
  <c r="Q25"/>
  <c r="T24"/>
  <c r="S24"/>
  <c r="R24"/>
  <c r="Q24"/>
  <c r="P24"/>
  <c r="D21"/>
  <c r="F20"/>
  <c r="G20"/>
  <c r="H20"/>
  <c r="I20"/>
  <c r="J20"/>
  <c r="K20"/>
  <c r="D20"/>
  <c r="T19"/>
  <c r="S19"/>
  <c r="R19"/>
  <c r="Q19"/>
  <c r="P19"/>
  <c r="F19"/>
  <c r="G19"/>
  <c r="H19"/>
  <c r="I19"/>
  <c r="J19"/>
  <c r="K19"/>
  <c r="P15"/>
  <c r="F18"/>
  <c r="Q15"/>
  <c r="G18"/>
  <c r="R15"/>
  <c r="H18"/>
  <c r="S15"/>
  <c r="I18"/>
  <c r="T15"/>
  <c r="J18"/>
  <c r="K18"/>
  <c r="T16"/>
  <c r="K15"/>
  <c r="J15"/>
  <c r="I15"/>
  <c r="H15"/>
  <c r="G15"/>
  <c r="F15"/>
  <c r="K13"/>
  <c r="K14"/>
  <c r="E14"/>
  <c r="T10"/>
  <c r="S10"/>
  <c r="R10"/>
  <c r="Q10"/>
  <c r="P10"/>
  <c r="T5"/>
  <c r="S5"/>
  <c r="R5"/>
  <c r="Q5"/>
  <c r="P5"/>
  <c r="F34" i="1"/>
  <c r="E34"/>
  <c r="E36"/>
  <c r="I42"/>
  <c r="I13"/>
  <c r="K25"/>
  <c r="N25"/>
  <c r="M25"/>
  <c r="J13"/>
  <c r="K27"/>
  <c r="N27"/>
  <c r="M27"/>
  <c r="K13"/>
  <c r="K29"/>
  <c r="N29"/>
  <c r="M29"/>
  <c r="L13"/>
  <c r="K31"/>
  <c r="N31"/>
  <c r="M31"/>
  <c r="M13"/>
  <c r="K33"/>
  <c r="N33"/>
  <c r="M33"/>
  <c r="M36"/>
  <c r="I43"/>
  <c r="E22"/>
  <c r="E24"/>
  <c r="E26"/>
  <c r="E28"/>
  <c r="I41"/>
  <c r="I44"/>
  <c r="I47"/>
  <c r="I45"/>
  <c r="L42"/>
  <c r="K42"/>
  <c r="F35"/>
  <c r="N34"/>
  <c r="N32"/>
  <c r="N30"/>
  <c r="N28"/>
  <c r="N26"/>
  <c r="N11"/>
  <c r="N12"/>
  <c r="P29" i="3" l="1"/>
  <c r="F40"/>
  <c r="F29"/>
  <c r="F35" s="1"/>
  <c r="H48" s="1"/>
  <c r="E60" s="1"/>
  <c r="F18"/>
  <c r="K18" s="1"/>
  <c r="T16"/>
  <c r="P31" l="1"/>
  <c r="F19"/>
  <c r="K19" s="1"/>
  <c r="T30"/>
  <c r="H37" s="1"/>
  <c r="H40" s="1"/>
  <c r="H52"/>
  <c r="D63" s="1"/>
  <c r="H54" l="1"/>
  <c r="E63" s="1"/>
</calcChain>
</file>

<file path=xl/sharedStrings.xml><?xml version="1.0" encoding="utf-8"?>
<sst xmlns="http://schemas.openxmlformats.org/spreadsheetml/2006/main" count="211" uniqueCount="106">
  <si>
    <t>2013/14 tax year</t>
  </si>
  <si>
    <t>Higher dividend threshold</t>
  </si>
  <si>
    <t>Yes</t>
  </si>
  <si>
    <t>Dividend threshold</t>
  </si>
  <si>
    <t>No</t>
  </si>
  <si>
    <t>Corporation tax rate</t>
  </si>
  <si>
    <t>Main Rate</t>
  </si>
  <si>
    <t>300,001+</t>
  </si>
  <si>
    <t>Annual CGT allowance</t>
  </si>
  <si>
    <t>Entrepreneur relief</t>
  </si>
  <si>
    <t>Data Entry Sections</t>
  </si>
  <si>
    <t>Estimated value for goodwill</t>
  </si>
  <si>
    <t>Partner 1</t>
  </si>
  <si>
    <t>Partner 2</t>
  </si>
  <si>
    <t>Partner 3</t>
  </si>
  <si>
    <t>Partner 4</t>
  </si>
  <si>
    <t>Partner 5</t>
  </si>
  <si>
    <t>Number of business owners</t>
  </si>
  <si>
    <t>Goodwill workings compared to dividends</t>
  </si>
  <si>
    <t>Percentage share</t>
  </si>
  <si>
    <t>Goodwill split</t>
  </si>
  <si>
    <t>Fee is based on</t>
  </si>
  <si>
    <t>of the tax savings gained</t>
  </si>
  <si>
    <t>Existing business commenced post 01/04/2002</t>
  </si>
  <si>
    <t>Goodwill  write off by how many years</t>
  </si>
  <si>
    <t>Capital gain on business transfer</t>
  </si>
  <si>
    <t>Tax if value of goodwill taken by dividends</t>
  </si>
  <si>
    <t>Assumed dividends up to taxable threshold already taken</t>
  </si>
  <si>
    <t>Gain before tax due</t>
  </si>
  <si>
    <t>Gross dividend</t>
  </si>
  <si>
    <t>Tax Due</t>
  </si>
  <si>
    <t>Less annual exemption</t>
  </si>
  <si>
    <t>Gain liable to capital gains tax</t>
  </si>
  <si>
    <t>Possible total tax due on gain</t>
  </si>
  <si>
    <t>Possible tax savings on goodwill being amortised</t>
  </si>
  <si>
    <t>Possible tax savings on goodwill amortised</t>
  </si>
  <si>
    <t>First year savings in the company</t>
  </si>
  <si>
    <t>Total dividend tax if taken as a dividend</t>
  </si>
  <si>
    <t>(First year saving used in BPK fee)</t>
  </si>
  <si>
    <t>Cost in C.G.T on business transfer</t>
  </si>
  <si>
    <t>Overall Savings</t>
  </si>
  <si>
    <t>Our Fee</t>
  </si>
  <si>
    <t>Goodwill savings obtained (first year)</t>
  </si>
  <si>
    <t>Dividend tax saved on extraction</t>
  </si>
  <si>
    <t>Net savings made</t>
  </si>
  <si>
    <t>Overall savings (all goodwill)</t>
  </si>
  <si>
    <t>BPK fee for capitalisation</t>
  </si>
  <si>
    <t>Sole Trader</t>
  </si>
  <si>
    <t>Partnership Tax and National Insurance</t>
  </si>
  <si>
    <t>Employee's N.I</t>
  </si>
  <si>
    <t>Partnership</t>
  </si>
  <si>
    <t>Employer's N.I</t>
  </si>
  <si>
    <t>Taxable (Tax)</t>
  </si>
  <si>
    <t>Income Tax &amp; N.I</t>
  </si>
  <si>
    <t>Tax due</t>
  </si>
  <si>
    <t>Sole Trader /</t>
  </si>
  <si>
    <t>Taxable (N.I)</t>
  </si>
  <si>
    <t>Current entity of the business</t>
  </si>
  <si>
    <t>N.I Due</t>
  </si>
  <si>
    <t>Number of partners</t>
  </si>
  <si>
    <t>Share (Ptrship)</t>
  </si>
  <si>
    <t>Total Tax (Partnership)</t>
  </si>
  <si>
    <t>Net Profit before tax</t>
  </si>
  <si>
    <t>Salary (Ltd)</t>
  </si>
  <si>
    <t>Amount to distribute</t>
  </si>
  <si>
    <t>Partnership tax &amp; n.i</t>
  </si>
  <si>
    <t>Salary in Limited Co</t>
  </si>
  <si>
    <t>Salary in Ltd tax &amp; n.i</t>
  </si>
  <si>
    <t>Dividend tax</t>
  </si>
  <si>
    <t>Assume minimum salary</t>
  </si>
  <si>
    <t>Fee based on</t>
  </si>
  <si>
    <t>of tax saved</t>
  </si>
  <si>
    <t>Sole Trade</t>
  </si>
  <si>
    <t>Salary in Ltd</t>
  </si>
  <si>
    <t>Dividends</t>
  </si>
  <si>
    <t>Tax:</t>
  </si>
  <si>
    <t>Corporation Tax</t>
  </si>
  <si>
    <t>Income Tax</t>
  </si>
  <si>
    <t>Total Tax (Ltd Co)</t>
  </si>
  <si>
    <t>National Insurance:</t>
  </si>
  <si>
    <t>Net in Pocket</t>
  </si>
  <si>
    <t>Employer's</t>
  </si>
  <si>
    <t>Employee's</t>
  </si>
  <si>
    <t>Dividends in Limited Co</t>
  </si>
  <si>
    <t>TOTAL TO HMRC</t>
  </si>
  <si>
    <t>Taxble (Div's)</t>
  </si>
  <si>
    <t>NET IN POCKET</t>
  </si>
  <si>
    <t>Tax Credit</t>
  </si>
  <si>
    <t>Left in the company</t>
  </si>
  <si>
    <t>10% Dividends</t>
  </si>
  <si>
    <t>AMOUNT RETAINED</t>
  </si>
  <si>
    <t>32.5% Dividends</t>
  </si>
  <si>
    <t>42.5% Dividends</t>
  </si>
  <si>
    <t>Total Tax (Div's)</t>
  </si>
  <si>
    <t>Total tax as a Sole Trader</t>
  </si>
  <si>
    <t>Total tax as a Partnership</t>
  </si>
  <si>
    <t>Total tax with salary in Ltd Co</t>
  </si>
  <si>
    <t>Total tax with Dividends in Ltd Co</t>
  </si>
  <si>
    <t>Total yearly tax savings by changing</t>
  </si>
  <si>
    <t>BPK fee (first year only)</t>
  </si>
  <si>
    <t>Tax as Sole Trader</t>
  </si>
  <si>
    <t>Tax as Partnership</t>
  </si>
  <si>
    <t>Tax as Salary in Ltd</t>
  </si>
  <si>
    <t>Tax as Div's in Ltd</t>
  </si>
  <si>
    <t>Total savings</t>
  </si>
  <si>
    <t>2014/15 tax year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</si>
</sst>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;\-#,##0"/>
    <numFmt numFmtId="165" formatCode="#,##0\ ;\-#,##0"/>
    <numFmt numFmtId="166" formatCode="0.0%"/>
  </numFmts>
  <fonts count="22">
    <font>
      <sz val="10"/>
      <color rgb="FF000000"/>
      <name val="Arial"/>
    </font>
    <font>
      <i/>
      <sz val="10"/>
      <color rgb="FF000000"/>
      <name val="Calibri"/>
    </font>
    <font>
      <sz val="11"/>
      <color rgb="FF000000"/>
      <name val="Calibri"/>
    </font>
    <font>
      <sz val="11"/>
      <color rgb="FFFF66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FF0000"/>
      <name val="Calibri"/>
    </font>
    <font>
      <sz val="12"/>
      <color rgb="FF000000"/>
      <name val="Calibri"/>
    </font>
    <font>
      <b/>
      <sz val="11"/>
      <color rgb="FF17365D"/>
      <name val="Calibri"/>
    </font>
    <font>
      <b/>
      <sz val="11"/>
      <color rgb="FF008000"/>
      <name val="Calibri"/>
    </font>
    <font>
      <i/>
      <sz val="11"/>
      <color rgb="FF000000"/>
      <name val="Calibri"/>
    </font>
    <font>
      <b/>
      <sz val="12"/>
      <color rgb="FF000000"/>
      <name val="Calibri"/>
    </font>
    <font>
      <b/>
      <sz val="11"/>
      <color rgb="FFFF0000"/>
      <name val="Calibri"/>
    </font>
    <font>
      <b/>
      <sz val="11"/>
      <color rgb="FF27893A"/>
      <name val="Calibri"/>
    </font>
    <font>
      <sz val="11"/>
      <color rgb="FFFF0000"/>
      <name val="Calibri"/>
    </font>
    <font>
      <i/>
      <sz val="11"/>
      <color rgb="FFFF0000"/>
      <name val="Calibri"/>
    </font>
    <font>
      <sz val="11"/>
      <color rgb="FFDAEEF3"/>
      <name val="Calibri"/>
    </font>
    <font>
      <sz val="11"/>
      <color rgb="FF008000"/>
      <name val="Calibri"/>
    </font>
    <font>
      <sz val="11"/>
      <color rgb="FF008000"/>
      <name val="Calibri"/>
    </font>
    <font>
      <sz val="11"/>
      <color rgb="FF000000"/>
      <name val="Calibri"/>
    </font>
    <font>
      <b/>
      <sz val="11"/>
      <color rgb="FF1F497D"/>
      <name val="Calibri"/>
    </font>
    <font>
      <b/>
      <u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BD4B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Alignment="1">
      <alignment wrapText="1"/>
    </xf>
    <xf numFmtId="0" fontId="3" fillId="0" borderId="0" xfId="0" applyFont="1"/>
    <xf numFmtId="166" fontId="8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2" fillId="0" borderId="0" xfId="0" applyFont="1"/>
    <xf numFmtId="0" fontId="6" fillId="0" borderId="0" xfId="0" applyFont="1"/>
    <xf numFmtId="164" fontId="6" fillId="0" borderId="0" xfId="0" applyNumberFormat="1" applyFont="1"/>
    <xf numFmtId="0" fontId="5" fillId="0" borderId="0" xfId="0" applyFont="1"/>
    <xf numFmtId="166" fontId="6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4" fillId="4" borderId="0" xfId="0" applyFont="1" applyFill="1"/>
    <xf numFmtId="0" fontId="4" fillId="0" borderId="0" xfId="0" applyFont="1"/>
    <xf numFmtId="0" fontId="2" fillId="0" borderId="22" xfId="0" applyFont="1" applyBorder="1"/>
    <xf numFmtId="165" fontId="2" fillId="4" borderId="16" xfId="0" applyNumberFormat="1" applyFont="1" applyFill="1" applyBorder="1" applyAlignment="1">
      <alignment horizontal="center"/>
    </xf>
    <xf numFmtId="164" fontId="2" fillId="5" borderId="12" xfId="0" applyNumberFormat="1" applyFont="1" applyFill="1" applyBorder="1"/>
    <xf numFmtId="0" fontId="2" fillId="5" borderId="0" xfId="0" applyFont="1" applyFill="1"/>
    <xf numFmtId="0" fontId="4" fillId="4" borderId="0" xfId="0" applyFont="1" applyFill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12" xfId="0" applyFont="1" applyFill="1" applyBorder="1"/>
    <xf numFmtId="9" fontId="5" fillId="0" borderId="0" xfId="0" applyNumberFormat="1" applyFont="1" applyAlignment="1">
      <alignment horizontal="center"/>
    </xf>
    <xf numFmtId="0" fontId="2" fillId="5" borderId="17" xfId="0" applyFont="1" applyFill="1" applyBorder="1"/>
    <xf numFmtId="9" fontId="2" fillId="4" borderId="0" xfId="0" applyNumberFormat="1" applyFont="1" applyFill="1"/>
    <xf numFmtId="0" fontId="2" fillId="5" borderId="22" xfId="0" applyFont="1" applyFill="1" applyBorder="1"/>
    <xf numFmtId="164" fontId="2" fillId="4" borderId="0" xfId="0" applyNumberFormat="1" applyFont="1" applyFill="1"/>
    <xf numFmtId="9" fontId="2" fillId="4" borderId="16" xfId="0" applyNumberFormat="1" applyFont="1" applyFill="1" applyBorder="1" applyAlignment="1">
      <alignment horizontal="center"/>
    </xf>
    <xf numFmtId="0" fontId="2" fillId="5" borderId="21" xfId="0" applyFont="1" applyFill="1" applyBorder="1"/>
    <xf numFmtId="49" fontId="2" fillId="4" borderId="1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4" fillId="5" borderId="0" xfId="0" applyFont="1" applyFill="1"/>
    <xf numFmtId="0" fontId="4" fillId="0" borderId="0" xfId="0" applyFont="1" applyAlignment="1">
      <alignment horizontal="center"/>
    </xf>
    <xf numFmtId="0" fontId="10" fillId="0" borderId="0" xfId="0" applyFont="1"/>
    <xf numFmtId="164" fontId="2" fillId="0" borderId="0" xfId="0" applyNumberFormat="1" applyFont="1"/>
    <xf numFmtId="164" fontId="5" fillId="0" borderId="0" xfId="0" applyNumberFormat="1" applyFont="1"/>
    <xf numFmtId="164" fontId="2" fillId="0" borderId="22" xfId="0" applyNumberFormat="1" applyFon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19" xfId="0" applyNumberFormat="1" applyFont="1" applyBorder="1"/>
    <xf numFmtId="0" fontId="1" fillId="0" borderId="0" xfId="0" applyFont="1"/>
    <xf numFmtId="164" fontId="4" fillId="0" borderId="19" xfId="0" applyNumberFormat="1" applyFont="1" applyBorder="1"/>
    <xf numFmtId="164" fontId="4" fillId="0" borderId="0" xfId="0" applyNumberFormat="1" applyFont="1"/>
    <xf numFmtId="164" fontId="2" fillId="0" borderId="17" xfId="0" applyNumberFormat="1" applyFont="1" applyBorder="1"/>
    <xf numFmtId="164" fontId="2" fillId="0" borderId="19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7" xfId="0" applyFont="1" applyBorder="1"/>
    <xf numFmtId="0" fontId="2" fillId="0" borderId="9" xfId="0" applyFont="1" applyBorder="1"/>
    <xf numFmtId="0" fontId="2" fillId="0" borderId="10" xfId="0" applyFont="1" applyBorder="1"/>
    <xf numFmtId="0" fontId="2" fillId="6" borderId="6" xfId="0" applyFont="1" applyFill="1" applyBorder="1"/>
    <xf numFmtId="0" fontId="2" fillId="6" borderId="20" xfId="0" applyFont="1" applyFill="1" applyBorder="1"/>
    <xf numFmtId="0" fontId="2" fillId="6" borderId="4" xfId="0" applyFont="1" applyFill="1" applyBorder="1"/>
    <xf numFmtId="0" fontId="2" fillId="0" borderId="15" xfId="0" applyFont="1" applyBorder="1"/>
    <xf numFmtId="0" fontId="2" fillId="6" borderId="15" xfId="0" applyFont="1" applyFill="1" applyBorder="1"/>
    <xf numFmtId="0" fontId="2" fillId="6" borderId="0" xfId="0" applyFont="1" applyFill="1"/>
    <xf numFmtId="164" fontId="12" fillId="6" borderId="10" xfId="0" applyNumberFormat="1" applyFont="1" applyFill="1" applyBorder="1"/>
    <xf numFmtId="0" fontId="2" fillId="3" borderId="0" xfId="0" applyFont="1" applyFill="1"/>
    <xf numFmtId="164" fontId="4" fillId="6" borderId="10" xfId="0" applyNumberFormat="1" applyFont="1" applyFill="1" applyBorder="1"/>
    <xf numFmtId="164" fontId="4" fillId="6" borderId="7" xfId="0" applyNumberFormat="1" applyFont="1" applyFill="1" applyBorder="1"/>
    <xf numFmtId="0" fontId="4" fillId="6" borderId="15" xfId="0" applyFont="1" applyFill="1" applyBorder="1"/>
    <xf numFmtId="0" fontId="4" fillId="6" borderId="0" xfId="0" applyFont="1" applyFill="1"/>
    <xf numFmtId="164" fontId="4" fillId="6" borderId="11" xfId="0" applyNumberFormat="1" applyFont="1" applyFill="1" applyBorder="1"/>
    <xf numFmtId="0" fontId="10" fillId="6" borderId="15" xfId="0" applyFont="1" applyFill="1" applyBorder="1"/>
    <xf numFmtId="0" fontId="10" fillId="6" borderId="0" xfId="0" applyFont="1" applyFill="1"/>
    <xf numFmtId="164" fontId="10" fillId="6" borderId="3" xfId="0" applyNumberFormat="1" applyFont="1" applyFill="1" applyBorder="1"/>
    <xf numFmtId="0" fontId="2" fillId="6" borderId="7" xfId="0" applyFont="1" applyFill="1" applyBorder="1"/>
    <xf numFmtId="0" fontId="2" fillId="6" borderId="14" xfId="0" applyFont="1" applyFill="1" applyBorder="1"/>
    <xf numFmtId="0" fontId="2" fillId="6" borderId="9" xfId="0" applyFont="1" applyFill="1" applyBorder="1"/>
    <xf numFmtId="0" fontId="2" fillId="6" borderId="25" xfId="0" applyFont="1" applyFill="1" applyBorder="1"/>
    <xf numFmtId="0" fontId="2" fillId="0" borderId="20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2" fillId="0" borderId="0" xfId="0" applyFont="1"/>
    <xf numFmtId="0" fontId="6" fillId="5" borderId="22" xfId="0" applyFont="1" applyFill="1" applyBorder="1"/>
    <xf numFmtId="0" fontId="6" fillId="5" borderId="0" xfId="0" applyFont="1" applyFill="1"/>
    <xf numFmtId="0" fontId="4" fillId="4" borderId="16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1" xfId="0" applyFont="1" applyFill="1" applyBorder="1" applyAlignment="1">
      <alignment horizontal="right"/>
    </xf>
    <xf numFmtId="0" fontId="2" fillId="5" borderId="5" xfId="0" applyFont="1" applyFill="1" applyBorder="1"/>
    <xf numFmtId="0" fontId="2" fillId="0" borderId="12" xfId="0" applyFont="1" applyBorder="1"/>
    <xf numFmtId="0" fontId="2" fillId="5" borderId="0" xfId="0" applyFont="1" applyFill="1" applyAlignment="1">
      <alignment horizontal="right"/>
    </xf>
    <xf numFmtId="0" fontId="2" fillId="5" borderId="19" xfId="0" applyFont="1" applyFill="1" applyBorder="1"/>
    <xf numFmtId="0" fontId="2" fillId="5" borderId="5" xfId="0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164" fontId="6" fillId="0" borderId="22" xfId="0" applyNumberFormat="1" applyFont="1" applyBorder="1" applyAlignment="1">
      <alignment horizontal="right"/>
    </xf>
    <xf numFmtId="3" fontId="2" fillId="5" borderId="19" xfId="0" applyNumberFormat="1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17" xfId="0" applyNumberFormat="1" applyFont="1" applyFill="1" applyBorder="1" applyAlignment="1">
      <alignment horizontal="center"/>
    </xf>
    <xf numFmtId="164" fontId="6" fillId="0" borderId="19" xfId="0" applyNumberFormat="1" applyFont="1" applyBorder="1"/>
    <xf numFmtId="3" fontId="4" fillId="4" borderId="1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right"/>
    </xf>
    <xf numFmtId="3" fontId="2" fillId="5" borderId="0" xfId="0" applyNumberFormat="1" applyFont="1" applyFill="1" applyAlignment="1">
      <alignment horizontal="center"/>
    </xf>
    <xf numFmtId="164" fontId="6" fillId="0" borderId="17" xfId="0" applyNumberFormat="1" applyFont="1" applyBorder="1"/>
    <xf numFmtId="0" fontId="4" fillId="5" borderId="0" xfId="0" applyFont="1" applyFill="1" applyAlignment="1">
      <alignment horizontal="right"/>
    </xf>
    <xf numFmtId="3" fontId="16" fillId="5" borderId="0" xfId="0" applyNumberFormat="1" applyFont="1" applyFill="1" applyAlignment="1">
      <alignment horizontal="center"/>
    </xf>
    <xf numFmtId="0" fontId="4" fillId="5" borderId="21" xfId="0" applyFont="1" applyFill="1" applyBorder="1" applyAlignment="1">
      <alignment horizontal="right"/>
    </xf>
    <xf numFmtId="0" fontId="16" fillId="5" borderId="12" xfId="0" applyFont="1" applyFill="1" applyBorder="1" applyAlignment="1">
      <alignment horizontal="right"/>
    </xf>
    <xf numFmtId="165" fontId="16" fillId="5" borderId="0" xfId="0" applyNumberFormat="1" applyFont="1" applyFill="1" applyAlignment="1">
      <alignment horizontal="center"/>
    </xf>
    <xf numFmtId="43" fontId="2" fillId="0" borderId="0" xfId="0" applyNumberFormat="1" applyFont="1"/>
    <xf numFmtId="3" fontId="16" fillId="5" borderId="22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3" fontId="2" fillId="0" borderId="0" xfId="0" applyNumberFormat="1" applyFont="1" applyAlignment="1">
      <alignment horizontal="center"/>
    </xf>
    <xf numFmtId="0" fontId="3" fillId="0" borderId="17" xfId="0" applyFont="1" applyBorder="1"/>
    <xf numFmtId="43" fontId="6" fillId="0" borderId="0" xfId="0" applyNumberFormat="1" applyFont="1"/>
    <xf numFmtId="0" fontId="5" fillId="0" borderId="0" xfId="0" applyFont="1" applyAlignment="1">
      <alignment horizontal="right"/>
    </xf>
    <xf numFmtId="3" fontId="2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2" fillId="0" borderId="24" xfId="0" applyFont="1" applyBorder="1"/>
    <xf numFmtId="164" fontId="6" fillId="0" borderId="23" xfId="0" applyNumberFormat="1" applyFont="1" applyBorder="1" applyAlignment="1">
      <alignment horizontal="center"/>
    </xf>
    <xf numFmtId="43" fontId="5" fillId="0" borderId="23" xfId="0" applyNumberFormat="1" applyFont="1" applyBorder="1"/>
    <xf numFmtId="0" fontId="6" fillId="0" borderId="23" xfId="0" applyFont="1" applyBorder="1"/>
    <xf numFmtId="164" fontId="5" fillId="0" borderId="15" xfId="0" applyNumberFormat="1" applyFont="1" applyBorder="1"/>
    <xf numFmtId="0" fontId="5" fillId="0" borderId="10" xfId="0" applyFont="1" applyBorder="1"/>
    <xf numFmtId="0" fontId="21" fillId="0" borderId="23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2" fillId="0" borderId="23" xfId="0" applyFont="1" applyBorder="1"/>
    <xf numFmtId="0" fontId="5" fillId="0" borderId="23" xfId="0" applyFont="1" applyBorder="1"/>
    <xf numFmtId="164" fontId="6" fillId="0" borderId="23" xfId="0" applyNumberFormat="1" applyFont="1" applyBorder="1"/>
    <xf numFmtId="164" fontId="6" fillId="0" borderId="0" xfId="0" applyNumberFormat="1" applyFont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5" fillId="0" borderId="23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4" fontId="6" fillId="0" borderId="22" xfId="0" applyNumberFormat="1" applyFont="1" applyBorder="1"/>
    <xf numFmtId="165" fontId="20" fillId="0" borderId="23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43" fontId="6" fillId="0" borderId="17" xfId="0" applyNumberFormat="1" applyFont="1" applyBorder="1"/>
    <xf numFmtId="165" fontId="6" fillId="0" borderId="15" xfId="0" applyNumberFormat="1" applyFont="1" applyBorder="1" applyAlignment="1">
      <alignment horizontal="center"/>
    </xf>
    <xf numFmtId="0" fontId="6" fillId="0" borderId="15" xfId="0" applyFont="1" applyBorder="1"/>
    <xf numFmtId="165" fontId="2" fillId="0" borderId="18" xfId="0" applyNumberFormat="1" applyFont="1" applyBorder="1" applyAlignment="1">
      <alignment horizontal="center"/>
    </xf>
    <xf numFmtId="165" fontId="12" fillId="0" borderId="13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0" fontId="6" fillId="0" borderId="10" xfId="0" applyFont="1" applyBorder="1"/>
    <xf numFmtId="165" fontId="2" fillId="0" borderId="13" xfId="0" applyNumberFormat="1" applyFont="1" applyBorder="1" applyAlignment="1">
      <alignment horizontal="center"/>
    </xf>
    <xf numFmtId="164" fontId="5" fillId="0" borderId="23" xfId="0" applyNumberFormat="1" applyFont="1" applyBorder="1" applyAlignment="1">
      <alignment horizontal="right"/>
    </xf>
    <xf numFmtId="0" fontId="2" fillId="0" borderId="13" xfId="0" applyFont="1" applyBorder="1"/>
    <xf numFmtId="43" fontId="6" fillId="0" borderId="0" xfId="0" applyNumberFormat="1" applyFont="1" applyAlignment="1">
      <alignment horizontal="center"/>
    </xf>
    <xf numFmtId="0" fontId="9" fillId="0" borderId="0" xfId="0" applyFont="1"/>
    <xf numFmtId="165" fontId="9" fillId="0" borderId="13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4" fontId="17" fillId="0" borderId="23" xfId="0" applyNumberFormat="1" applyFont="1" applyBorder="1"/>
    <xf numFmtId="165" fontId="4" fillId="0" borderId="2" xfId="0" applyNumberFormat="1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/>
    </xf>
    <xf numFmtId="0" fontId="2" fillId="0" borderId="26" xfId="0" applyFont="1" applyBorder="1"/>
    <xf numFmtId="165" fontId="2" fillId="0" borderId="2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5" fontId="2" fillId="3" borderId="20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65" fontId="2" fillId="3" borderId="15" xfId="0" applyNumberFormat="1" applyFont="1" applyFill="1" applyBorder="1" applyAlignment="1">
      <alignment horizontal="center"/>
    </xf>
    <xf numFmtId="165" fontId="7" fillId="3" borderId="0" xfId="0" applyNumberFormat="1" applyFont="1" applyFill="1" applyAlignment="1">
      <alignment horizontal="left"/>
    </xf>
    <xf numFmtId="165" fontId="7" fillId="3" borderId="0" xfId="0" applyNumberFormat="1" applyFont="1" applyFill="1" applyAlignment="1">
      <alignment horizontal="center"/>
    </xf>
    <xf numFmtId="0" fontId="7" fillId="3" borderId="0" xfId="0" applyFont="1" applyFill="1"/>
    <xf numFmtId="165" fontId="7" fillId="3" borderId="10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11" fillId="3" borderId="0" xfId="0" applyNumberFormat="1" applyFont="1" applyFill="1" applyAlignment="1">
      <alignment horizontal="left"/>
    </xf>
    <xf numFmtId="165" fontId="11" fillId="3" borderId="0" xfId="0" applyNumberFormat="1" applyFont="1" applyFill="1" applyAlignment="1">
      <alignment horizontal="center"/>
    </xf>
    <xf numFmtId="165" fontId="11" fillId="3" borderId="19" xfId="0" applyNumberFormat="1" applyFont="1" applyFill="1" applyBorder="1" applyAlignment="1">
      <alignment horizontal="center"/>
    </xf>
    <xf numFmtId="165" fontId="11" fillId="3" borderId="10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5" fillId="0" borderId="20" xfId="0" applyFont="1" applyBorder="1"/>
    <xf numFmtId="165" fontId="5" fillId="0" borderId="0" xfId="0" applyNumberFormat="1" applyFont="1"/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21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C5FFF4"/>
      </font>
      <fill>
        <patternFill patternType="solid">
          <bgColor rgb="FFDCFFF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D6FFF7"/>
      </font>
      <fill>
        <patternFill patternType="solid">
          <bgColor rgb="FFE1FFF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5FFF4"/>
      </font>
      <fill>
        <patternFill patternType="solid">
          <bgColor rgb="FFDCFFF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D6FFF7"/>
      </font>
      <fill>
        <patternFill patternType="solid">
          <bgColor rgb="FFE1FFF7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3168-4A35-8FA4-0BE7D8CA610F}"/>
              </c:ext>
            </c:extLst>
          </c:dPt>
          <c:dPt>
            <c:idx val="1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3168-4A35-8FA4-0BE7D8CA610F}"/>
              </c:ext>
            </c:extLst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#,##0;\-#,##0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0C7-479C-90E3-8F2BB65914F5}"/>
              </c:ext>
            </c:extLst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0C7-479C-90E3-8F2BB65914F5}"/>
              </c:ext>
            </c:extLst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#,##0;\-#,##0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dLbls/>
        <c:firstSliceAng val="0"/>
        <c:holeSize val="50"/>
      </c:doughnutChart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BCD8-4927-A601-8060DD056B74}"/>
              </c:ext>
            </c:extLst>
          </c:dPt>
          <c:dPt>
            <c:idx val="1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BCD8-4927-A601-8060DD056B74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BCD8-4927-A601-8060DD056B74}"/>
              </c:ext>
            </c:extLst>
          </c:dPt>
          <c:dPt>
            <c:idx val="3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BCD8-4927-A601-8060DD056B74}"/>
              </c:ext>
            </c:extLst>
          </c:dPt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#,##0\ ;\-#,##0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</c:ser>
        <c:dLbls/>
      </c:pie3D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#,##0\ ;\-#,##0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136546176"/>
        <c:axId val="136547712"/>
      </c:barChart>
      <c:catAx>
        <c:axId val="136546176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136547712"/>
        <c:crosses val="autoZero"/>
        <c:auto val="1"/>
        <c:lblAlgn val="ctr"/>
        <c:lblOffset val="100"/>
        <c:noMultiLvlLbl val="1"/>
      </c:catAx>
      <c:valAx>
        <c:axId val="136547712"/>
        <c:scaling>
          <c:orientation val="minMax"/>
        </c:scaling>
        <c:axPos val="b"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5461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Incorporation!$D$62:$E$62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Incorporation!$D$63:$E$63</c:f>
              <c:numCache>
                <c:formatCode>#,##0\ ;\-#,##0</c:formatCode>
                <c:ptCount val="2"/>
                <c:pt idx="0">
                  <c:v>6764.76</c:v>
                </c:pt>
                <c:pt idx="1">
                  <c:v>1352.9520000000002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136576384"/>
        <c:axId val="50074752"/>
      </c:barChart>
      <c:catAx>
        <c:axId val="13657638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50074752"/>
        <c:crosses val="autoZero"/>
        <c:auto val="1"/>
        <c:lblAlgn val="ctr"/>
        <c:lblOffset val="100"/>
        <c:noMultiLvlLbl val="1"/>
      </c:catAx>
      <c:valAx>
        <c:axId val="50074752"/>
        <c:scaling>
          <c:orientation val="minMax"/>
        </c:scaling>
        <c:axPos val="l"/>
        <c:majorGridlines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65763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88EB-4A0F-8DAF-EDB964E69D82}"/>
              </c:ext>
            </c:extLst>
          </c:dPt>
          <c:dPt>
            <c:idx val="1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8EB-4A0F-8DAF-EDB964E69D82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8EB-4A0F-8DAF-EDB964E69D82}"/>
              </c:ext>
            </c:extLst>
          </c:dPt>
          <c:dPt>
            <c:idx val="3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88EB-4A0F-8DAF-EDB964E69D82}"/>
              </c:ext>
            </c:extLst>
          </c:dPt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#,##0\ ;\-#,##0</c:formatCode>
                <c:ptCount val="4"/>
                <c:pt idx="0">
                  <c:v>3083.96</c:v>
                </c:pt>
                <c:pt idx="1">
                  <c:v>2000</c:v>
                </c:pt>
                <c:pt idx="2">
                  <c:v>4031.7376000000004</c:v>
                </c:pt>
                <c:pt idx="3">
                  <c:v>2408.8000000000002</c:v>
                </c:pt>
              </c:numCache>
            </c:numRef>
          </c:val>
        </c:ser>
        <c:dLbls/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#,##0\ ;\-#,##0</c:formatCode>
                <c:ptCount val="4"/>
                <c:pt idx="0">
                  <c:v>3083.96</c:v>
                </c:pt>
                <c:pt idx="1">
                  <c:v>2000</c:v>
                </c:pt>
                <c:pt idx="2">
                  <c:v>4031.7376000000004</c:v>
                </c:pt>
                <c:pt idx="3">
                  <c:v>2408.8000000000002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50237440"/>
        <c:axId val="50238976"/>
      </c:barChart>
      <c:catAx>
        <c:axId val="50237440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50238976"/>
        <c:crosses val="autoZero"/>
        <c:auto val="1"/>
        <c:lblAlgn val="ctr"/>
        <c:lblOffset val="100"/>
        <c:noMultiLvlLbl val="1"/>
      </c:catAx>
      <c:valAx>
        <c:axId val="50238976"/>
        <c:scaling>
          <c:orientation val="minMax"/>
        </c:scaling>
        <c:axPos val="b"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0237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roundedCorners val="1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'Incorporation (2)'!$D$62:$E$62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'Incorporation (2)'!$D$63:$E$63</c:f>
              <c:numCache>
                <c:formatCode>#,##0\ ;\-#,##0</c:formatCode>
                <c:ptCount val="2"/>
                <c:pt idx="0">
                  <c:v>2675.16</c:v>
                </c:pt>
                <c:pt idx="1">
                  <c:v>535.03200000000004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50267648"/>
        <c:axId val="50269184"/>
      </c:barChart>
      <c:catAx>
        <c:axId val="5026764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50269184"/>
        <c:crosses val="autoZero"/>
        <c:auto val="1"/>
        <c:lblAlgn val="ctr"/>
        <c:lblOffset val="100"/>
        <c:noMultiLvlLbl val="1"/>
      </c:catAx>
      <c:valAx>
        <c:axId val="50269184"/>
        <c:scaling>
          <c:orientation val="minMax"/>
        </c:scaling>
        <c:axPos val="l"/>
        <c:majorGridlines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0267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51</xdr:row>
      <xdr:rowOff>47625</xdr:rowOff>
    </xdr:from>
    <xdr:ext cx="5591175" cy="2743200"/>
    <xdr:graphicFrame macro="">
      <xdr:nvGraphicFramePr>
        <xdr:cNvPr id="0" name="Chart 1">
          <a:extLst>
            <a:ext uri="{FF2B5EF4-FFF2-40B4-BE49-F238E27FC236}">
              <a16:creationId xmlns:a16="http://schemas.microsoft.com/office/drawing/2014/main" xmlns="" id="{00000000-0008-0000-0100-00000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419100</xdr:colOff>
      <xdr:row>51</xdr:row>
      <xdr:rowOff>123825</xdr:rowOff>
    </xdr:from>
    <xdr:ext cx="5895975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0</xdr:rowOff>
    </xdr:from>
    <xdr:ext cx="4743450" cy="1190625"/>
    <xdr:pic>
      <xdr:nvPicPr>
        <xdr:cNvPr id="3" name="image00.jpg">
          <a:extLst>
            <a:ext uri="{FF2B5EF4-FFF2-40B4-BE49-F238E27FC236}">
              <a16:creationId xmlns:a16="http://schemas.microsoft.com/office/drawing/2014/main" xmlns="" id="{00000000-0008-0000-01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743450" cy="1190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66</xdr:row>
      <xdr:rowOff>76200</xdr:rowOff>
    </xdr:from>
    <xdr:ext cx="48387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581025</xdr:colOff>
      <xdr:row>66</xdr:row>
      <xdr:rowOff>76200</xdr:rowOff>
    </xdr:from>
    <xdr:ext cx="60198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847725</xdr:colOff>
      <xdr:row>66</xdr:row>
      <xdr:rowOff>9525</xdr:rowOff>
    </xdr:from>
    <xdr:ext cx="5991225" cy="27241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152400</xdr:colOff>
      <xdr:row>9</xdr:row>
      <xdr:rowOff>0</xdr:rowOff>
    </xdr:from>
    <xdr:ext cx="5133975" cy="1381125"/>
    <xdr:pic>
      <xdr:nvPicPr>
        <xdr:cNvPr id="6" name="image00.jpg">
          <a:extLst>
            <a:ext uri="{FF2B5EF4-FFF2-40B4-BE49-F238E27FC236}">
              <a16:creationId xmlns:a16="http://schemas.microsoft.com/office/drawing/2014/main" xmlns="" id="{00000000-0008-0000-02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133975" cy="13811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66</xdr:row>
      <xdr:rowOff>76200</xdr:rowOff>
    </xdr:from>
    <xdr:ext cx="4838700" cy="274320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581025</xdr:colOff>
      <xdr:row>66</xdr:row>
      <xdr:rowOff>76200</xdr:rowOff>
    </xdr:from>
    <xdr:ext cx="6019800" cy="274320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847725</xdr:colOff>
      <xdr:row>66</xdr:row>
      <xdr:rowOff>9525</xdr:rowOff>
    </xdr:from>
    <xdr:ext cx="5991225" cy="272415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152400</xdr:colOff>
      <xdr:row>9</xdr:row>
      <xdr:rowOff>0</xdr:rowOff>
    </xdr:from>
    <xdr:ext cx="5133975" cy="1381125"/>
    <xdr:pic>
      <xdr:nvPicPr>
        <xdr:cNvPr id="5" name="image00.jpg">
          <a:extLst>
            <a:ext uri="{FF2B5EF4-FFF2-40B4-BE49-F238E27FC236}">
              <a16:creationId xmlns:a16="http://schemas.microsoft.com/office/drawing/2014/main" xmlns="" id="{00000000-0008-0000-03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133975" cy="1381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opLeftCell="E1" workbookViewId="0"/>
  </sheetViews>
  <sheetFormatPr defaultColWidth="10.140625" defaultRowHeight="15" customHeight="1"/>
  <cols>
    <col min="2" max="2" width="12.42578125" customWidth="1"/>
    <col min="3" max="3" width="12.5703125" customWidth="1"/>
    <col min="4" max="4" width="28.85546875" customWidth="1"/>
    <col min="5" max="5" width="16.42578125" customWidth="1"/>
    <col min="6" max="6" width="20.5703125" style="7" customWidth="1"/>
    <col min="9" max="13" width="17" customWidth="1"/>
    <col min="14" max="14" width="15.85546875" style="7" customWidth="1"/>
    <col min="15" max="15" width="10.42578125" style="7" customWidth="1"/>
  </cols>
  <sheetData>
    <row r="1" spans="1:16">
      <c r="A1" s="8"/>
      <c r="B1" s="8"/>
      <c r="C1" s="8"/>
      <c r="D1" s="8"/>
      <c r="E1" s="8"/>
      <c r="F1" s="9" t="s">
        <v>0</v>
      </c>
      <c r="G1" s="9" t="s">
        <v>1</v>
      </c>
      <c r="H1" s="9"/>
      <c r="I1" s="9"/>
      <c r="J1" s="10">
        <v>150000</v>
      </c>
      <c r="K1" s="2">
        <v>0.375</v>
      </c>
      <c r="L1" s="9"/>
      <c r="M1" s="11" t="s">
        <v>2</v>
      </c>
      <c r="N1" s="8"/>
      <c r="O1" s="8"/>
      <c r="P1" s="8"/>
    </row>
    <row r="2" spans="1:16">
      <c r="A2" s="8"/>
      <c r="B2" s="8"/>
      <c r="C2" s="8"/>
      <c r="D2" s="8"/>
      <c r="E2" s="8"/>
      <c r="F2" s="9"/>
      <c r="G2" s="9" t="s">
        <v>3</v>
      </c>
      <c r="H2" s="9"/>
      <c r="I2" s="9"/>
      <c r="J2" s="10">
        <v>32010</v>
      </c>
      <c r="K2" s="12">
        <v>0.32500000000000001</v>
      </c>
      <c r="L2" s="9"/>
      <c r="M2" s="9" t="s">
        <v>4</v>
      </c>
      <c r="N2" s="9"/>
      <c r="O2" s="9"/>
      <c r="P2" s="9"/>
    </row>
    <row r="3" spans="1:16">
      <c r="A3" s="8"/>
      <c r="B3" s="8"/>
      <c r="C3" s="8"/>
      <c r="D3" s="8"/>
      <c r="E3" s="8"/>
      <c r="F3" s="9"/>
      <c r="G3" s="9" t="s">
        <v>5</v>
      </c>
      <c r="H3" s="9"/>
      <c r="I3" s="9"/>
      <c r="J3" s="13">
        <v>0.2</v>
      </c>
      <c r="K3" s="10">
        <v>300000</v>
      </c>
      <c r="L3" s="9"/>
      <c r="M3" s="9"/>
      <c r="N3" s="9"/>
      <c r="O3" s="9"/>
      <c r="P3" s="9"/>
    </row>
    <row r="4" spans="1:16">
      <c r="A4" s="8"/>
      <c r="B4" s="8"/>
      <c r="C4" s="8"/>
      <c r="D4" s="8"/>
      <c r="E4" s="8"/>
      <c r="F4" s="9"/>
      <c r="G4" s="5" t="s">
        <v>6</v>
      </c>
      <c r="H4" s="9"/>
      <c r="I4" s="9"/>
      <c r="J4" s="13">
        <v>0.23</v>
      </c>
      <c r="K4" s="14" t="s">
        <v>7</v>
      </c>
      <c r="L4" s="9"/>
      <c r="M4" s="9"/>
      <c r="N4" s="9"/>
      <c r="O4" s="9"/>
      <c r="P4" s="9"/>
    </row>
    <row r="5" spans="1:16">
      <c r="A5" s="8"/>
      <c r="B5" s="8"/>
      <c r="C5" s="8"/>
      <c r="D5" s="8"/>
      <c r="E5" s="8"/>
      <c r="F5" s="9"/>
      <c r="G5" s="9" t="s">
        <v>8</v>
      </c>
      <c r="H5" s="9"/>
      <c r="I5" s="9"/>
      <c r="J5" s="15">
        <v>10900</v>
      </c>
      <c r="K5" s="9"/>
      <c r="L5" s="9"/>
      <c r="M5" s="9"/>
      <c r="N5" s="9"/>
      <c r="O5" s="9"/>
      <c r="P5" s="9"/>
    </row>
    <row r="6" spans="1:16">
      <c r="A6" s="8"/>
      <c r="B6" s="8"/>
      <c r="C6" s="8"/>
      <c r="D6" s="8"/>
      <c r="E6" s="16"/>
      <c r="F6" s="9"/>
      <c r="G6" s="9" t="s">
        <v>9</v>
      </c>
      <c r="H6" s="9"/>
      <c r="I6" s="9"/>
      <c r="J6" s="13">
        <v>0.1</v>
      </c>
      <c r="K6" s="9"/>
      <c r="L6" s="9"/>
      <c r="M6" s="9"/>
      <c r="N6" s="9"/>
      <c r="O6" s="9"/>
      <c r="P6" s="9"/>
    </row>
    <row r="7" spans="1:16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7" t="s">
        <v>10</v>
      </c>
      <c r="B8" s="17"/>
      <c r="C8" s="18"/>
      <c r="D8" s="18"/>
      <c r="E8" s="18"/>
      <c r="F8" s="3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8"/>
      <c r="B9" s="8"/>
      <c r="C9" s="8"/>
      <c r="D9" s="8"/>
      <c r="E9" s="19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178" t="s">
        <v>11</v>
      </c>
      <c r="B10" s="178"/>
      <c r="C10" s="178"/>
      <c r="D10" s="179"/>
      <c r="E10" s="20">
        <v>125000</v>
      </c>
      <c r="F10" s="21"/>
      <c r="G10" s="22"/>
      <c r="H10" s="22"/>
      <c r="I10" s="23" t="s">
        <v>12</v>
      </c>
      <c r="J10" s="23" t="s">
        <v>13</v>
      </c>
      <c r="K10" s="23" t="s">
        <v>14</v>
      </c>
      <c r="L10" s="23" t="s">
        <v>15</v>
      </c>
      <c r="M10" s="23" t="s">
        <v>16</v>
      </c>
      <c r="N10" s="8"/>
      <c r="O10" s="8"/>
      <c r="P10" s="8"/>
    </row>
    <row r="11" spans="1:16">
      <c r="A11" s="178" t="s">
        <v>17</v>
      </c>
      <c r="B11" s="178"/>
      <c r="C11" s="178"/>
      <c r="D11" s="179"/>
      <c r="E11" s="24">
        <v>2</v>
      </c>
      <c r="F11" s="25"/>
      <c r="G11" s="22"/>
      <c r="H11" s="22"/>
      <c r="I11" s="22"/>
      <c r="J11" s="22"/>
      <c r="K11" s="22"/>
      <c r="L11" s="22"/>
      <c r="M11" s="22"/>
      <c r="N11" s="26">
        <f>SUM(I12:M12)</f>
        <v>1</v>
      </c>
      <c r="O11" s="8"/>
      <c r="P11" s="8"/>
    </row>
    <row r="12" spans="1:16">
      <c r="A12" s="180" t="s">
        <v>18</v>
      </c>
      <c r="B12" s="180"/>
      <c r="C12" s="180"/>
      <c r="D12" s="180"/>
      <c r="E12" s="27"/>
      <c r="F12" s="22"/>
      <c r="G12" s="22" t="s">
        <v>19</v>
      </c>
      <c r="H12" s="22"/>
      <c r="I12" s="28">
        <v>0.5</v>
      </c>
      <c r="J12" s="28">
        <v>0.5</v>
      </c>
      <c r="K12" s="28">
        <v>0</v>
      </c>
      <c r="L12" s="28">
        <v>0</v>
      </c>
      <c r="M12" s="28">
        <v>0</v>
      </c>
      <c r="N12" s="16" t="str">
        <f>IF(($N$11=(100/100)),"OKAY","ERROR")</f>
        <v>OKAY</v>
      </c>
      <c r="O12" s="8"/>
      <c r="P12" s="8"/>
    </row>
    <row r="13" spans="1:16">
      <c r="A13" s="22"/>
      <c r="B13" s="22"/>
      <c r="C13" s="29"/>
      <c r="D13" s="22"/>
      <c r="E13" s="22"/>
      <c r="F13" s="22"/>
      <c r="G13" s="22" t="s">
        <v>20</v>
      </c>
      <c r="H13" s="22"/>
      <c r="I13" s="30">
        <f>$E$10*I12</f>
        <v>62500</v>
      </c>
      <c r="J13" s="30">
        <f>$E$10*J12</f>
        <v>62500</v>
      </c>
      <c r="K13" s="30">
        <f>$E$10*K12</f>
        <v>0</v>
      </c>
      <c r="L13" s="30">
        <f>$E$10*L12</f>
        <v>0</v>
      </c>
      <c r="M13" s="30">
        <f>$E$10*M12</f>
        <v>0</v>
      </c>
      <c r="N13" s="8"/>
      <c r="O13" s="8"/>
      <c r="P13" s="8"/>
    </row>
    <row r="14" spans="1:16">
      <c r="A14" s="178" t="s">
        <v>21</v>
      </c>
      <c r="B14" s="179"/>
      <c r="C14" s="31">
        <v>0.2</v>
      </c>
      <c r="D14" s="25" t="s">
        <v>22</v>
      </c>
      <c r="E14" s="22"/>
      <c r="F14" s="22"/>
      <c r="G14" s="22"/>
      <c r="H14" s="22"/>
      <c r="I14" s="22"/>
      <c r="J14" s="22"/>
      <c r="K14" s="22"/>
      <c r="L14" s="22"/>
      <c r="M14" s="22"/>
      <c r="N14" s="8"/>
      <c r="O14" s="8"/>
      <c r="P14" s="8"/>
    </row>
    <row r="15" spans="1:16">
      <c r="A15" s="22"/>
      <c r="B15" s="22"/>
      <c r="C15" s="27"/>
      <c r="D15" s="22"/>
      <c r="E15" s="29"/>
      <c r="F15" s="22"/>
      <c r="G15" s="22"/>
      <c r="H15" s="22"/>
      <c r="I15" s="22"/>
      <c r="J15" s="22"/>
      <c r="K15" s="22"/>
      <c r="L15" s="22"/>
      <c r="M15" s="22"/>
      <c r="N15" s="8"/>
      <c r="O15" s="8"/>
      <c r="P15" s="8"/>
    </row>
    <row r="16" spans="1:16">
      <c r="A16" s="22"/>
      <c r="B16" s="22" t="s">
        <v>23</v>
      </c>
      <c r="C16" s="22"/>
      <c r="D16" s="32"/>
      <c r="E16" s="33" t="s">
        <v>2</v>
      </c>
      <c r="F16" s="34"/>
      <c r="G16" s="22"/>
      <c r="H16" s="22"/>
      <c r="I16" s="22"/>
      <c r="J16" s="22"/>
      <c r="K16" s="22"/>
      <c r="L16" s="22"/>
      <c r="M16" s="22"/>
      <c r="N16" s="8"/>
      <c r="O16" s="8"/>
      <c r="P16" s="8"/>
    </row>
    <row r="17" spans="1:16">
      <c r="A17" s="22"/>
      <c r="B17" s="22" t="s">
        <v>24</v>
      </c>
      <c r="C17" s="22"/>
      <c r="D17" s="32"/>
      <c r="E17" s="24">
        <v>10</v>
      </c>
      <c r="F17" s="34"/>
      <c r="G17" s="22"/>
      <c r="H17" s="22"/>
      <c r="I17" s="22"/>
      <c r="J17" s="22"/>
      <c r="K17" s="22"/>
      <c r="L17" s="22"/>
      <c r="M17" s="22"/>
      <c r="N17" s="8"/>
      <c r="O17" s="8"/>
      <c r="P17" s="8"/>
    </row>
    <row r="18" spans="1:16">
      <c r="A18" s="22"/>
      <c r="B18" s="22"/>
      <c r="C18" s="22"/>
      <c r="D18" s="22"/>
      <c r="E18" s="27"/>
      <c r="F18" s="22"/>
      <c r="G18" s="35"/>
      <c r="H18" s="35"/>
      <c r="I18" s="22"/>
      <c r="J18" s="22"/>
      <c r="K18" s="22"/>
      <c r="L18" s="22"/>
      <c r="M18" s="22"/>
      <c r="N18" s="8"/>
      <c r="O18" s="8"/>
      <c r="P18" s="8"/>
    </row>
    <row r="19" spans="1:16" s="7" customForma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s="7" customFormat="1" ht="15.75" customHeight="1">
      <c r="A20" s="176" t="s">
        <v>25</v>
      </c>
      <c r="B20" s="176"/>
      <c r="C20" s="176"/>
      <c r="D20" s="176"/>
      <c r="E20" s="176"/>
      <c r="F20" s="36"/>
      <c r="G20" s="8"/>
      <c r="H20" s="8"/>
      <c r="I20" s="176" t="s">
        <v>26</v>
      </c>
      <c r="J20" s="176"/>
      <c r="K20" s="176"/>
      <c r="L20" s="176"/>
      <c r="M20" s="176"/>
      <c r="N20" s="9"/>
      <c r="O20" s="9"/>
      <c r="P20" s="8"/>
    </row>
    <row r="21" spans="1:16" s="7" customFormat="1">
      <c r="A21" s="8"/>
      <c r="B21" s="8"/>
      <c r="C21" s="8"/>
      <c r="D21" s="8"/>
      <c r="E21" s="8"/>
      <c r="F21" s="8"/>
      <c r="G21" s="8"/>
      <c r="H21" s="8"/>
      <c r="I21" s="37" t="s">
        <v>27</v>
      </c>
      <c r="J21" s="8"/>
      <c r="K21" s="8"/>
      <c r="L21" s="8"/>
      <c r="M21" s="8"/>
      <c r="N21" s="9"/>
      <c r="O21" s="9"/>
      <c r="P21" s="8"/>
    </row>
    <row r="22" spans="1:16" s="7" customFormat="1">
      <c r="A22" s="8" t="s">
        <v>28</v>
      </c>
      <c r="B22" s="8"/>
      <c r="C22" s="8"/>
      <c r="D22" s="8"/>
      <c r="E22" s="38">
        <f>E10</f>
        <v>125000</v>
      </c>
      <c r="F22" s="38"/>
      <c r="G22" s="8"/>
      <c r="H22" s="8"/>
      <c r="I22" s="8"/>
      <c r="J22" s="8"/>
      <c r="K22" s="8"/>
      <c r="L22" s="8"/>
      <c r="M22" s="8"/>
      <c r="N22" s="10"/>
      <c r="O22" s="9"/>
      <c r="P22" s="8"/>
    </row>
    <row r="23" spans="1:16" s="7" customFormat="1">
      <c r="A23" s="8"/>
      <c r="B23" s="8"/>
      <c r="C23" s="8"/>
      <c r="D23" s="8"/>
      <c r="E23" s="38"/>
      <c r="F23" s="38"/>
      <c r="G23" s="8"/>
      <c r="H23" s="8"/>
      <c r="I23" s="8"/>
      <c r="J23" s="8"/>
      <c r="K23" s="8" t="s">
        <v>29</v>
      </c>
      <c r="L23" s="16"/>
      <c r="M23" s="16" t="s">
        <v>30</v>
      </c>
      <c r="N23" s="39"/>
      <c r="O23" s="9"/>
      <c r="P23" s="8"/>
    </row>
    <row r="24" spans="1:16" s="7" customFormat="1">
      <c r="A24" s="8" t="s">
        <v>31</v>
      </c>
      <c r="B24" s="8"/>
      <c r="C24" s="8"/>
      <c r="D24" s="8"/>
      <c r="E24" s="38">
        <f>-J5*$E$11</f>
        <v>-21800</v>
      </c>
      <c r="F24" s="38"/>
      <c r="G24" s="8"/>
      <c r="H24" s="8"/>
      <c r="I24" s="8"/>
      <c r="J24" s="8"/>
      <c r="K24" s="8"/>
      <c r="L24" s="8"/>
      <c r="M24" s="38"/>
      <c r="N24" s="39"/>
      <c r="O24" s="9"/>
      <c r="P24" s="8"/>
    </row>
    <row r="25" spans="1:16" s="7" customFormat="1">
      <c r="A25" s="8"/>
      <c r="B25" s="8"/>
      <c r="C25" s="8"/>
      <c r="D25" s="8"/>
      <c r="E25" s="40"/>
      <c r="F25" s="38"/>
      <c r="G25" s="8"/>
      <c r="H25" s="8"/>
      <c r="I25" s="8" t="s">
        <v>12</v>
      </c>
      <c r="J25" s="8"/>
      <c r="K25" s="41">
        <f>I13/0.9</f>
        <v>69444.444444444438</v>
      </c>
      <c r="L25" s="41"/>
      <c r="M25" s="41">
        <f>IF(($K$25&lt;$J$1),$N$25,IF(($K$25&gt;$J$1),$N$26))</f>
        <v>15624.999999999996</v>
      </c>
      <c r="N25" s="42">
        <f>IF(($K25&lt;=$J$1),($K25*$K$2))-($K25*0.1)</f>
        <v>15624.999999999996</v>
      </c>
      <c r="O25" s="9"/>
      <c r="P25" s="8"/>
    </row>
    <row r="26" spans="1:16" s="7" customFormat="1">
      <c r="A26" s="8" t="s">
        <v>32</v>
      </c>
      <c r="B26" s="8"/>
      <c r="C26" s="8"/>
      <c r="D26" s="8"/>
      <c r="E26" s="43">
        <f>SUM(E22:E25)</f>
        <v>103200</v>
      </c>
      <c r="F26" s="38"/>
      <c r="G26" s="8"/>
      <c r="H26" s="8"/>
      <c r="I26" s="44"/>
      <c r="J26" s="8"/>
      <c r="K26" s="41"/>
      <c r="L26" s="41"/>
      <c r="M26" s="41"/>
      <c r="N26" s="42">
        <f>IF(($I$13=0),"Nil",((IF(($K25&gt;=$J$1),($J$1*$K$2))+(($K25-$J$1)*$K$1))-($K25*0.1)))</f>
        <v>-37152.777777777781</v>
      </c>
      <c r="O26" s="9"/>
      <c r="P26" s="8"/>
    </row>
    <row r="27" spans="1:16" s="7" customFormat="1">
      <c r="A27" s="8"/>
      <c r="B27" s="8"/>
      <c r="C27" s="8"/>
      <c r="D27" s="8"/>
      <c r="E27" s="43"/>
      <c r="F27" s="38"/>
      <c r="G27" s="8"/>
      <c r="H27" s="8"/>
      <c r="I27" s="8" t="s">
        <v>13</v>
      </c>
      <c r="J27" s="8"/>
      <c r="K27" s="41">
        <f>J13/0.9</f>
        <v>69444.444444444438</v>
      </c>
      <c r="L27" s="41"/>
      <c r="M27" s="41">
        <f>IF(($K$27&lt;$J$1),$N27,IF(($K$27&gt;$J$1),$N28))</f>
        <v>15624.999999999996</v>
      </c>
      <c r="N27" s="42">
        <f>IF(($K27&lt;=$J$1),($K27*$K$2))-($K27*0.1)</f>
        <v>15624.999999999996</v>
      </c>
      <c r="O27" s="9"/>
      <c r="P27" s="8"/>
    </row>
    <row r="28" spans="1:16" s="7" customFormat="1" ht="15.75" customHeight="1">
      <c r="A28" s="18" t="s">
        <v>33</v>
      </c>
      <c r="B28" s="18"/>
      <c r="C28" s="18"/>
      <c r="D28" s="18"/>
      <c r="E28" s="45">
        <f>$E$26*$J$6</f>
        <v>10320</v>
      </c>
      <c r="F28" s="46"/>
      <c r="G28" s="8"/>
      <c r="H28" s="8"/>
      <c r="I28" s="8"/>
      <c r="J28" s="8"/>
      <c r="K28" s="41"/>
      <c r="L28" s="41"/>
      <c r="M28" s="41"/>
      <c r="N28" s="42">
        <f>IF(($J$13=0),"Nil",((IF(($K27&gt;=$J$1),($J$1*$K$2))+(($K27-$J$1)*$K$1))-($K27*0.1)))</f>
        <v>-37152.777777777781</v>
      </c>
      <c r="O28" s="9"/>
      <c r="P28" s="8"/>
    </row>
    <row r="29" spans="1:16" s="7" customFormat="1" ht="15.75" customHeight="1">
      <c r="A29" s="8"/>
      <c r="B29" s="8"/>
      <c r="C29" s="8"/>
      <c r="D29" s="8"/>
      <c r="E29" s="47"/>
      <c r="F29" s="38"/>
      <c r="G29" s="8"/>
      <c r="H29" s="8"/>
      <c r="I29" s="8" t="s">
        <v>14</v>
      </c>
      <c r="J29" s="8"/>
      <c r="K29" s="41">
        <f>K13/0.9</f>
        <v>0</v>
      </c>
      <c r="L29" s="41"/>
      <c r="M29" s="41">
        <f>IF(($K$27&lt;$J$1),$N29,IF(($K$27&gt;$J$1),$N30))</f>
        <v>0</v>
      </c>
      <c r="N29" s="42">
        <f>IF(($K29&lt;=$J$1),($K29*$K$2))-($K29*0.1)</f>
        <v>0</v>
      </c>
      <c r="O29" s="9"/>
      <c r="P29" s="8"/>
    </row>
    <row r="30" spans="1:16" s="7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2" t="str">
        <f>IF(($K$13=0),"Nil",((IF(($K29&gt;=$J$1),($J$1*$K$2))+(($K29-$J$1)*$K$1))-($K29*0.1)))</f>
        <v>Nil</v>
      </c>
      <c r="O30" s="9"/>
      <c r="P30" s="8"/>
    </row>
    <row r="31" spans="1:16" s="7" customFormat="1" ht="15.75" customHeight="1">
      <c r="A31" s="176" t="s">
        <v>34</v>
      </c>
      <c r="B31" s="177"/>
      <c r="C31" s="177"/>
      <c r="D31" s="177"/>
      <c r="E31" s="177"/>
      <c r="F31" s="16"/>
      <c r="G31" s="8"/>
      <c r="H31" s="8"/>
      <c r="I31" s="8" t="s">
        <v>15</v>
      </c>
      <c r="J31" s="8"/>
      <c r="K31" s="41">
        <f>L13/0.9</f>
        <v>0</v>
      </c>
      <c r="L31" s="41"/>
      <c r="M31" s="41">
        <f>IF(($K$27&lt;$J$1),$N31,IF(($K$27&gt;$J$1),$N32))</f>
        <v>0</v>
      </c>
      <c r="N31" s="42">
        <f>IF(($K31&lt;=$J$1),($K31*$K$2))-($K31*0.1)</f>
        <v>0</v>
      </c>
      <c r="O31" s="9"/>
      <c r="P31" s="8"/>
    </row>
    <row r="32" spans="1:16" s="7" customFormat="1">
      <c r="A32" s="8"/>
      <c r="B32" s="8"/>
      <c r="C32" s="8"/>
      <c r="D32" s="8"/>
      <c r="E32" s="8"/>
      <c r="F32" s="11"/>
      <c r="G32" s="8"/>
      <c r="H32" s="8"/>
      <c r="I32" s="8"/>
      <c r="J32" s="8"/>
      <c r="K32" s="41"/>
      <c r="L32" s="41"/>
      <c r="M32" s="41"/>
      <c r="N32" s="42" t="str">
        <f>IF(($L$13=0),"Nil",((IF(($K31&gt;=$J$1),($J$1*$K$2))+(($K31-$J$1)*$K$1))-($K31*0.1)))</f>
        <v>Nil</v>
      </c>
      <c r="O32" s="9"/>
      <c r="P32" s="8"/>
    </row>
    <row r="33" spans="1:16" s="7" customFormat="1">
      <c r="A33" s="8"/>
      <c r="B33" s="8"/>
      <c r="C33" s="8"/>
      <c r="D33" s="8"/>
      <c r="E33" s="40"/>
      <c r="F33" s="39"/>
      <c r="G33" s="8"/>
      <c r="H33" s="8"/>
      <c r="I33" s="8" t="s">
        <v>16</v>
      </c>
      <c r="J33" s="8"/>
      <c r="K33" s="41">
        <f>M13/0.9</f>
        <v>0</v>
      </c>
      <c r="L33" s="41"/>
      <c r="M33" s="41">
        <f>IF(($K$27&lt;$J$1),$N33,IF(($K$27&gt;$J$1),$N34))</f>
        <v>0</v>
      </c>
      <c r="N33" s="42">
        <f>IF(($K33&lt;=$J$1),($K33*$K$2))-($K33*0.1)</f>
        <v>0</v>
      </c>
      <c r="O33" s="9"/>
      <c r="P33" s="8"/>
    </row>
    <row r="34" spans="1:16" s="7" customFormat="1" ht="15.75" customHeight="1">
      <c r="A34" s="8" t="s">
        <v>35</v>
      </c>
      <c r="B34" s="8"/>
      <c r="C34" s="8"/>
      <c r="D34" s="8"/>
      <c r="E34" s="48">
        <f>IF(($E$16="No"),"0",IF(($E$10&lt;$K$3),$F$34,IF(($E$10&gt;$K$3),$F$35,)))</f>
        <v>25000</v>
      </c>
      <c r="F34" s="39">
        <f>IF(($E$10&lt;=$K$3),($E$10*$J$3))</f>
        <v>25000</v>
      </c>
      <c r="G34" s="8"/>
      <c r="H34" s="8"/>
      <c r="I34" s="8"/>
      <c r="J34" s="8"/>
      <c r="K34" s="41"/>
      <c r="L34" s="41"/>
      <c r="M34" s="41"/>
      <c r="N34" s="42" t="str">
        <f>IF(($M$13=0),"Nil",((IF(($K33&gt;=$J$1),($J$1*$K$2))+(($K33-$J$1)*$K$1))-($K33*0.1)))</f>
        <v>Nil</v>
      </c>
      <c r="O34" s="9"/>
      <c r="P34" s="8"/>
    </row>
    <row r="35" spans="1:16" s="7" customFormat="1" ht="15.75" customHeight="1">
      <c r="A35" s="8"/>
      <c r="B35" s="8"/>
      <c r="C35" s="8"/>
      <c r="D35" s="8"/>
      <c r="E35" s="43"/>
      <c r="F35" s="39">
        <f>IF(($E$10&gt;=$K$3),($K$3*$J$3))+(($E$10-$K$3)*$J4)</f>
        <v>-40250</v>
      </c>
      <c r="G35" s="8"/>
      <c r="H35" s="8"/>
      <c r="I35" s="8"/>
      <c r="J35" s="8"/>
      <c r="K35" s="16"/>
      <c r="L35" s="16"/>
      <c r="M35" s="49"/>
      <c r="N35" s="50"/>
      <c r="O35" s="9"/>
      <c r="P35" s="8"/>
    </row>
    <row r="36" spans="1:16" s="7" customFormat="1" ht="15.75" customHeight="1">
      <c r="A36" s="8" t="s">
        <v>36</v>
      </c>
      <c r="B36" s="8"/>
      <c r="C36" s="8"/>
      <c r="D36" s="8"/>
      <c r="E36" s="43">
        <f>$E$34/$E$17</f>
        <v>2500</v>
      </c>
      <c r="F36" s="39"/>
      <c r="G36" s="8"/>
      <c r="H36" s="8"/>
      <c r="I36" s="18" t="s">
        <v>37</v>
      </c>
      <c r="J36" s="8"/>
      <c r="K36" s="8"/>
      <c r="L36" s="8"/>
      <c r="M36" s="45">
        <f>SUM(M24:M34)</f>
        <v>31249.999999999993</v>
      </c>
      <c r="N36" s="11"/>
      <c r="O36" s="9"/>
      <c r="P36" s="8"/>
    </row>
    <row r="37" spans="1:16" s="7" customFormat="1" ht="15.75" customHeight="1">
      <c r="A37" s="44" t="s">
        <v>38</v>
      </c>
      <c r="B37" s="8"/>
      <c r="C37" s="8"/>
      <c r="D37" s="8"/>
      <c r="E37" s="51"/>
      <c r="F37" s="8"/>
      <c r="G37" s="8"/>
      <c r="H37" s="8"/>
      <c r="I37" s="8"/>
      <c r="J37" s="8"/>
      <c r="K37" s="8"/>
      <c r="L37" s="8"/>
      <c r="M37" s="51"/>
      <c r="N37" s="9"/>
      <c r="O37" s="9"/>
      <c r="P37" s="8"/>
    </row>
    <row r="38" spans="1:16" s="7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7" customFormat="1" ht="15.75" customHeight="1">
      <c r="A39" s="8"/>
      <c r="B39" s="8"/>
      <c r="C39" s="8"/>
      <c r="D39" s="8"/>
      <c r="E39" s="52"/>
      <c r="F39" s="52"/>
      <c r="G39" s="52"/>
      <c r="H39" s="52"/>
      <c r="I39" s="52"/>
      <c r="J39" s="8"/>
      <c r="K39" s="8"/>
      <c r="L39" s="8"/>
      <c r="M39" s="8"/>
      <c r="N39" s="8"/>
      <c r="O39" s="8"/>
      <c r="P39" s="8"/>
    </row>
    <row r="40" spans="1:16" s="7" customFormat="1">
      <c r="A40" s="8"/>
      <c r="B40" s="8"/>
      <c r="C40" s="8"/>
      <c r="D40" s="53"/>
      <c r="E40" s="54"/>
      <c r="F40" s="55"/>
      <c r="G40" s="55"/>
      <c r="H40" s="55"/>
      <c r="I40" s="56"/>
      <c r="J40" s="57"/>
      <c r="K40" s="11"/>
      <c r="L40" s="11"/>
      <c r="M40" s="8"/>
      <c r="N40" s="8"/>
      <c r="O40" s="8"/>
      <c r="P40" s="8"/>
    </row>
    <row r="41" spans="1:16" s="7" customFormat="1">
      <c r="A41" s="8"/>
      <c r="B41" s="8"/>
      <c r="C41" s="8"/>
      <c r="D41" s="53"/>
      <c r="E41" s="58" t="s">
        <v>39</v>
      </c>
      <c r="F41" s="59"/>
      <c r="G41" s="59"/>
      <c r="H41" s="59"/>
      <c r="I41" s="60">
        <f>$E$28</f>
        <v>10320</v>
      </c>
      <c r="J41" s="57"/>
      <c r="K41" s="50" t="s">
        <v>40</v>
      </c>
      <c r="L41" s="50" t="s">
        <v>41</v>
      </c>
      <c r="M41" s="8"/>
      <c r="N41" s="8"/>
      <c r="O41" s="8"/>
      <c r="P41" s="8"/>
    </row>
    <row r="42" spans="1:16" s="7" customFormat="1">
      <c r="A42" s="8"/>
      <c r="B42" s="8"/>
      <c r="C42" s="8"/>
      <c r="D42" s="53"/>
      <c r="E42" s="58" t="s">
        <v>42</v>
      </c>
      <c r="F42" s="59"/>
      <c r="G42" s="59"/>
      <c r="H42" s="61"/>
      <c r="I42" s="62">
        <f>E36</f>
        <v>2500</v>
      </c>
      <c r="J42" s="57"/>
      <c r="K42" s="42">
        <f>I45</f>
        <v>45929.999999999993</v>
      </c>
      <c r="L42" s="42">
        <f>I47</f>
        <v>4685.9999999999991</v>
      </c>
      <c r="M42" s="8"/>
      <c r="N42" s="8"/>
      <c r="O42" s="8"/>
      <c r="P42" s="8"/>
    </row>
    <row r="43" spans="1:16" s="7" customFormat="1">
      <c r="A43" s="8"/>
      <c r="B43" s="8"/>
      <c r="C43" s="8"/>
      <c r="D43" s="53"/>
      <c r="E43" s="58" t="s">
        <v>43</v>
      </c>
      <c r="F43" s="59"/>
      <c r="G43" s="59"/>
      <c r="H43" s="59"/>
      <c r="I43" s="63">
        <f>$M$36</f>
        <v>31249.999999999993</v>
      </c>
      <c r="J43" s="57"/>
      <c r="K43" s="11"/>
      <c r="L43" s="11"/>
      <c r="M43" s="8"/>
      <c r="N43" s="8"/>
      <c r="O43" s="8"/>
      <c r="P43" s="8"/>
    </row>
    <row r="44" spans="1:16" s="7" customFormat="1" ht="21" customHeight="1">
      <c r="A44" s="8"/>
      <c r="B44" s="8"/>
      <c r="C44" s="8"/>
      <c r="D44" s="53"/>
      <c r="E44" s="64" t="s">
        <v>44</v>
      </c>
      <c r="F44" s="65"/>
      <c r="G44" s="65"/>
      <c r="H44" s="65"/>
      <c r="I44" s="66">
        <f>SUM(I42:I43)-I41</f>
        <v>23429.999999999993</v>
      </c>
      <c r="J44" s="57"/>
      <c r="K44" s="11"/>
      <c r="L44" s="11"/>
      <c r="M44" s="8"/>
      <c r="N44" s="8"/>
      <c r="O44" s="8"/>
      <c r="P44" s="8"/>
    </row>
    <row r="45" spans="1:16" s="7" customFormat="1" ht="21" customHeight="1">
      <c r="A45" s="8"/>
      <c r="B45" s="8"/>
      <c r="C45" s="8"/>
      <c r="D45" s="53"/>
      <c r="E45" s="67" t="s">
        <v>45</v>
      </c>
      <c r="F45" s="68"/>
      <c r="G45" s="68"/>
      <c r="H45" s="68"/>
      <c r="I45" s="69">
        <f>(I43+E34)-I41</f>
        <v>45929.999999999993</v>
      </c>
      <c r="J45" s="57"/>
      <c r="K45" s="8"/>
      <c r="L45" s="8"/>
      <c r="M45" s="8"/>
      <c r="N45" s="8"/>
      <c r="O45" s="8"/>
      <c r="P45" s="8"/>
    </row>
    <row r="46" spans="1:16" s="7" customFormat="1">
      <c r="A46" s="8"/>
      <c r="B46" s="8"/>
      <c r="C46" s="8"/>
      <c r="D46" s="53"/>
      <c r="E46" s="58"/>
      <c r="F46" s="59"/>
      <c r="G46" s="59"/>
      <c r="H46" s="59"/>
      <c r="I46" s="70"/>
      <c r="J46" s="57"/>
      <c r="K46" s="8"/>
      <c r="L46" s="8"/>
      <c r="M46" s="8"/>
      <c r="N46" s="8"/>
      <c r="O46" s="8"/>
      <c r="P46" s="8"/>
    </row>
    <row r="47" spans="1:16" s="7" customFormat="1" ht="20.25" customHeight="1">
      <c r="A47" s="8"/>
      <c r="B47" s="8"/>
      <c r="C47" s="8"/>
      <c r="D47" s="53"/>
      <c r="E47" s="64" t="s">
        <v>46</v>
      </c>
      <c r="F47" s="59"/>
      <c r="G47" s="59"/>
      <c r="H47" s="59"/>
      <c r="I47" s="66">
        <f>$I$44*$C$14</f>
        <v>4685.9999999999991</v>
      </c>
      <c r="J47" s="57"/>
      <c r="K47" s="8"/>
      <c r="L47" s="8"/>
      <c r="M47" s="8"/>
      <c r="N47" s="8"/>
      <c r="O47" s="8"/>
      <c r="P47" s="8"/>
    </row>
    <row r="48" spans="1:16" s="7" customFormat="1" ht="16.5" customHeight="1">
      <c r="A48" s="8"/>
      <c r="B48" s="8"/>
      <c r="C48" s="8"/>
      <c r="D48" s="53"/>
      <c r="E48" s="71"/>
      <c r="F48" s="72"/>
      <c r="G48" s="72"/>
      <c r="H48" s="72"/>
      <c r="I48" s="73"/>
      <c r="J48" s="57"/>
      <c r="K48" s="8"/>
      <c r="L48" s="8"/>
      <c r="M48" s="8"/>
      <c r="N48" s="8"/>
      <c r="O48" s="8"/>
      <c r="P48" s="8"/>
    </row>
    <row r="49" spans="1:16" s="7" customFormat="1">
      <c r="A49" s="8"/>
      <c r="B49" s="8"/>
      <c r="C49" s="8"/>
      <c r="D49" s="8"/>
      <c r="E49" s="74"/>
      <c r="F49" s="74"/>
      <c r="G49" s="74"/>
      <c r="H49" s="74"/>
      <c r="I49" s="74"/>
      <c r="J49" s="8"/>
      <c r="K49" s="8"/>
      <c r="L49" s="8"/>
      <c r="M49" s="8"/>
      <c r="N49" s="8"/>
      <c r="O49" s="8"/>
      <c r="P49" s="8"/>
    </row>
    <row r="50" spans="1:16">
      <c r="F50" s="8"/>
      <c r="N50" s="8"/>
      <c r="O50" s="8"/>
    </row>
    <row r="51" spans="1:16">
      <c r="F51" s="8"/>
      <c r="N51" s="8"/>
      <c r="O51" s="8"/>
    </row>
    <row r="52" spans="1:16">
      <c r="F52" s="8"/>
      <c r="N52" s="8"/>
      <c r="O52" s="8"/>
    </row>
    <row r="53" spans="1:16">
      <c r="F53" s="8"/>
      <c r="N53" s="8"/>
      <c r="O53" s="8"/>
    </row>
    <row r="54" spans="1:16">
      <c r="F54" s="8"/>
      <c r="N54" s="8"/>
      <c r="O54" s="8"/>
    </row>
    <row r="55" spans="1:16">
      <c r="F55" s="8"/>
      <c r="N55" s="8"/>
      <c r="O55" s="8"/>
    </row>
    <row r="56" spans="1:16">
      <c r="F56" s="8"/>
      <c r="N56" s="8"/>
      <c r="O56" s="8"/>
    </row>
    <row r="57" spans="1:16">
      <c r="F57" s="8"/>
      <c r="N57" s="8"/>
      <c r="O57" s="8"/>
    </row>
    <row r="58" spans="1:16">
      <c r="F58" s="8"/>
      <c r="N58" s="8"/>
      <c r="O58" s="8"/>
    </row>
    <row r="59" spans="1:16">
      <c r="F59" s="8"/>
      <c r="N59" s="8"/>
      <c r="O59" s="8"/>
    </row>
    <row r="60" spans="1:16">
      <c r="F60" s="8"/>
      <c r="N60" s="8"/>
      <c r="O60" s="8"/>
    </row>
    <row r="61" spans="1:16">
      <c r="F61" s="8"/>
      <c r="N61" s="8"/>
      <c r="O61" s="8"/>
    </row>
    <row r="62" spans="1:16">
      <c r="F62" s="8"/>
      <c r="N62" s="8"/>
      <c r="O62" s="8"/>
    </row>
    <row r="63" spans="1:16">
      <c r="F63" s="8"/>
      <c r="N63" s="8"/>
      <c r="O63" s="8"/>
    </row>
    <row r="64" spans="1:16">
      <c r="F64" s="8"/>
      <c r="N64" s="8"/>
      <c r="O64" s="8"/>
    </row>
    <row r="65" spans="6:15">
      <c r="F65" s="8"/>
      <c r="N65" s="8"/>
      <c r="O65" s="8"/>
    </row>
    <row r="66" spans="6:15">
      <c r="F66" s="8"/>
      <c r="N66" s="8"/>
      <c r="O66" s="8"/>
    </row>
    <row r="67" spans="6:15">
      <c r="F67" s="8"/>
      <c r="N67" s="8"/>
      <c r="O67" s="8"/>
    </row>
  </sheetData>
  <mergeCells count="7">
    <mergeCell ref="I20:M20"/>
    <mergeCell ref="A31:E31"/>
    <mergeCell ref="A10:D10"/>
    <mergeCell ref="A11:D11"/>
    <mergeCell ref="A12:D12"/>
    <mergeCell ref="A14:B14"/>
    <mergeCell ref="A20:E20"/>
  </mergeCells>
  <conditionalFormatting sqref="N12">
    <cfRule type="containsText" dxfId="16" priority="1" stopIfTrue="1" operator="containsText" text="ERROR">
      <formula>NOT(ISERROR(SEARCH("ERROR", N12)))</formula>
    </cfRule>
  </conditionalFormatting>
  <dataValidations count="1">
    <dataValidation type="list" allowBlank="1" showErrorMessage="1" sqref="E16">
      <formula1>M1:M2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1"/>
  <sheetViews>
    <sheetView workbookViewId="0">
      <pane ySplit="9" topLeftCell="A10" activePane="bottomLeft" state="frozen"/>
      <selection pane="bottomLeft" activeCell="A10" sqref="A10"/>
    </sheetView>
  </sheetViews>
  <sheetFormatPr defaultColWidth="10.140625" defaultRowHeight="15" customHeight="1"/>
  <cols>
    <col min="3" max="3" width="14" customWidth="1"/>
    <col min="4" max="4" width="22.7109375" customWidth="1"/>
    <col min="5" max="5" width="26.5703125" customWidth="1"/>
    <col min="6" max="10" width="22.7109375" customWidth="1"/>
    <col min="11" max="11" width="13.7109375" customWidth="1"/>
    <col min="12" max="12" width="11.85546875" customWidth="1"/>
    <col min="13" max="13" width="16.140625" customWidth="1"/>
    <col min="14" max="14" width="10.140625" customWidth="1"/>
    <col min="15" max="15" width="25.42578125" style="4" customWidth="1"/>
    <col min="16" max="20" width="17.42578125" style="4" customWidth="1"/>
    <col min="21" max="21" width="10.140625" style="4" customWidth="1"/>
    <col min="22" max="22" width="10.7109375" style="4" customWidth="1"/>
    <col min="23" max="23" width="10.140625" customWidth="1"/>
  </cols>
  <sheetData>
    <row r="1" spans="1:24">
      <c r="A1" s="8"/>
      <c r="B1" s="8"/>
      <c r="C1" s="8"/>
      <c r="D1" s="8"/>
      <c r="E1" s="9"/>
      <c r="F1" s="9" t="s">
        <v>0</v>
      </c>
      <c r="G1" s="9" t="s">
        <v>1</v>
      </c>
      <c r="H1" s="9"/>
      <c r="I1" s="9"/>
      <c r="J1" s="10">
        <v>150000</v>
      </c>
      <c r="K1" s="2">
        <v>0.375</v>
      </c>
      <c r="L1" s="9"/>
      <c r="M1" s="9" t="s">
        <v>2</v>
      </c>
      <c r="N1" s="9">
        <v>1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8"/>
      <c r="B2" s="8"/>
      <c r="C2" s="8"/>
      <c r="D2" s="8"/>
      <c r="E2" s="9"/>
      <c r="F2" s="9"/>
      <c r="G2" s="9" t="s">
        <v>3</v>
      </c>
      <c r="H2" s="9"/>
      <c r="I2" s="13">
        <v>0.1</v>
      </c>
      <c r="J2" s="10">
        <v>32010</v>
      </c>
      <c r="K2" s="12">
        <v>0.32500000000000001</v>
      </c>
      <c r="L2" s="9"/>
      <c r="M2" s="9" t="s">
        <v>4</v>
      </c>
      <c r="N2" s="9">
        <v>2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>
      <c r="A3" s="8"/>
      <c r="B3" s="8"/>
      <c r="C3" s="8"/>
      <c r="D3" s="8"/>
      <c r="E3" s="9"/>
      <c r="F3" s="9"/>
      <c r="G3" s="9" t="s">
        <v>5</v>
      </c>
      <c r="H3" s="9"/>
      <c r="I3" s="9"/>
      <c r="J3" s="13">
        <v>0.2</v>
      </c>
      <c r="K3" s="10">
        <v>300000</v>
      </c>
      <c r="L3" s="9"/>
      <c r="M3" s="9"/>
      <c r="N3" s="9">
        <v>3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>
      <c r="A4" s="8"/>
      <c r="B4" s="8"/>
      <c r="C4" s="8"/>
      <c r="D4" s="8"/>
      <c r="E4" s="9"/>
      <c r="F4" s="9"/>
      <c r="G4" s="5" t="s">
        <v>6</v>
      </c>
      <c r="H4" s="9"/>
      <c r="I4" s="9"/>
      <c r="J4" s="13">
        <v>0.23</v>
      </c>
      <c r="K4" s="14" t="s">
        <v>7</v>
      </c>
      <c r="L4" s="9"/>
      <c r="M4" s="9" t="s">
        <v>47</v>
      </c>
      <c r="N4" s="9">
        <v>4</v>
      </c>
      <c r="O4" s="9"/>
      <c r="P4" s="181" t="s">
        <v>48</v>
      </c>
      <c r="Q4" s="181"/>
      <c r="R4" s="181"/>
      <c r="S4" s="181"/>
      <c r="T4" s="181"/>
      <c r="U4" s="9"/>
      <c r="V4" s="9"/>
      <c r="W4" s="9"/>
      <c r="X4" s="9"/>
    </row>
    <row r="5" spans="1:24">
      <c r="A5" s="8"/>
      <c r="B5" s="8"/>
      <c r="C5" s="8"/>
      <c r="D5" s="8"/>
      <c r="E5" s="9"/>
      <c r="F5" s="9"/>
      <c r="G5" s="9" t="s">
        <v>49</v>
      </c>
      <c r="H5" s="9"/>
      <c r="I5" s="13">
        <v>0.02</v>
      </c>
      <c r="J5" s="13">
        <v>0.12</v>
      </c>
      <c r="K5" s="10">
        <f>149*52</f>
        <v>7748</v>
      </c>
      <c r="L5" s="10">
        <f>(797*52)-$K$5</f>
        <v>33696</v>
      </c>
      <c r="M5" s="9" t="s">
        <v>50</v>
      </c>
      <c r="N5" s="9">
        <v>5</v>
      </c>
      <c r="O5" s="9"/>
      <c r="P5" s="75" t="str">
        <f>F$12</f>
        <v>Partner 1</v>
      </c>
      <c r="Q5" s="75" t="str">
        <f>G$12</f>
        <v>Partner 2</v>
      </c>
      <c r="R5" s="75" t="str">
        <f>H$12</f>
        <v>Partner 3</v>
      </c>
      <c r="S5" s="75" t="str">
        <f>I$12</f>
        <v>Partner 4</v>
      </c>
      <c r="T5" s="75" t="str">
        <f>J$12</f>
        <v>Partner 5</v>
      </c>
      <c r="U5" s="9"/>
      <c r="V5" s="9"/>
      <c r="W5" s="9"/>
      <c r="X5" s="9"/>
    </row>
    <row r="6" spans="1:24">
      <c r="A6" s="8"/>
      <c r="B6" s="8"/>
      <c r="C6" s="8"/>
      <c r="D6" s="8"/>
      <c r="E6" s="9"/>
      <c r="F6" s="9"/>
      <c r="G6" s="9" t="s">
        <v>51</v>
      </c>
      <c r="H6" s="9"/>
      <c r="I6" s="9"/>
      <c r="J6" s="12">
        <v>0.13800000000000001</v>
      </c>
      <c r="K6" s="10">
        <v>7696</v>
      </c>
      <c r="L6" s="9"/>
      <c r="M6" s="9"/>
      <c r="N6" s="9"/>
      <c r="O6" s="9" t="s">
        <v>52</v>
      </c>
      <c r="P6" s="10">
        <f>IF(($D$12="Sole Trader"),0,IF((F$15=0),0,IF((F$15&lt;100000),(F$15-$K$7),IF((F$15&lt;=118880),((F$15-$K$7)+(($F$15-100000)/2)),$F$15))))</f>
        <v>0</v>
      </c>
      <c r="Q6" s="10">
        <f>IF(($D$12="Sole Trader"),0,IF((G$15=0),0,IF((G$15&lt;100000),(G$15-$K$7),IF((G$15&lt;=118880),((G$15-$K$7)+(($G$15-100000)/2)),$G$15))))</f>
        <v>0</v>
      </c>
      <c r="R6" s="10">
        <f>IF(($D$12="Sole Trader"),0,IF((H$15=0),0,IF((H$15&lt;100000),(H$15-$K$7),IF((H$15&lt;=118880),((H$15-$K$7)+(($H$15-100000)/2)),$H$15))))</f>
        <v>0</v>
      </c>
      <c r="S6" s="10">
        <f>IF(($D$12="Sole Trader"),0,IF((I$15=0),0,IF((I$15&lt;100000),(I$15-$K$7),IF((I$15&lt;=118880),((I$15-$K$7)+(($I$15-100000)/2)),$I$15))))</f>
        <v>0</v>
      </c>
      <c r="T6" s="10">
        <f>IF(($D$12="Sole Trader"),0,IF((J$15=0),0,IF((J$15&lt;100000),(J$15-$K$7),IF((J$15&lt;=118880),((J$15-$K$7)+(($J$15-100000)/2)),$J$15))))</f>
        <v>0</v>
      </c>
      <c r="U6" s="9"/>
      <c r="V6" s="9"/>
      <c r="W6" s="9"/>
      <c r="X6" s="9"/>
    </row>
    <row r="7" spans="1:24">
      <c r="A7" s="8"/>
      <c r="B7" s="8"/>
      <c r="C7" s="8"/>
      <c r="D7" s="8"/>
      <c r="E7" s="9"/>
      <c r="F7" s="9"/>
      <c r="G7" s="9" t="s">
        <v>53</v>
      </c>
      <c r="H7" s="9"/>
      <c r="I7" s="13">
        <v>0.09</v>
      </c>
      <c r="J7" s="13">
        <v>0.2</v>
      </c>
      <c r="K7" s="10">
        <v>9440</v>
      </c>
      <c r="L7" s="10">
        <f>K7-K6</f>
        <v>1744</v>
      </c>
      <c r="M7" s="9"/>
      <c r="N7" s="13"/>
      <c r="O7" s="9" t="s">
        <v>54</v>
      </c>
      <c r="P7" s="76">
        <f>IF((P$6&lt;$K$8),(P$6*$J$7),0)</f>
        <v>0</v>
      </c>
      <c r="Q7" s="76">
        <f>IF((Q$6&lt;$K$8),(Q$6*$J$7),"0")</f>
        <v>0</v>
      </c>
      <c r="R7" s="76">
        <f>IF((R$6&lt;$K$8),(R$6*$J$7),"0")</f>
        <v>0</v>
      </c>
      <c r="S7" s="76">
        <f>IF((S$6&lt;$K$8),(S$6*$J$7),"0")</f>
        <v>0</v>
      </c>
      <c r="T7" s="76">
        <f>IF((T$6&lt;$K$8),(T$6*$J$7),"0")</f>
        <v>0</v>
      </c>
      <c r="U7" s="9"/>
      <c r="V7" s="9"/>
      <c r="W7" s="9"/>
      <c r="X7" s="9"/>
    </row>
    <row r="8" spans="1:24">
      <c r="A8" s="8"/>
      <c r="B8" s="8"/>
      <c r="C8" s="8"/>
      <c r="D8" s="8"/>
      <c r="E8" s="77"/>
      <c r="F8" s="3"/>
      <c r="G8" s="9"/>
      <c r="H8" s="9"/>
      <c r="I8" s="9"/>
      <c r="J8" s="13">
        <v>0.4</v>
      </c>
      <c r="K8" s="10">
        <v>32011</v>
      </c>
      <c r="L8" s="9"/>
      <c r="M8" s="9"/>
      <c r="N8" s="9"/>
      <c r="O8" s="9"/>
      <c r="P8" s="76">
        <f>IF((P$6&lt;$K$8),0,IF((P$6&gt;=$K$9),0,IF((P$6&lt;$K$9),(((P$6-$K$8)*$J$8)+($K$8*$J$7)))))</f>
        <v>0</v>
      </c>
      <c r="Q8" s="76">
        <f>IF((Q$6&lt;$K$8),0,IF((Q$6&gt;=$K$9),0,IF((Q$6&lt;$K$9),(((Q$6-$K$8)*$J$8)+($K$8*$J$7)))))</f>
        <v>0</v>
      </c>
      <c r="R8" s="76">
        <f>IF((R$6&lt;$K$8),0,IF((R$6&gt;=$K$9),0,IF((R$6&lt;$K$9),(((R$6-$K$8)*$J$8)+($K$8*$J$7)))))</f>
        <v>0</v>
      </c>
      <c r="S8" s="76">
        <f>IF((S$6&lt;$K$8),0,IF((S$6&gt;=$K$9),0,IF((S$6&lt;$K$9),(((S$6-$K$8)*$J$8)+($K$8*$J$7)))))</f>
        <v>0</v>
      </c>
      <c r="T8" s="76">
        <f>IF((T$6&lt;$K$8),0,IF((T$6&gt;=$K$9),0,IF((T$6&lt;$K$9),(((T$6-$K$8)*$J$8)+($K$8*$J$7)))))</f>
        <v>0</v>
      </c>
      <c r="U8" s="9"/>
      <c r="V8" s="9"/>
      <c r="W8" s="9"/>
      <c r="X8" s="9"/>
    </row>
    <row r="9" spans="1:24" s="7" customFormat="1">
      <c r="A9" s="8"/>
      <c r="B9" s="8"/>
      <c r="C9" s="8"/>
      <c r="D9" s="8"/>
      <c r="E9" s="77"/>
      <c r="F9" s="3"/>
      <c r="G9" s="9"/>
      <c r="H9" s="9"/>
      <c r="I9" s="9"/>
      <c r="J9" s="13">
        <v>0.45</v>
      </c>
      <c r="K9" s="10">
        <v>150001</v>
      </c>
      <c r="L9" s="9"/>
      <c r="M9" s="9"/>
      <c r="N9" s="9"/>
      <c r="O9" s="9"/>
      <c r="P9" s="76">
        <f>IF((P$6=0),0,IF((P$6&gt;=$K$9),P$10,0))</f>
        <v>0</v>
      </c>
      <c r="Q9" s="76">
        <f>IF((Q$6=0),0,IF((Q$6&gt;=$K$9),Q$10,0))</f>
        <v>0</v>
      </c>
      <c r="R9" s="76">
        <f>IF((R$6=0),0,IF((R$6&gt;=$K$9),R$10,0))</f>
        <v>0</v>
      </c>
      <c r="S9" s="76">
        <f>IF((S$6=0),0,IF((S$6&gt;=$K$9),S$10,0))</f>
        <v>0</v>
      </c>
      <c r="T9" s="76">
        <f>IF((T$6=0),0,IF((T$6&gt;=$K$9),T$10,0))</f>
        <v>0</v>
      </c>
      <c r="U9" s="9"/>
      <c r="V9" s="9"/>
      <c r="W9" s="9"/>
      <c r="X9" s="9"/>
    </row>
    <row r="10" spans="1:24">
      <c r="A10" s="17" t="s">
        <v>10</v>
      </c>
      <c r="B10" s="17"/>
      <c r="C10" s="35"/>
      <c r="D10" s="35"/>
      <c r="E10" s="22"/>
      <c r="F10" s="78"/>
      <c r="G10" s="79"/>
      <c r="H10" s="79"/>
      <c r="I10" s="79"/>
      <c r="J10" s="22"/>
      <c r="K10" s="8"/>
      <c r="L10" s="9"/>
      <c r="M10" s="9"/>
      <c r="N10" s="9"/>
      <c r="O10" s="8"/>
      <c r="P10" s="76">
        <f>IF(($D$12="Sole Trader"),0,IF((P$6&gt;$K$9),(((((P$6-$K$9)*$J$9)+(($K$9-$K$8)*$J$8))+($K$8*$J$7))),0))</f>
        <v>0</v>
      </c>
      <c r="Q10" s="76">
        <f>IF(($D$12="Sole Trader"),0,IF((Q$6&gt;$K$9),(((((Q$6-$K$9)*$J$9)+(($K$9-$K$8)*$J$8))+($K$8*$J$7))),0))</f>
        <v>0</v>
      </c>
      <c r="R10" s="76">
        <f>IF(($D$12="Sole Trader"),0,IF((R$6&gt;$K$9),(((((R$6-$K$9)*$J$9)+(($K$9-$K$8)*$J$8))+($K$8*$J$7))),0))</f>
        <v>0</v>
      </c>
      <c r="S10" s="76">
        <f>IF(($D$12="Sole Trader"),0,IF((S$6&gt;$K$9),(((((S$6-$K$9)*$J$9)+(($K$9-$K$8)*$J$8))+($K$8*$J$7))),0))</f>
        <v>0</v>
      </c>
      <c r="T10" s="76">
        <f>IF(($D$12="Sole Trader"),0,IF((T$6&gt;$K$9),(((((T$6-$K$9)*$J$9)+(($K$9-$K$8)*$J$8))+($K$8*$J$7))),0))</f>
        <v>0</v>
      </c>
      <c r="U10" s="8"/>
      <c r="V10" s="8"/>
      <c r="W10" s="8"/>
      <c r="X10" s="8"/>
    </row>
    <row r="11" spans="1:24">
      <c r="A11" s="22"/>
      <c r="B11" s="22"/>
      <c r="C11" s="22"/>
      <c r="D11" s="29"/>
      <c r="E11" s="32"/>
      <c r="F11" s="80" t="s">
        <v>55</v>
      </c>
      <c r="G11" s="81"/>
      <c r="H11" s="29"/>
      <c r="I11" s="29"/>
      <c r="J11" s="29"/>
      <c r="K11" s="8"/>
      <c r="L11" s="8"/>
      <c r="M11" s="8"/>
      <c r="N11" s="8"/>
      <c r="O11" s="9" t="s">
        <v>56</v>
      </c>
      <c r="P11" s="76">
        <f>IF(($D$12="Sole Trader"),0,IF((F$15=0),0,IF(($D$12="Partnership"),(F$15-$K$5))))</f>
        <v>0</v>
      </c>
      <c r="Q11" s="76">
        <f>IF(($D$12="Sole Trader"),0,IF((G$15=0),0,IF(($D$12="Partnership"),(G$15-$K$5))))</f>
        <v>0</v>
      </c>
      <c r="R11" s="76">
        <f>IF(($D$12="Sole Trader"),0,IF((H$15=0),0,IF(($D$12="Partnership"),(H$15-$K$5))))</f>
        <v>0</v>
      </c>
      <c r="S11" s="76">
        <f>IF(($D$12="Sole Trader"),0,IF((I$15=0),0,IF(($D$12="Partnership"),(I$15-$K$5))))</f>
        <v>0</v>
      </c>
      <c r="T11" s="76">
        <f>IF(($D$12="Sole Trader"),0,IF((J$15=0),0,IF(($D$12="Partnership"),(J$15-$K$5))))</f>
        <v>0</v>
      </c>
      <c r="U11" s="8"/>
      <c r="V11" s="8"/>
      <c r="W11" s="8"/>
      <c r="X11" s="8"/>
    </row>
    <row r="12" spans="1:24">
      <c r="A12" s="22"/>
      <c r="B12" s="22"/>
      <c r="C12" s="82" t="s">
        <v>57</v>
      </c>
      <c r="D12" s="24" t="s">
        <v>47</v>
      </c>
      <c r="E12" s="83"/>
      <c r="F12" s="80" t="s">
        <v>12</v>
      </c>
      <c r="G12" s="80" t="s">
        <v>13</v>
      </c>
      <c r="H12" s="80" t="s">
        <v>14</v>
      </c>
      <c r="I12" s="80" t="s">
        <v>15</v>
      </c>
      <c r="J12" s="80" t="s">
        <v>16</v>
      </c>
      <c r="K12" s="84"/>
      <c r="L12" s="8"/>
      <c r="M12" s="8"/>
      <c r="N12" s="8"/>
      <c r="O12" s="9" t="s">
        <v>58</v>
      </c>
      <c r="P12" s="76">
        <f>IF((P$11&lt;$L$5),(P$11*$I$7),IF((P$11&gt;$L$5),"0"))</f>
        <v>0</v>
      </c>
      <c r="Q12" s="76">
        <f>IF((Q$11&lt;$L$5),(Q$11*$I$7),IF((Q$11&gt;$L$5),"0"))</f>
        <v>0</v>
      </c>
      <c r="R12" s="76">
        <f>IF((R$11&lt;$L$5),(R$11*$I$7),IF((R$11&gt;$L$5),"0"))</f>
        <v>0</v>
      </c>
      <c r="S12" s="76">
        <f>IF((S$11&lt;$L$5),(S$11*$I$7),IF((S$11&gt;$L$5),"0"))</f>
        <v>0</v>
      </c>
      <c r="T12" s="76">
        <f>IF((T$11&lt;$L$5),(T$11*$I$7),IF((T$11&gt;$L$5),"0"))</f>
        <v>0</v>
      </c>
      <c r="U12" s="10"/>
      <c r="V12" s="8"/>
      <c r="W12" s="8"/>
      <c r="X12" s="8"/>
    </row>
    <row r="13" spans="1:24">
      <c r="A13" s="22"/>
      <c r="B13" s="22"/>
      <c r="C13" s="85"/>
      <c r="D13" s="86"/>
      <c r="E13" s="22"/>
      <c r="F13" s="86"/>
      <c r="G13" s="86"/>
      <c r="H13" s="86"/>
      <c r="I13" s="86"/>
      <c r="J13" s="86"/>
      <c r="K13" s="26">
        <f>SUM(F14:J14)</f>
        <v>1</v>
      </c>
      <c r="L13" s="8"/>
      <c r="M13" s="8"/>
      <c r="N13" s="8"/>
      <c r="O13" s="8"/>
      <c r="P13" s="76" t="str">
        <f>IF(($D$12="Sole Trader"),"0",IF((P$11&gt;$L$5),((((P$11-$L$5)*$I$5))+($L$5*$I$7)),0))</f>
        <v>0</v>
      </c>
      <c r="Q13" s="76" t="str">
        <f>IF(($D$12="Sole Trader"),"0",IF((Q$11&gt;$L$5),((((Q$11-$L$5)*$I$5))+($L$5*$I$7)),0))</f>
        <v>0</v>
      </c>
      <c r="R13" s="76" t="str">
        <f>IF(($D$12="Sole Trader"),"0",IF((R$11&gt;$L$5),((((R$11-$L$5)*$I$5))+($L$5*$I$7)),0))</f>
        <v>0</v>
      </c>
      <c r="S13" s="76" t="str">
        <f>IF(($D$12="Sole Trader"),"0",IF((S$11&gt;$L$5),((((S$11-$L$5)*$I$5))+($L$5*$I$7)),0))</f>
        <v>0</v>
      </c>
      <c r="T13" s="76" t="str">
        <f>IF(($D$12="Sole Trader"),"0",IF((T$11&gt;$L$5),((((T$11-$L$5)*$I$5))+($L$5*$I$7)),0))</f>
        <v>0</v>
      </c>
      <c r="U13" s="10"/>
      <c r="V13" s="8"/>
      <c r="W13" s="8"/>
      <c r="X13" s="8"/>
    </row>
    <row r="14" spans="1:24">
      <c r="A14" s="22"/>
      <c r="B14" s="22"/>
      <c r="C14" s="82" t="s">
        <v>59</v>
      </c>
      <c r="D14" s="24">
        <v>1</v>
      </c>
      <c r="E14" s="87" t="str">
        <f>IF((D12="Sole Trader"),"Enter '1' in D14","Enter Partners")</f>
        <v>Enter '1' in D14</v>
      </c>
      <c r="F14" s="31">
        <v>0.5</v>
      </c>
      <c r="G14" s="31">
        <v>0.5</v>
      </c>
      <c r="H14" s="31">
        <v>0</v>
      </c>
      <c r="I14" s="31">
        <v>0</v>
      </c>
      <c r="J14" s="31">
        <v>0</v>
      </c>
      <c r="K14" s="88" t="str">
        <f>IF(($K$13=(100/100)),"OKAY","ERROR")</f>
        <v>OKAY</v>
      </c>
      <c r="L14" s="8"/>
      <c r="M14" s="8"/>
      <c r="N14" s="8"/>
      <c r="O14" s="8"/>
      <c r="P14" s="89"/>
      <c r="Q14" s="89"/>
      <c r="R14" s="89"/>
      <c r="S14" s="89"/>
      <c r="T14" s="89"/>
      <c r="U14" s="8"/>
      <c r="V14" s="8"/>
      <c r="W14" s="8"/>
      <c r="X14" s="8"/>
    </row>
    <row r="15" spans="1:24">
      <c r="A15" s="22"/>
      <c r="B15" s="22"/>
      <c r="C15" s="85"/>
      <c r="D15" s="90"/>
      <c r="E15" s="91" t="s">
        <v>60</v>
      </c>
      <c r="F15" s="92">
        <f>$D$16*F14</f>
        <v>30000</v>
      </c>
      <c r="G15" s="92">
        <f>IF(($D$12="Sole Trader"),0,($D$16*G14))</f>
        <v>0</v>
      </c>
      <c r="H15" s="92">
        <f>IF(($D$12="Sole Trader"),0,($D$16*H14))</f>
        <v>0</v>
      </c>
      <c r="I15" s="92">
        <f>IF(($D$12="Sole Trader"),0,($D$16*I14))</f>
        <v>0</v>
      </c>
      <c r="J15" s="92">
        <f>IF(($D$12="Sole Trader"),0,($D$16*J14))</f>
        <v>0</v>
      </c>
      <c r="K15" s="75" t="str">
        <f>IF(($D$12="Sole Trader"),"OKAY",IF((SUM(F15:J15)=$D$16),"OKAY","ERROR"))</f>
        <v>OKAY</v>
      </c>
      <c r="L15" s="9"/>
      <c r="M15" s="8"/>
      <c r="N15" s="8"/>
      <c r="O15" s="9" t="s">
        <v>61</v>
      </c>
      <c r="P15" s="93">
        <f>SUM(P7:P9)+SUM(P12:P13)</f>
        <v>0</v>
      </c>
      <c r="Q15" s="93">
        <f>SUM(Q7:Q9)+SUM(Q12:Q13)</f>
        <v>0</v>
      </c>
      <c r="R15" s="93">
        <f>SUM(R7:R9)+SUM(R12:R13)</f>
        <v>0</v>
      </c>
      <c r="S15" s="93">
        <f>SUM(S7:S9)+SUM(S12:S13)</f>
        <v>0</v>
      </c>
      <c r="T15" s="93">
        <f>SUM(T7:T9)+SUM(T12:T13)</f>
        <v>0</v>
      </c>
      <c r="U15" s="8"/>
      <c r="V15" s="8"/>
      <c r="W15" s="8"/>
      <c r="X15" s="8"/>
    </row>
    <row r="16" spans="1:24">
      <c r="A16" s="22"/>
      <c r="B16" s="22"/>
      <c r="C16" s="82" t="s">
        <v>62</v>
      </c>
      <c r="D16" s="94">
        <v>60000</v>
      </c>
      <c r="E16" s="95"/>
      <c r="F16" s="96"/>
      <c r="G16" s="96"/>
      <c r="H16" s="96"/>
      <c r="I16" s="96"/>
      <c r="J16" s="96"/>
      <c r="K16" s="11"/>
      <c r="L16" s="9"/>
      <c r="M16" s="8"/>
      <c r="N16" s="8"/>
      <c r="O16" s="8"/>
      <c r="P16" s="51"/>
      <c r="Q16" s="51"/>
      <c r="R16" s="51"/>
      <c r="S16" s="51"/>
      <c r="T16" s="97">
        <f>SUM(P15:T15)</f>
        <v>0</v>
      </c>
      <c r="U16" s="8"/>
      <c r="V16" s="8"/>
      <c r="W16" s="8"/>
      <c r="X16" s="8"/>
    </row>
    <row r="17" spans="1:24">
      <c r="A17" s="22"/>
      <c r="B17" s="22"/>
      <c r="C17" s="98"/>
      <c r="D17" s="86"/>
      <c r="E17" s="91" t="s">
        <v>63</v>
      </c>
      <c r="F17" s="99">
        <f>$D$18*F$14</f>
        <v>20000</v>
      </c>
      <c r="G17" s="99">
        <f>$D$18*G$14</f>
        <v>20000</v>
      </c>
      <c r="H17" s="99">
        <f>$D$18*H$14</f>
        <v>0</v>
      </c>
      <c r="I17" s="99">
        <f>$D$18*I$14</f>
        <v>0</v>
      </c>
      <c r="J17" s="99">
        <f>$D$18*J$14</f>
        <v>0</v>
      </c>
      <c r="K17" s="39">
        <f>SUM(F17:J17)</f>
        <v>40000</v>
      </c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22"/>
      <c r="B18" s="22"/>
      <c r="C18" s="100" t="s">
        <v>64</v>
      </c>
      <c r="D18" s="94">
        <v>40000</v>
      </c>
      <c r="E18" s="101" t="s">
        <v>65</v>
      </c>
      <c r="F18" s="102">
        <f>P$15</f>
        <v>0</v>
      </c>
      <c r="G18" s="102">
        <f>Q$15</f>
        <v>0</v>
      </c>
      <c r="H18" s="102">
        <f>R$15</f>
        <v>0</v>
      </c>
      <c r="I18" s="102">
        <f>S$15</f>
        <v>0</v>
      </c>
      <c r="J18" s="102">
        <f>T$15</f>
        <v>0</v>
      </c>
      <c r="K18" s="39">
        <f>SUM(F18:J18)</f>
        <v>0</v>
      </c>
      <c r="L18" s="9"/>
      <c r="M18" s="103"/>
      <c r="N18" s="8"/>
      <c r="O18" s="8"/>
      <c r="P18" s="181" t="s">
        <v>66</v>
      </c>
      <c r="Q18" s="181"/>
      <c r="R18" s="181"/>
      <c r="S18" s="181"/>
      <c r="T18" s="181"/>
      <c r="U18" s="8"/>
      <c r="V18" s="8"/>
      <c r="W18" s="8"/>
      <c r="X18" s="8"/>
    </row>
    <row r="19" spans="1:24">
      <c r="A19" s="22"/>
      <c r="B19" s="22"/>
      <c r="C19" s="98"/>
      <c r="D19" s="27"/>
      <c r="E19" s="91" t="s">
        <v>67</v>
      </c>
      <c r="F19" s="99">
        <f>P$29</f>
        <v>3937.28</v>
      </c>
      <c r="G19" s="99">
        <f>IF(($D$12="Sole Trader"),0,Q$29)</f>
        <v>0</v>
      </c>
      <c r="H19" s="99">
        <f>IF(($D$12="Sole Trader"),0,R$29)</f>
        <v>0</v>
      </c>
      <c r="I19" s="99">
        <f>IF(($D$12="Sole Trader"),0,S$29)</f>
        <v>0</v>
      </c>
      <c r="J19" s="99">
        <f>IF(($D$12="Sole Trader"),0,T$29)</f>
        <v>0</v>
      </c>
      <c r="K19" s="39">
        <f>SUM(F19:J19)</f>
        <v>3937.28</v>
      </c>
      <c r="L19" s="9"/>
      <c r="M19" s="103"/>
      <c r="N19" s="8"/>
      <c r="O19" s="8"/>
      <c r="P19" s="75" t="str">
        <f>F$12</f>
        <v>Partner 1</v>
      </c>
      <c r="Q19" s="75" t="str">
        <f>G$12</f>
        <v>Partner 2</v>
      </c>
      <c r="R19" s="75" t="str">
        <f>H$12</f>
        <v>Partner 3</v>
      </c>
      <c r="S19" s="75" t="str">
        <f>I$12</f>
        <v>Partner 4</v>
      </c>
      <c r="T19" s="75" t="str">
        <f>J$12</f>
        <v>Partner 5</v>
      </c>
      <c r="U19" s="8"/>
      <c r="V19" s="8"/>
      <c r="W19" s="8"/>
      <c r="X19" s="8"/>
    </row>
    <row r="20" spans="1:24">
      <c r="A20" s="22"/>
      <c r="B20" s="22"/>
      <c r="C20" s="85"/>
      <c r="D20" s="96" t="str">
        <f>IF(($G$25&lt;0),"Making a loss","Okay")</f>
        <v>Okay</v>
      </c>
      <c r="E20" s="91" t="s">
        <v>68</v>
      </c>
      <c r="F20" s="99">
        <f>P$46</f>
        <v>0</v>
      </c>
      <c r="G20" s="99">
        <f>Q$46</f>
        <v>0</v>
      </c>
      <c r="H20" s="99">
        <f>R$46</f>
        <v>0</v>
      </c>
      <c r="I20" s="104">
        <f>S$46</f>
        <v>0</v>
      </c>
      <c r="J20" s="99">
        <f>T$46</f>
        <v>0</v>
      </c>
      <c r="K20" s="39">
        <f>SUM(F20:J20)</f>
        <v>0</v>
      </c>
      <c r="L20" s="9"/>
      <c r="M20" s="103"/>
      <c r="N20" s="8"/>
      <c r="O20" s="9" t="s">
        <v>52</v>
      </c>
      <c r="P20" s="10">
        <f>IF((F$17&lt;$K$6),0,IF((F$17&lt;100000),(F$17-$K$6),IF((F$17&gt;=100000),F$17)))</f>
        <v>12304</v>
      </c>
      <c r="Q20" s="10">
        <f>IF(($D$12="Sole Trader"),0,IF((G$17&lt;$K$6),0,IF((G$17&lt;100000),(G$17-$K$6),IF((G$17&gt;=100000),G$17))))</f>
        <v>0</v>
      </c>
      <c r="R20" s="10">
        <f>IF(($D$12="Sole Trader"),0,IF((H$17&lt;$K$6),0,IF((H$17&lt;100000),(H$17-$K$6),IF((H$17&gt;=100000),H$17))))</f>
        <v>0</v>
      </c>
      <c r="S20" s="10">
        <f>IF(($D$12="Sole Trader"),0,IF((I$17&lt;$K$6),0,IF((I$17&lt;100000),(I$17-$K$6),IF((I$17&gt;=100000),I$17))))</f>
        <v>0</v>
      </c>
      <c r="T20" s="10">
        <f>IF(($D$12="Sole Trader"),0,IF((J$17&lt;$K$6),0,IF((J$17&lt;100000),(J$17-$K$6),IF((J$17&gt;=100000),J$17))))</f>
        <v>0</v>
      </c>
      <c r="U20" s="10" t="s">
        <v>69</v>
      </c>
      <c r="V20" s="10"/>
      <c r="W20" s="8"/>
      <c r="X20" s="8"/>
    </row>
    <row r="21" spans="1:24">
      <c r="A21" s="22"/>
      <c r="B21" s="22"/>
      <c r="C21" s="105"/>
      <c r="D21" s="96" t="str">
        <f>IF(((($D$16-$J$28)-$D$18)&lt;0),"Illegal Dividend","Okay")</f>
        <v>Okay</v>
      </c>
      <c r="E21" s="79"/>
      <c r="F21" s="22"/>
      <c r="G21" s="106"/>
      <c r="H21" s="82" t="s">
        <v>70</v>
      </c>
      <c r="I21" s="31">
        <v>0.2</v>
      </c>
      <c r="J21" s="25" t="s">
        <v>71</v>
      </c>
      <c r="K21" s="11"/>
      <c r="L21" s="8"/>
      <c r="M21" s="8"/>
      <c r="N21" s="8"/>
      <c r="O21" s="8"/>
      <c r="P21" s="76">
        <f>IF((P$20&lt;$K$8),(P$20*$J$7),IF((P$20&gt;$K$8),0))</f>
        <v>2460.8000000000002</v>
      </c>
      <c r="Q21" s="76">
        <f>IF((Q$20=0),0,IF((Q$20&lt;$K$8),(Q$20*$J$7),IF((Q$20&gt;$K$8),0)))</f>
        <v>0</v>
      </c>
      <c r="R21" s="76">
        <f>IF((R$20=0),0,IF((R$20&lt;$K$8),(R$20*$J$7),IF((R$20&gt;$K$8),0)))</f>
        <v>0</v>
      </c>
      <c r="S21" s="76">
        <f>IF((S$20=0),0,IF((S$20&lt;$K$8),(S$20*$J$7),IF((S$20&gt;$K$8),0)))</f>
        <v>0</v>
      </c>
      <c r="T21" s="76">
        <f>IF((T$20=0),0,IF((T$20&lt;$K$8),(T$20*$J$7),IF((T$20&gt;$K$8),0)))</f>
        <v>0</v>
      </c>
      <c r="U21" s="8"/>
      <c r="V21" s="8"/>
      <c r="W21" s="8"/>
      <c r="X21" s="8"/>
    </row>
    <row r="22" spans="1:24">
      <c r="A22" s="8"/>
      <c r="B22" s="8"/>
      <c r="C22" s="14"/>
      <c r="D22" s="107"/>
      <c r="E22" s="9"/>
      <c r="F22" s="8"/>
      <c r="G22" s="9"/>
      <c r="H22" s="8"/>
      <c r="I22" s="108"/>
      <c r="J22" s="8"/>
      <c r="K22" s="11"/>
      <c r="L22" s="9"/>
      <c r="M22" s="9"/>
      <c r="N22" s="9"/>
      <c r="O22" s="8"/>
      <c r="P22" s="76">
        <f>IF((P$20&lt;$K$8),0,IF((P$20&gt;=$K$9),0,IF((P$20&lt;$K$9),(((P$20-$K$8)*$J$8)+($K$8*$J$7)))))</f>
        <v>0</v>
      </c>
      <c r="Q22" s="76">
        <f>IF((Q$20=0),0,IF((Q$20&lt;$K$8),0,IF((Q$20&gt;=$K$9),0,IF((Q$20&lt;$K$9),(((Q$20-$K$8)*$J$8)+($K$8*$J$7))))))</f>
        <v>0</v>
      </c>
      <c r="R22" s="76">
        <f>IF((R$20=0),0,IF((R$20&lt;$K$8),0,IF((R$20&gt;=$K$9),0,IF((R$20&lt;$K$9),(((R$20-$K$8)*$J$8)+($K$8*$J$7))))))</f>
        <v>0</v>
      </c>
      <c r="S22" s="76">
        <f>IF((S$20=0),0,IF((S$20&lt;$K$8),0,IF((S$20&gt;=$K$9),0,IF((S$20&lt;$K$9),(((S$20-$K$8)*$J$8)+($K$8*$J$7))))))</f>
        <v>0</v>
      </c>
      <c r="T22" s="76">
        <f>IF((T$20=0),0,IF((T$20&lt;$K$8),0,IF((T$20&gt;=$K$9),0,IF((T$20&lt;$K$9),(((T$20-$K$8)*$J$8)+($K$8*$J$7))))))</f>
        <v>0</v>
      </c>
      <c r="U22" s="8"/>
      <c r="V22" s="109"/>
      <c r="W22" s="8"/>
      <c r="X22" s="8"/>
    </row>
    <row r="23" spans="1:24">
      <c r="A23" s="8"/>
      <c r="B23" s="8"/>
      <c r="C23" s="14"/>
      <c r="D23" s="107"/>
      <c r="E23" s="9"/>
      <c r="F23" s="8"/>
      <c r="G23" s="9"/>
      <c r="H23" s="8"/>
      <c r="I23" s="1"/>
      <c r="J23" s="8"/>
      <c r="K23" s="9"/>
      <c r="L23" s="9"/>
      <c r="M23" s="9"/>
      <c r="N23" s="9"/>
      <c r="O23" s="8"/>
      <c r="P23" s="76">
        <f>IF((P$20=0),0,IF((P$20&gt;=$K$9),P$24,0))</f>
        <v>0</v>
      </c>
      <c r="Q23" s="76">
        <f>IF((Q$20=0),0,IF((Q$20&gt;=$K$9),Q$24,0))</f>
        <v>0</v>
      </c>
      <c r="R23" s="76">
        <f>IF((R$20=0),0,IF((R$20&gt;=$K$9),R$24,0))</f>
        <v>0</v>
      </c>
      <c r="S23" s="76">
        <f>IF((S$20=0),0,IF((S$20&gt;=$K$9),S$24,0))</f>
        <v>0</v>
      </c>
      <c r="T23" s="76">
        <f>IF((T$20=0),0,IF((T$20&gt;=$K$9),T$24,0))</f>
        <v>0</v>
      </c>
      <c r="U23" s="8"/>
      <c r="V23" s="8"/>
      <c r="W23" s="8"/>
      <c r="X23" s="8"/>
    </row>
    <row r="24" spans="1:24" ht="15.75" customHeight="1">
      <c r="A24" s="8"/>
      <c r="B24" s="8"/>
      <c r="C24" s="110"/>
      <c r="D24" s="111"/>
      <c r="E24" s="9"/>
      <c r="F24" s="52"/>
      <c r="G24" s="11"/>
      <c r="H24" s="52"/>
      <c r="I24" s="1"/>
      <c r="J24" s="52"/>
      <c r="K24" s="11"/>
      <c r="L24" s="9"/>
      <c r="M24" s="9"/>
      <c r="N24" s="9"/>
      <c r="O24" s="8"/>
      <c r="P24" s="76">
        <f>IF((P$20&gt;$K$9),(((((P$20-$K$9)*$J$9)+(($K$9-$K$8)*$J$8))+($K$8*$J$7))),0)</f>
        <v>0</v>
      </c>
      <c r="Q24" s="76">
        <f>IF((Q$20=0),0,IF((Q$20&gt;$K$9),(((((Q$20-$K$9)*$J$9)+(($K$9-$K$8)*$J$8))+($K$8*$J$7))),0))</f>
        <v>0</v>
      </c>
      <c r="R24" s="76">
        <f>IF((R$20=0),0,IF((R$20&gt;$K$9),(((((R$20-$K$9)*$J$9)+(($K$9-$K$8)*$J$8))+($K$8*$J$7))),0))</f>
        <v>0</v>
      </c>
      <c r="S24" s="76">
        <f>IF((S$20=0),0,IF((S$20&gt;$K$9),(((((S$20-$K$9)*$J$9)+(($K$9-$K$8)*$J$8))+($K$8*$J$7))),0))</f>
        <v>0</v>
      </c>
      <c r="T24" s="76">
        <f>IF((T$20=0),0,IF((T$20&gt;$K$9),(((((T$20-$K$9)*$J$9)+(($K$9-$K$8)*$J$8))+($K$8*$J$7))),0))</f>
        <v>0</v>
      </c>
      <c r="U24" s="8"/>
      <c r="V24" s="8"/>
      <c r="W24" s="8"/>
      <c r="X24" s="8"/>
    </row>
    <row r="25" spans="1:24">
      <c r="A25" s="8"/>
      <c r="B25" s="8"/>
      <c r="C25" s="112">
        <f>IF(($D$12="Partnership"),0,IF(($D$16&lt;=$K$7),0,IF(($D$16&lt;=100000),($D$16-$K$7),IF(($D$16&gt;=100000),$D$16))))</f>
        <v>50560</v>
      </c>
      <c r="D25" s="113"/>
      <c r="E25" s="114"/>
      <c r="F25" s="113"/>
      <c r="G25" s="115">
        <f>($D$16-$K$17)-$H$32</f>
        <v>15542.047999999999</v>
      </c>
      <c r="H25" s="113"/>
      <c r="I25" s="116"/>
      <c r="J25" s="113"/>
      <c r="K25" s="117"/>
      <c r="L25" s="10"/>
      <c r="M25" s="9"/>
      <c r="N25" s="9"/>
      <c r="O25" s="9" t="s">
        <v>56</v>
      </c>
      <c r="P25" s="10">
        <f>IF((F$17&lt;$K$6),0,(F$17-$K$6))</f>
        <v>12304</v>
      </c>
      <c r="Q25" s="10">
        <f>IF(($D$12="Sole Trader"),0,IF((G$17&lt;$K$6),0,((G$17-$K$6))))</f>
        <v>0</v>
      </c>
      <c r="R25" s="10">
        <f>IF(($D$12="Sole Trader"),0,IF((H$17&lt;$K$6),0,((H$17-$K$6))))</f>
        <v>0</v>
      </c>
      <c r="S25" s="10">
        <f>IF(($D$12="Sole Trader"),0,IF((I$17&lt;$K$6),0,((I$17-$K$6))))</f>
        <v>0</v>
      </c>
      <c r="T25" s="10">
        <f>IF(($D$12="Sole Trader"),0,IF((J$17&lt;$K$6),0,((J$17-$K$6))))</f>
        <v>0</v>
      </c>
      <c r="U25" s="8"/>
      <c r="V25" s="8"/>
      <c r="W25" s="8"/>
      <c r="X25" s="8"/>
    </row>
    <row r="26" spans="1:24">
      <c r="A26" s="8"/>
      <c r="B26" s="8"/>
      <c r="C26" s="118"/>
      <c r="D26" s="119" t="s">
        <v>72</v>
      </c>
      <c r="E26" s="114"/>
      <c r="F26" s="119" t="s">
        <v>50</v>
      </c>
      <c r="G26" s="120"/>
      <c r="H26" s="119" t="s">
        <v>73</v>
      </c>
      <c r="I26" s="114"/>
      <c r="J26" s="119" t="s">
        <v>74</v>
      </c>
      <c r="K26" s="121">
        <f>($D$16-($D$14*$K$6))</f>
        <v>52304</v>
      </c>
      <c r="L26" s="10"/>
      <c r="M26" s="9"/>
      <c r="N26" s="9"/>
      <c r="O26" s="9" t="s">
        <v>58</v>
      </c>
      <c r="P26" s="76">
        <f>IF((P$25&lt;$L$5),(P$25*$J$5),IF((P$25&gt;$L$5),"0"))</f>
        <v>1476.48</v>
      </c>
      <c r="Q26" s="76">
        <f>IF(($D$12="Sole Trader"),0,IF((Q$25&lt;$L$5),(Q$25*$J$5),IF((Q$25&gt;$L$5),0)))</f>
        <v>0</v>
      </c>
      <c r="R26" s="76">
        <f>IF(($D$12="Sole Trader"),0,IF((R$25&lt;$L$5),(R$25*$J$5),IF((R$25&gt;$L$5),0)))</f>
        <v>0</v>
      </c>
      <c r="S26" s="76">
        <f>IF(($D$12="Sole Trader"),0,IF((S$25&lt;$L$5),(S$25*$J$5),IF((S$25&gt;$L$5),0)))</f>
        <v>0</v>
      </c>
      <c r="T26" s="76">
        <f>IF(($D$12="Sole Trader"),0,IF((T$25&lt;$L$5),(T$25*$J$5),IF((T$25&gt;$L$5),0)))</f>
        <v>0</v>
      </c>
      <c r="U26" s="8"/>
      <c r="V26" s="8"/>
      <c r="W26" s="8"/>
      <c r="X26" s="8"/>
    </row>
    <row r="27" spans="1:24" ht="18" customHeight="1">
      <c r="A27" s="18" t="s">
        <v>75</v>
      </c>
      <c r="B27" s="8"/>
      <c r="C27" s="118"/>
      <c r="D27" s="122"/>
      <c r="E27" s="123"/>
      <c r="F27" s="122"/>
      <c r="G27" s="120"/>
      <c r="H27" s="122"/>
      <c r="I27" s="116"/>
      <c r="J27" s="124"/>
      <c r="K27" s="117"/>
      <c r="L27" s="125"/>
      <c r="M27" s="9"/>
      <c r="N27" s="9"/>
      <c r="O27" s="8"/>
      <c r="P27" s="76">
        <f>IF((P$25&gt;$L$5),((((P$25-$L$5)*$I$5))+($L$5*$J$5)),0)</f>
        <v>0</v>
      </c>
      <c r="Q27" s="76">
        <f>IF(($D$12="Sole Trader"),0,IF((Q$25&gt;$L$5),((((Q$25-$L$5)*$I$5))+($L$5*$J$5)),0))</f>
        <v>0</v>
      </c>
      <c r="R27" s="76">
        <f>IF(($D$12="Sole Trader"),0,IF((R$25&gt;$L$5),((((R$25-$L$5)*$I$5))+($L$5*$J$5)),0))</f>
        <v>0</v>
      </c>
      <c r="S27" s="76">
        <f>IF(($D$12="Sole Trader"),0,IF((S$25&gt;$L$5),((((S$25-$L$5)*$I$5))+($L$5*$J$5)),0))</f>
        <v>0</v>
      </c>
      <c r="T27" s="76">
        <f>IF(($D$12="Sole Trader"),0,IF((T$25&gt;$L$5),((((T$25-$L$5)*$I$5))+($L$5*$J$5)),0))</f>
        <v>0</v>
      </c>
      <c r="U27" s="8"/>
      <c r="V27" s="8"/>
      <c r="W27" s="8"/>
      <c r="X27" s="8"/>
    </row>
    <row r="28" spans="1:24" ht="18" customHeight="1">
      <c r="A28" s="8" t="s">
        <v>76</v>
      </c>
      <c r="B28" s="8"/>
      <c r="C28" s="118"/>
      <c r="D28" s="126">
        <v>0</v>
      </c>
      <c r="E28" s="127" t="str">
        <f>IF(($C$25&lt;$K$8),($C$25*$J$7),IF(($C$25&gt;$K$8),"0"))</f>
        <v>0</v>
      </c>
      <c r="F28" s="128">
        <v>0</v>
      </c>
      <c r="G28" s="129"/>
      <c r="H28" s="126">
        <f>IF((G$25&lt;$K$3),(G$25*$J$3),IF((G$25&gt;$K$3),(((G$25-$K$3)*$J$4)+($K$3*$J$3))))</f>
        <v>3108.4096</v>
      </c>
      <c r="I28" s="129"/>
      <c r="J28" s="126">
        <f>IF(($K$26&lt;=$K$3),($K$26*$J$3),IF(($K$26&gt;$K$3),((K3*J3)+(($K$26-$K$3)*$J$4))))</f>
        <v>10460.800000000001</v>
      </c>
      <c r="K28" s="121"/>
      <c r="L28" s="125"/>
      <c r="M28" s="10"/>
      <c r="N28" s="9"/>
      <c r="O28" s="8"/>
      <c r="P28" s="130"/>
      <c r="Q28" s="130"/>
      <c r="R28" s="130"/>
      <c r="S28" s="130"/>
      <c r="T28" s="130"/>
      <c r="U28" s="8"/>
      <c r="V28" s="8"/>
      <c r="W28" s="8"/>
      <c r="X28" s="8"/>
    </row>
    <row r="29" spans="1:24" ht="18" customHeight="1">
      <c r="A29" s="8" t="s">
        <v>77</v>
      </c>
      <c r="B29" s="8"/>
      <c r="C29" s="118"/>
      <c r="D29" s="131">
        <f>SUM(E28:E30)</f>
        <v>13821.800000000001</v>
      </c>
      <c r="E29" s="127">
        <f>IF(($C$25&lt;$K$8),"0",IF(($C$25&gt;=$K$9),"0",IF(($C$25&lt;$K$9),((($C$25-$K$8)*$J$8)+($K$8*$J$7)))))</f>
        <v>13821.800000000001</v>
      </c>
      <c r="F29" s="126">
        <f>SUM(P7:T9)</f>
        <v>0</v>
      </c>
      <c r="G29" s="129"/>
      <c r="H29" s="126">
        <f>SUM(P21:T23)</f>
        <v>2460.8000000000002</v>
      </c>
      <c r="I29" s="129"/>
      <c r="J29" s="126">
        <f>$T$47</f>
        <v>0</v>
      </c>
      <c r="K29" s="132"/>
      <c r="L29" s="125"/>
      <c r="M29" s="10"/>
      <c r="N29" s="9"/>
      <c r="O29" s="9" t="s">
        <v>78</v>
      </c>
      <c r="P29" s="93">
        <f>SUM(P21:P23)+SUM(P26:P27)</f>
        <v>3937.28</v>
      </c>
      <c r="Q29" s="93">
        <f>SUM(Q21:Q23)+SUM(Q26:Q27)</f>
        <v>0</v>
      </c>
      <c r="R29" s="93">
        <f>SUM(R21:R23)+SUM(R26:R27)</f>
        <v>0</v>
      </c>
      <c r="S29" s="93">
        <f>SUM(S21:S23)+SUM(S26:S27)</f>
        <v>0</v>
      </c>
      <c r="T29" s="93">
        <f>SUM(T21:T23)+SUM(T26:T27)</f>
        <v>0</v>
      </c>
      <c r="U29" s="8"/>
      <c r="V29" s="8"/>
      <c r="W29" s="8"/>
      <c r="X29" s="8"/>
    </row>
    <row r="30" spans="1:24" ht="18" customHeight="1">
      <c r="A30" s="8"/>
      <c r="B30" s="8"/>
      <c r="C30" s="118"/>
      <c r="D30" s="126"/>
      <c r="E30" s="127" t="b">
        <f>IF(($D$12="Partnership"),0,IF(($D$16&gt;=$K9),($E$31+$E$32)))</f>
        <v>0</v>
      </c>
      <c r="F30" s="126"/>
      <c r="G30" s="114"/>
      <c r="H30" s="126"/>
      <c r="I30" s="114"/>
      <c r="J30" s="126"/>
      <c r="K30" s="132"/>
      <c r="L30" s="10"/>
      <c r="M30" s="10"/>
      <c r="N30" s="9"/>
      <c r="O30" s="8"/>
      <c r="P30" s="133"/>
      <c r="Q30" s="51"/>
      <c r="R30" s="51"/>
      <c r="S30" s="51"/>
      <c r="T30" s="97">
        <f>SUM(P29:T29)</f>
        <v>3937.28</v>
      </c>
      <c r="U30" s="8"/>
      <c r="V30" s="8"/>
      <c r="W30" s="8"/>
      <c r="X30" s="8"/>
    </row>
    <row r="31" spans="1:24" ht="18" customHeight="1">
      <c r="A31" s="18" t="s">
        <v>79</v>
      </c>
      <c r="B31" s="8"/>
      <c r="C31" s="118"/>
      <c r="D31" s="126"/>
      <c r="E31" s="127" t="str">
        <f>IF(($D$12="Partnership"),"0",IF(($C$25&lt;$K$9),"0",(($C$25-$K$9)*$J$9)))</f>
        <v>0</v>
      </c>
      <c r="F31" s="126"/>
      <c r="G31" s="114"/>
      <c r="H31" s="126"/>
      <c r="I31" s="129"/>
      <c r="J31" s="126"/>
      <c r="K31" s="134"/>
      <c r="L31" s="9"/>
      <c r="M31" s="10"/>
      <c r="N31" s="9"/>
      <c r="O31" s="9" t="s">
        <v>80</v>
      </c>
      <c r="P31" s="10">
        <f>P$20-P$29</f>
        <v>8366.7199999999993</v>
      </c>
      <c r="Q31" s="10">
        <f>Q$20-Q$29</f>
        <v>0</v>
      </c>
      <c r="R31" s="10">
        <f>R$20-R$29</f>
        <v>0</v>
      </c>
      <c r="S31" s="10">
        <f>S$20-S$29</f>
        <v>0</v>
      </c>
      <c r="T31" s="10">
        <f>T$20-T$29</f>
        <v>0</v>
      </c>
      <c r="U31" s="8"/>
      <c r="V31" s="8"/>
      <c r="W31" s="8"/>
      <c r="X31" s="8"/>
    </row>
    <row r="32" spans="1:24" ht="18" customHeight="1">
      <c r="A32" s="8" t="s">
        <v>81</v>
      </c>
      <c r="B32" s="8"/>
      <c r="C32" s="112"/>
      <c r="D32" s="126">
        <v>0</v>
      </c>
      <c r="E32" s="127">
        <f>($K$8*$J$7)+(($K$9-$K$8)*$J$8)</f>
        <v>53598.2</v>
      </c>
      <c r="F32" s="126">
        <v>0</v>
      </c>
      <c r="G32" s="129"/>
      <c r="H32" s="126">
        <f>($D$18-($D$14*$K$6))*$J$6</f>
        <v>4457.9520000000002</v>
      </c>
      <c r="I32" s="114"/>
      <c r="J32" s="126">
        <v>0</v>
      </c>
      <c r="K32" s="134"/>
      <c r="L32" s="9"/>
      <c r="M32" s="10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8" customHeight="1">
      <c r="A33" s="8" t="s">
        <v>82</v>
      </c>
      <c r="B33" s="8"/>
      <c r="C33" s="112">
        <f>IF(($D$12="Partnership"),"0",IF(($D$16&lt;=$K$5),0,IF(($D$12="Sole Trader"),($D$16-$K$5))))</f>
        <v>52252</v>
      </c>
      <c r="D33" s="126">
        <f>SUM(E33:E34)</f>
        <v>3403.7599999999998</v>
      </c>
      <c r="E33" s="127" t="str">
        <f>IF((C$33&lt;$L$5),($C$33*$I$7),IF(($C$33&gt;$L$5),"0"))</f>
        <v>0</v>
      </c>
      <c r="F33" s="126">
        <f>SUM(P12:T13)</f>
        <v>0</v>
      </c>
      <c r="G33" s="129"/>
      <c r="H33" s="126">
        <f>SUM(P26:T27)</f>
        <v>1476.48</v>
      </c>
      <c r="I33" s="114"/>
      <c r="J33" s="126">
        <v>0</v>
      </c>
      <c r="K33" s="135"/>
      <c r="L33" s="9"/>
      <c r="M33" s="10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" customHeight="1">
      <c r="A34" s="8"/>
      <c r="B34" s="8"/>
      <c r="C34" s="118"/>
      <c r="D34" s="136"/>
      <c r="E34" s="127">
        <f>IF(($D$12="Partnership"),"0",IF(($C$33&gt;$L$5),(((($C$33-$L$5)*$I$5))+($L$5*$I$7)),"0"))</f>
        <v>3403.7599999999998</v>
      </c>
      <c r="F34" s="136"/>
      <c r="G34" s="129"/>
      <c r="H34" s="136"/>
      <c r="I34" s="124"/>
      <c r="J34" s="136"/>
      <c r="K34" s="135"/>
      <c r="L34" s="9"/>
      <c r="M34" s="9"/>
      <c r="N34" s="9"/>
      <c r="O34" s="8"/>
      <c r="P34" s="181" t="s">
        <v>83</v>
      </c>
      <c r="Q34" s="181"/>
      <c r="R34" s="181"/>
      <c r="S34" s="181"/>
      <c r="T34" s="181"/>
      <c r="U34" s="8"/>
      <c r="V34" s="8"/>
      <c r="W34" s="8"/>
      <c r="X34" s="8"/>
    </row>
    <row r="35" spans="1:24" s="4" customFormat="1" ht="18" customHeight="1">
      <c r="A35" s="77" t="s">
        <v>84</v>
      </c>
      <c r="B35" s="8"/>
      <c r="C35" s="53"/>
      <c r="D35" s="137">
        <f>SUM(D28:D33)</f>
        <v>17225.560000000001</v>
      </c>
      <c r="E35" s="138"/>
      <c r="F35" s="137">
        <f>SUM(F28:F33)</f>
        <v>0</v>
      </c>
      <c r="G35" s="139"/>
      <c r="H35" s="137">
        <f>SUM(H28:H33)</f>
        <v>11503.641599999999</v>
      </c>
      <c r="I35" s="114"/>
      <c r="J35" s="137">
        <f>SUM(J28:J33)</f>
        <v>10460.800000000001</v>
      </c>
      <c r="K35" s="57"/>
      <c r="L35" s="8"/>
      <c r="M35" s="8"/>
      <c r="N35" s="8"/>
      <c r="O35" s="8"/>
      <c r="P35" s="75" t="str">
        <f>F$12</f>
        <v>Partner 1</v>
      </c>
      <c r="Q35" s="75" t="str">
        <f>G$12</f>
        <v>Partner 2</v>
      </c>
      <c r="R35" s="75" t="str">
        <f>H$12</f>
        <v>Partner 3</v>
      </c>
      <c r="S35" s="75" t="str">
        <f>I$12</f>
        <v>Partner 4</v>
      </c>
      <c r="T35" s="75" t="str">
        <f>J$12</f>
        <v>Partner 5</v>
      </c>
      <c r="U35" s="8"/>
      <c r="V35" s="8"/>
      <c r="W35" s="8"/>
      <c r="X35" s="8"/>
    </row>
    <row r="36" spans="1:24" ht="15.75" customHeight="1">
      <c r="A36" s="8"/>
      <c r="B36" s="8"/>
      <c r="C36" s="140"/>
      <c r="D36" s="141"/>
      <c r="E36" s="142"/>
      <c r="F36" s="141"/>
      <c r="G36" s="129"/>
      <c r="H36" s="141"/>
      <c r="I36" s="114"/>
      <c r="J36" s="143"/>
      <c r="K36" s="135"/>
      <c r="L36" s="9"/>
      <c r="M36" s="9"/>
      <c r="N36" s="9"/>
      <c r="O36" s="9" t="s">
        <v>85</v>
      </c>
      <c r="P36" s="144">
        <f>(F$17-$K$6)/0.9</f>
        <v>13671.111111111111</v>
      </c>
      <c r="Q36" s="144">
        <f>IF(($D$12="Sole Trader"),0,((G$17-$K$6)/0.9))</f>
        <v>0</v>
      </c>
      <c r="R36" s="144">
        <f>IF(($D$12="Sole Trader"),0,((H$17-$K$6)/0.9))</f>
        <v>0</v>
      </c>
      <c r="S36" s="144">
        <f>IF(($D$12="Sole Trader"),0,((I$17-$K$6)/0.9))</f>
        <v>0</v>
      </c>
      <c r="T36" s="144">
        <f>IF(($D$12="Sole Trader"),0,((J$17-$K$6)/0.9))</f>
        <v>0</v>
      </c>
      <c r="U36" s="10"/>
      <c r="V36" s="8"/>
      <c r="W36" s="8"/>
      <c r="X36" s="8"/>
    </row>
    <row r="37" spans="1:24" s="6" customFormat="1" ht="22.5" customHeight="1">
      <c r="A37" s="145" t="s">
        <v>86</v>
      </c>
      <c r="B37" s="8"/>
      <c r="C37" s="53"/>
      <c r="D37" s="146">
        <f>IF((C25=0),0,IF((C25&gt;0),($D$16-D35)))</f>
        <v>42774.44</v>
      </c>
      <c r="E37" s="122"/>
      <c r="F37" s="146" t="str">
        <f>IF(($D$12="Sole Trader"),"0",IF((SUM(F15:J15)&gt;0),($D$16-$F$35)))</f>
        <v>0</v>
      </c>
      <c r="G37" s="147"/>
      <c r="H37" s="146">
        <f>$K$17-$T$30</f>
        <v>36062.720000000001</v>
      </c>
      <c r="I37" s="148"/>
      <c r="J37" s="146">
        <f>$D$18-$J$29</f>
        <v>40000</v>
      </c>
      <c r="K37" s="57"/>
      <c r="L37" s="8"/>
      <c r="M37" s="8"/>
      <c r="N37" s="8"/>
      <c r="O37" s="9" t="s">
        <v>87</v>
      </c>
      <c r="P37" s="10">
        <f>-P$36*0.1</f>
        <v>-1367.1111111111113</v>
      </c>
      <c r="Q37" s="10">
        <f>-Q$36*0.1</f>
        <v>0</v>
      </c>
      <c r="R37" s="10">
        <f>-R$36*0.1</f>
        <v>0</v>
      </c>
      <c r="S37" s="10">
        <f>-S$36*0.1</f>
        <v>0</v>
      </c>
      <c r="T37" s="10">
        <f>-T$36*0.1</f>
        <v>0</v>
      </c>
      <c r="U37" s="10"/>
      <c r="V37" s="9"/>
      <c r="W37" s="8"/>
      <c r="X37" s="8"/>
    </row>
    <row r="38" spans="1:24" ht="21" customHeight="1">
      <c r="A38" s="18" t="s">
        <v>88</v>
      </c>
      <c r="B38" s="8"/>
      <c r="C38" s="140"/>
      <c r="D38" s="149">
        <f>IF(($D$12="Partnership"),"0",(($D$16-D$35)-D$37))</f>
        <v>0</v>
      </c>
      <c r="E38" s="123"/>
      <c r="F38" s="149" t="str">
        <f>IF(($D$12="Sole Trader"),"0",(($D$16-F$35)-F$37))</f>
        <v>0</v>
      </c>
      <c r="G38" s="139"/>
      <c r="H38" s="149">
        <f>((($D$16-$H$28)-$H$32)-$K$17)-$V$20</f>
        <v>12433.638400000003</v>
      </c>
      <c r="I38" s="116"/>
      <c r="J38" s="149">
        <f>($D$16-$J$28)-$D$18</f>
        <v>9539.1999999999971</v>
      </c>
      <c r="K38" s="135"/>
      <c r="L38" s="9"/>
      <c r="M38" s="9"/>
      <c r="N38" s="9"/>
      <c r="O38" s="8"/>
      <c r="P38" s="10"/>
      <c r="Q38" s="10"/>
      <c r="R38" s="10"/>
      <c r="S38" s="10"/>
      <c r="T38" s="10"/>
      <c r="U38" s="8"/>
      <c r="V38" s="8"/>
      <c r="W38" s="8"/>
      <c r="X38" s="8"/>
    </row>
    <row r="39" spans="1:24">
      <c r="A39" s="8"/>
      <c r="B39" s="8"/>
      <c r="C39" s="140"/>
      <c r="D39" s="126"/>
      <c r="E39" s="129"/>
      <c r="F39" s="126"/>
      <c r="G39" s="129"/>
      <c r="H39" s="126"/>
      <c r="I39" s="129"/>
      <c r="J39" s="122"/>
      <c r="K39" s="135"/>
      <c r="L39" s="9"/>
      <c r="M39" s="9"/>
      <c r="N39" s="9"/>
      <c r="O39" s="9" t="s">
        <v>89</v>
      </c>
      <c r="P39" s="109">
        <f>($K$8+$L$7)*$I$2</f>
        <v>3375.5</v>
      </c>
      <c r="Q39" s="109">
        <f>IF(($D$12="Sole Trader"),0,(($K$8+$L$7)*$I$2))</f>
        <v>0</v>
      </c>
      <c r="R39" s="109">
        <f>IF(($D$12="Sole Trader"),0,(($K$8+$L$7)*$I$2))</f>
        <v>0</v>
      </c>
      <c r="S39" s="109">
        <f>IF(($D$12="Sole Trader"),0,(($K$8+$L$7)*$I$2))</f>
        <v>0</v>
      </c>
      <c r="T39" s="109">
        <f>IF(($D$12="Sole Trader"),0,(($K$8+$L$7)*$I$2))</f>
        <v>0</v>
      </c>
      <c r="U39" s="10"/>
      <c r="V39" s="8"/>
      <c r="W39" s="8"/>
      <c r="X39" s="8"/>
    </row>
    <row r="40" spans="1:24" ht="18" customHeight="1">
      <c r="A40" s="18" t="s">
        <v>90</v>
      </c>
      <c r="B40" s="8"/>
      <c r="C40" s="140"/>
      <c r="D40" s="150">
        <f>SUM(D37:D38)</f>
        <v>42774.44</v>
      </c>
      <c r="E40" s="139"/>
      <c r="F40" s="150">
        <f>SUM(F37:F38)</f>
        <v>0</v>
      </c>
      <c r="G40" s="139"/>
      <c r="H40" s="150">
        <f>SUM(H37:H38)</f>
        <v>48496.358400000005</v>
      </c>
      <c r="I40" s="139"/>
      <c r="J40" s="150">
        <f>SUM(J37:J38)</f>
        <v>49539.199999999997</v>
      </c>
      <c r="K40" s="135"/>
      <c r="L40" s="9"/>
      <c r="M40" s="9"/>
      <c r="N40" s="9"/>
      <c r="O40" s="13" t="s">
        <v>91</v>
      </c>
      <c r="P40" s="125">
        <f>IF((P$36&lt;$K$8),0,IF((P$36&gt;$K$9),0,IF((P$36&gt;$K$8),(((P$36-$J$2)-$L$7)*$K$2))))</f>
        <v>0</v>
      </c>
      <c r="Q40" s="125">
        <f>IF((Q$36&lt;$K$8),0,IF((Q$36&gt;$K$9),0,IF((Q$36&gt;$K$8),(((Q$36-$J$2)-$L$7)*$K$2))))</f>
        <v>0</v>
      </c>
      <c r="R40" s="125">
        <f>IF((R$36&lt;$K$8),0,IF((R$36&gt;$K$9),0,IF((R$36&gt;$K$8),(((R$36-$J$2)-$L$7)*$K$2))))</f>
        <v>0</v>
      </c>
      <c r="S40" s="125">
        <f>IF((S$36&lt;$K$8),0,IF((S$36&gt;$K$9),0,IF((S$36&gt;$K$8),(((S$36-$J$2)-$L$7)*$K$2))))</f>
        <v>0</v>
      </c>
      <c r="T40" s="125">
        <f>IF((T$36&lt;$K$8),0,IF((T$36&gt;$K$9),0,IF((T$36&gt;$K$8),(((T$36-$J$2)-$L$7)*$K$2))))</f>
        <v>0</v>
      </c>
      <c r="U40" s="10"/>
      <c r="V40" s="8"/>
      <c r="W40" s="8"/>
      <c r="X40" s="8"/>
    </row>
    <row r="41" spans="1:24" ht="18.75" customHeight="1">
      <c r="A41" s="8"/>
      <c r="B41" s="8"/>
      <c r="C41" s="140"/>
      <c r="D41" s="151"/>
      <c r="E41" s="129"/>
      <c r="F41" s="151"/>
      <c r="G41" s="129"/>
      <c r="H41" s="151"/>
      <c r="I41" s="129"/>
      <c r="J41" s="152"/>
      <c r="K41" s="135"/>
      <c r="L41" s="9"/>
      <c r="M41" s="9"/>
      <c r="N41" s="9"/>
      <c r="O41" s="9" t="s">
        <v>92</v>
      </c>
      <c r="P41" s="125">
        <f>IF((P$36&lt;$K$9),0,IF((P$36&gt;$K$9),((P$36-$K$9)*$K$1)))</f>
        <v>0</v>
      </c>
      <c r="Q41" s="125">
        <f>IF(($D$12="Sole Trader"),0,IF((Q$36&lt;$K$9),0,IF((Q$36&gt;$K$9),((Q$36-$K$9)*$K$1))))</f>
        <v>0</v>
      </c>
      <c r="R41" s="125">
        <f>IF(($D$12="Sole Trader"),0,IF((R$36&lt;$K$9),0,IF((R$36&gt;$K$9),((R$36-$K$9)*$K$1))))</f>
        <v>0</v>
      </c>
      <c r="S41" s="125">
        <f>IF(($D$12="Sole Trader"),0,IF((S$36&lt;$K$9),0,IF((S$36&gt;$K$9),((S$36-$K$9)*$K$1))))</f>
        <v>0</v>
      </c>
      <c r="T41" s="125">
        <f>IF(($D$12="Sole Trader"),0,IF((T$36&lt;$K$9),0,IF((T$36&gt;$K$9),((T$36-$K$9)*$K$1))))</f>
        <v>0</v>
      </c>
      <c r="U41" s="10"/>
      <c r="V41" s="8"/>
      <c r="W41" s="8"/>
      <c r="X41" s="8"/>
    </row>
    <row r="42" spans="1:24">
      <c r="A42" s="8"/>
      <c r="B42" s="8"/>
      <c r="C42" s="9"/>
      <c r="D42" s="153"/>
      <c r="E42" s="154"/>
      <c r="F42" s="153"/>
      <c r="G42" s="155"/>
      <c r="H42" s="153"/>
      <c r="I42" s="155"/>
      <c r="J42" s="74"/>
      <c r="K42" s="9"/>
      <c r="L42" s="9"/>
      <c r="M42" s="9"/>
      <c r="N42" s="9"/>
      <c r="O42" s="8"/>
      <c r="P42" s="125">
        <f>IF((P$41&lt;=0),0,IF((P$41&gt;0),((($J$1-$J$2)-$L$7)*$K$2)))</f>
        <v>0</v>
      </c>
      <c r="Q42" s="125">
        <f>IF(($D$12="Sole Trader"),0,IF((Q$41&lt;=0),0,IF((Q$41&gt;0),((($J$1-$J$2)-$L$7)*$K$2))))</f>
        <v>0</v>
      </c>
      <c r="R42" s="125">
        <f>IF(($D$12="Sole Trader"),0,IF((R$41&lt;=0),0,IF((R$41&gt;0),((($J$1-$J$2)-$L$7)*$K$2))))</f>
        <v>0</v>
      </c>
      <c r="S42" s="125">
        <f>IF(($D$12="Sole Trader"),0,IF((S$41&lt;=0),0,IF((S$41&gt;0),((($J$1-$J$2)-$L$7)*$K$2))))</f>
        <v>0</v>
      </c>
      <c r="T42" s="125">
        <f>IF(($D$12="Sole Trader"),0,IF((T$41&lt;=0),0,IF((T$41&gt;0),((($J$1-$J$2)-$L$7)*$K$2))))</f>
        <v>0</v>
      </c>
      <c r="U42" s="10"/>
      <c r="V42" s="8"/>
      <c r="W42" s="8"/>
      <c r="X42" s="8"/>
    </row>
    <row r="43" spans="1:24">
      <c r="A43" s="8"/>
      <c r="B43" s="8"/>
      <c r="C43" s="9"/>
      <c r="D43" s="154"/>
      <c r="E43" s="154"/>
      <c r="F43" s="154"/>
      <c r="G43" s="155"/>
      <c r="H43" s="154"/>
      <c r="I43" s="155"/>
      <c r="J43" s="8"/>
      <c r="K43" s="9"/>
      <c r="L43" s="9"/>
      <c r="M43" s="9"/>
      <c r="N43" s="9"/>
      <c r="O43" s="8"/>
      <c r="P43" s="125"/>
      <c r="Q43" s="125"/>
      <c r="R43" s="125"/>
      <c r="S43" s="125"/>
      <c r="T43" s="125"/>
      <c r="U43" s="10"/>
      <c r="V43" s="8"/>
      <c r="W43" s="8"/>
      <c r="X43" s="8"/>
    </row>
    <row r="44" spans="1:24">
      <c r="A44" s="8"/>
      <c r="B44" s="8"/>
      <c r="C44" s="9"/>
      <c r="D44" s="154"/>
      <c r="E44" s="154"/>
      <c r="F44" s="154"/>
      <c r="G44" s="155"/>
      <c r="H44" s="154"/>
      <c r="I44" s="155"/>
      <c r="J44" s="8"/>
      <c r="K44" s="9"/>
      <c r="L44" s="9"/>
      <c r="M44" s="9"/>
      <c r="N44" s="9"/>
      <c r="O44" s="8"/>
      <c r="P44" s="144"/>
      <c r="Q44" s="144"/>
      <c r="R44" s="144"/>
      <c r="S44" s="144"/>
      <c r="T44" s="144"/>
      <c r="U44" s="10"/>
      <c r="V44" s="8"/>
      <c r="W44" s="8"/>
      <c r="X44" s="8"/>
    </row>
    <row r="45" spans="1:24" ht="21.75" customHeight="1">
      <c r="A45" s="8"/>
      <c r="B45" s="8"/>
      <c r="C45" s="9"/>
      <c r="D45" s="156"/>
      <c r="E45" s="156"/>
      <c r="F45" s="156"/>
      <c r="G45" s="156"/>
      <c r="H45" s="156"/>
      <c r="I45" s="156"/>
      <c r="J45" s="8"/>
      <c r="K45" s="9"/>
      <c r="L45" s="9"/>
      <c r="M45" s="9"/>
      <c r="N45" s="9"/>
      <c r="O45" s="8"/>
      <c r="P45" s="130"/>
      <c r="Q45" s="130"/>
      <c r="R45" s="130"/>
      <c r="S45" s="130"/>
      <c r="T45" s="130"/>
      <c r="U45" s="10"/>
      <c r="V45" s="8"/>
      <c r="W45" s="8"/>
      <c r="X45" s="8"/>
    </row>
    <row r="46" spans="1:24">
      <c r="A46" s="8"/>
      <c r="B46" s="8"/>
      <c r="C46" s="53"/>
      <c r="D46" s="157"/>
      <c r="E46" s="158"/>
      <c r="F46" s="158"/>
      <c r="G46" s="158"/>
      <c r="H46" s="158"/>
      <c r="I46" s="159"/>
      <c r="J46" s="57"/>
      <c r="K46" s="9"/>
      <c r="L46" s="9"/>
      <c r="M46" s="9"/>
      <c r="N46" s="9"/>
      <c r="O46" s="9" t="s">
        <v>93</v>
      </c>
      <c r="P46" s="93">
        <f>IF((P$36&lt;($K$8+$L$7)),0,SUM(P37:P42))</f>
        <v>0</v>
      </c>
      <c r="Q46" s="93">
        <f>IF((Q$36&lt;($K$8+$L$7)),0,SUM(Q37:Q42))</f>
        <v>0</v>
      </c>
      <c r="R46" s="93">
        <f>IF((R$36&lt;($K$8+$L$7)),0,SUM(R37:R42))</f>
        <v>0</v>
      </c>
      <c r="S46" s="93">
        <f>IF((S$36&lt;($K$8+$L$7)),0,SUM(S37:S42))</f>
        <v>0</v>
      </c>
      <c r="T46" s="93">
        <f>IF((T$36&lt;($K$8+$L$7)),0,SUM(T37:T42))</f>
        <v>0</v>
      </c>
      <c r="U46" s="10"/>
      <c r="V46" s="8"/>
      <c r="W46" s="8"/>
      <c r="X46" s="8"/>
    </row>
    <row r="47" spans="1:24" ht="15.75" customHeight="1">
      <c r="A47" s="8"/>
      <c r="B47" s="8"/>
      <c r="C47" s="53"/>
      <c r="D47" s="160"/>
      <c r="E47" s="161" t="s">
        <v>94</v>
      </c>
      <c r="F47" s="162"/>
      <c r="G47" s="163"/>
      <c r="H47" s="162">
        <f>$D$35</f>
        <v>17225.560000000001</v>
      </c>
      <c r="I47" s="164"/>
      <c r="J47" s="57"/>
      <c r="K47" s="9"/>
      <c r="L47" s="9"/>
      <c r="M47" s="9"/>
      <c r="N47" s="9"/>
      <c r="O47" s="8"/>
      <c r="P47" s="97"/>
      <c r="Q47" s="97"/>
      <c r="R47" s="97"/>
      <c r="S47" s="97"/>
      <c r="T47" s="97">
        <f>SUM(P46:T46)</f>
        <v>0</v>
      </c>
      <c r="U47" s="10"/>
      <c r="V47" s="8"/>
      <c r="W47" s="8"/>
      <c r="X47" s="8"/>
    </row>
    <row r="48" spans="1:24" ht="15.75" customHeight="1">
      <c r="A48" s="8"/>
      <c r="B48" s="8"/>
      <c r="C48" s="53"/>
      <c r="D48" s="160"/>
      <c r="E48" s="161" t="s">
        <v>95</v>
      </c>
      <c r="F48" s="162"/>
      <c r="G48" s="163"/>
      <c r="H48" s="162">
        <f>$F$35</f>
        <v>0</v>
      </c>
      <c r="I48" s="164"/>
      <c r="J48" s="57"/>
      <c r="K48" s="8"/>
      <c r="L48" s="8"/>
      <c r="M48" s="9"/>
      <c r="N48" s="9"/>
      <c r="O48" s="9" t="s">
        <v>80</v>
      </c>
      <c r="P48" s="10">
        <f>P$36-P$46</f>
        <v>13671.111111111111</v>
      </c>
      <c r="Q48" s="10">
        <f>Q$36-Q$46</f>
        <v>0</v>
      </c>
      <c r="R48" s="10">
        <f>R$36-R$46</f>
        <v>0</v>
      </c>
      <c r="S48" s="10">
        <f>S$36-S$46</f>
        <v>0</v>
      </c>
      <c r="T48" s="10">
        <f>T$36-T$46</f>
        <v>0</v>
      </c>
      <c r="U48" s="8"/>
      <c r="V48" s="8"/>
      <c r="W48" s="8"/>
      <c r="X48" s="8"/>
    </row>
    <row r="49" spans="1:24" ht="15.75" customHeight="1">
      <c r="A49" s="8"/>
      <c r="B49" s="8"/>
      <c r="C49" s="53"/>
      <c r="D49" s="160"/>
      <c r="E49" s="161" t="s">
        <v>96</v>
      </c>
      <c r="F49" s="162"/>
      <c r="G49" s="163"/>
      <c r="H49" s="162">
        <f>$H$35</f>
        <v>11503.641599999999</v>
      </c>
      <c r="I49" s="164"/>
      <c r="J49" s="57"/>
      <c r="K49" s="8"/>
      <c r="L49" s="8"/>
      <c r="M49" s="9"/>
      <c r="N49" s="9"/>
      <c r="O49" s="8"/>
      <c r="P49" s="10"/>
      <c r="Q49" s="10"/>
      <c r="R49" s="10"/>
      <c r="S49" s="10"/>
      <c r="T49" s="10"/>
      <c r="U49" s="8"/>
      <c r="V49" s="8"/>
      <c r="W49" s="8"/>
      <c r="X49" s="8"/>
    </row>
    <row r="50" spans="1:24" ht="15.75" customHeight="1">
      <c r="A50" s="8"/>
      <c r="B50" s="8"/>
      <c r="C50" s="53"/>
      <c r="D50" s="160"/>
      <c r="E50" s="161" t="s">
        <v>97</v>
      </c>
      <c r="F50" s="162"/>
      <c r="G50" s="162"/>
      <c r="H50" s="162">
        <f>$J$35</f>
        <v>10460.800000000001</v>
      </c>
      <c r="I50" s="164"/>
      <c r="J50" s="57"/>
      <c r="K50" s="8"/>
      <c r="L50" s="8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8"/>
      <c r="B51" s="8"/>
      <c r="C51" s="53"/>
      <c r="D51" s="160"/>
      <c r="E51" s="162"/>
      <c r="F51" s="162"/>
      <c r="G51" s="162"/>
      <c r="H51" s="165"/>
      <c r="I51" s="164"/>
      <c r="J51" s="57"/>
      <c r="K51" s="8"/>
      <c r="L51" s="8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6.5" customHeight="1">
      <c r="A52" s="8"/>
      <c r="B52" s="8"/>
      <c r="C52" s="53"/>
      <c r="D52" s="160"/>
      <c r="E52" s="166" t="s">
        <v>98</v>
      </c>
      <c r="F52" s="167"/>
      <c r="G52" s="167"/>
      <c r="H52" s="168">
        <f>(H47+H48)-H50</f>
        <v>6764.76</v>
      </c>
      <c r="I52" s="169"/>
      <c r="J52" s="5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6.5" customHeight="1">
      <c r="A53" s="8"/>
      <c r="B53" s="8"/>
      <c r="C53" s="53"/>
      <c r="D53" s="160"/>
      <c r="E53" s="166"/>
      <c r="F53" s="167"/>
      <c r="G53" s="167"/>
      <c r="H53" s="168"/>
      <c r="I53" s="169"/>
      <c r="J53" s="5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6.5" customHeight="1">
      <c r="A54" s="8"/>
      <c r="B54" s="8"/>
      <c r="C54" s="53"/>
      <c r="D54" s="160"/>
      <c r="E54" s="166" t="s">
        <v>99</v>
      </c>
      <c r="F54" s="162"/>
      <c r="G54" s="162"/>
      <c r="H54" s="168">
        <f>$H$52*$I$21</f>
        <v>1352.9520000000002</v>
      </c>
      <c r="I54" s="169"/>
      <c r="J54" s="5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6.5" customHeight="1">
      <c r="A55" s="8"/>
      <c r="B55" s="8"/>
      <c r="C55" s="53"/>
      <c r="D55" s="160"/>
      <c r="E55" s="166"/>
      <c r="F55" s="162"/>
      <c r="G55" s="162"/>
      <c r="H55" s="170"/>
      <c r="I55" s="169"/>
      <c r="J55" s="5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8"/>
      <c r="B56" s="8"/>
      <c r="C56" s="53"/>
      <c r="D56" s="171"/>
      <c r="E56" s="172"/>
      <c r="F56" s="172"/>
      <c r="G56" s="172"/>
      <c r="H56" s="172"/>
      <c r="I56" s="173"/>
      <c r="J56" s="5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8"/>
      <c r="B57" s="8"/>
      <c r="C57" s="11"/>
      <c r="D57" s="174"/>
      <c r="E57" s="174"/>
      <c r="F57" s="174"/>
      <c r="G57" s="174"/>
      <c r="H57" s="174"/>
      <c r="I57" s="7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>
      <c r="A58" s="8"/>
      <c r="B58" s="8"/>
      <c r="C58" s="11"/>
      <c r="D58" s="11"/>
      <c r="E58" s="11"/>
      <c r="F58" s="11"/>
      <c r="G58" s="11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>
      <c r="A59" s="8"/>
      <c r="B59" s="8"/>
      <c r="C59" s="11"/>
      <c r="D59" s="11" t="s">
        <v>100</v>
      </c>
      <c r="E59" s="11" t="s">
        <v>101</v>
      </c>
      <c r="F59" s="11" t="s">
        <v>102</v>
      </c>
      <c r="G59" s="11" t="s">
        <v>103</v>
      </c>
      <c r="H59" s="1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8"/>
      <c r="B60" s="8"/>
      <c r="C60" s="11"/>
      <c r="D60" s="175">
        <f>H47</f>
        <v>17225.560000000001</v>
      </c>
      <c r="E60" s="175">
        <f>H48</f>
        <v>0</v>
      </c>
      <c r="F60" s="175">
        <f>H49</f>
        <v>11503.641599999999</v>
      </c>
      <c r="G60" s="175">
        <f>H50</f>
        <v>10460.800000000001</v>
      </c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>
      <c r="A61" s="8"/>
      <c r="B61" s="8"/>
      <c r="C61" s="11"/>
      <c r="D61" s="11"/>
      <c r="E61" s="11"/>
      <c r="F61" s="11"/>
      <c r="G61" s="11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>
      <c r="A62" s="8"/>
      <c r="B62" s="8"/>
      <c r="C62" s="11"/>
      <c r="D62" s="11" t="s">
        <v>104</v>
      </c>
      <c r="E62" s="11" t="s">
        <v>41</v>
      </c>
      <c r="F62" s="11"/>
      <c r="G62" s="11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>
      <c r="A63" s="8"/>
      <c r="B63" s="8"/>
      <c r="C63" s="11"/>
      <c r="D63" s="175">
        <f>H52</f>
        <v>6764.76</v>
      </c>
      <c r="E63" s="175">
        <f>H54</f>
        <v>1352.9520000000002</v>
      </c>
      <c r="F63" s="11"/>
      <c r="G63" s="11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>
      <c r="A64" s="8"/>
      <c r="B64" s="8"/>
      <c r="C64" s="11"/>
      <c r="D64" s="11"/>
      <c r="E64" s="11"/>
      <c r="F64" s="11"/>
      <c r="G64" s="11"/>
      <c r="H64" s="1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5:22">
      <c r="O65" s="9"/>
      <c r="P65" s="9"/>
      <c r="Q65" s="9"/>
      <c r="R65" s="9"/>
      <c r="S65" s="9"/>
      <c r="T65" s="9"/>
      <c r="U65" s="9"/>
      <c r="V65" s="9"/>
    </row>
    <row r="66" spans="15:22">
      <c r="O66" s="9"/>
      <c r="P66" s="9"/>
      <c r="Q66" s="9"/>
      <c r="R66" s="9"/>
      <c r="S66" s="9"/>
      <c r="T66" s="9"/>
      <c r="U66" s="9"/>
      <c r="V66" s="9"/>
    </row>
    <row r="67" spans="15:22">
      <c r="O67" s="9"/>
      <c r="P67" s="9"/>
      <c r="Q67" s="9"/>
      <c r="R67" s="9"/>
      <c r="S67" s="9"/>
      <c r="T67" s="9"/>
      <c r="U67" s="9"/>
      <c r="V67" s="9"/>
    </row>
    <row r="68" spans="15:22">
      <c r="O68" s="9"/>
      <c r="P68" s="9"/>
      <c r="Q68" s="9"/>
      <c r="R68" s="9"/>
      <c r="S68" s="9"/>
      <c r="T68" s="9"/>
      <c r="U68" s="9"/>
      <c r="V68" s="9"/>
    </row>
    <row r="69" spans="15:22">
      <c r="O69" s="9"/>
      <c r="P69" s="9"/>
      <c r="Q69" s="9"/>
      <c r="R69" s="9"/>
      <c r="S69" s="9"/>
      <c r="T69" s="9"/>
      <c r="U69" s="9"/>
      <c r="V69" s="9"/>
    </row>
    <row r="70" spans="15:22">
      <c r="O70" s="9"/>
      <c r="P70" s="9"/>
      <c r="Q70" s="9"/>
      <c r="R70" s="9"/>
      <c r="S70" s="9"/>
      <c r="T70" s="9"/>
      <c r="U70" s="9"/>
      <c r="V70" s="9"/>
    </row>
    <row r="71" spans="15:22">
      <c r="O71" s="9"/>
      <c r="P71" s="9"/>
      <c r="Q71" s="9"/>
      <c r="R71" s="9"/>
      <c r="S71" s="9"/>
      <c r="T71" s="9"/>
      <c r="U71" s="9"/>
      <c r="V71" s="9"/>
    </row>
    <row r="72" spans="15:22">
      <c r="O72" s="9"/>
      <c r="P72" s="9"/>
      <c r="Q72" s="9"/>
      <c r="R72" s="9"/>
      <c r="S72" s="9"/>
      <c r="T72" s="9"/>
      <c r="U72" s="9"/>
      <c r="V72" s="9"/>
    </row>
    <row r="73" spans="15:22">
      <c r="O73" s="9"/>
      <c r="P73" s="9"/>
      <c r="Q73" s="9"/>
      <c r="R73" s="9"/>
      <c r="S73" s="9"/>
      <c r="T73" s="9"/>
      <c r="U73" s="9"/>
      <c r="V73" s="9"/>
    </row>
    <row r="74" spans="15:22">
      <c r="O74" s="9"/>
      <c r="P74" s="9"/>
      <c r="Q74" s="9"/>
      <c r="R74" s="9"/>
      <c r="S74" s="9"/>
      <c r="T74" s="9"/>
      <c r="U74" s="9"/>
      <c r="V74" s="9"/>
    </row>
    <row r="75" spans="15:22">
      <c r="O75" s="9"/>
      <c r="P75" s="9"/>
      <c r="Q75" s="9"/>
      <c r="R75" s="9"/>
      <c r="S75" s="9"/>
      <c r="T75" s="9"/>
      <c r="U75" s="9"/>
      <c r="V75" s="9"/>
    </row>
    <row r="76" spans="15:22">
      <c r="O76" s="9"/>
      <c r="P76" s="9"/>
      <c r="Q76" s="9"/>
      <c r="R76" s="9"/>
      <c r="S76" s="9"/>
      <c r="T76" s="9"/>
      <c r="U76" s="9"/>
      <c r="V76" s="9"/>
    </row>
    <row r="77" spans="15:22">
      <c r="O77" s="9"/>
      <c r="P77" s="9"/>
      <c r="Q77" s="9"/>
      <c r="R77" s="9"/>
      <c r="S77" s="9"/>
      <c r="T77" s="9"/>
      <c r="U77" s="9"/>
      <c r="V77" s="9"/>
    </row>
    <row r="78" spans="15:22">
      <c r="O78" s="9"/>
      <c r="P78" s="9"/>
      <c r="Q78" s="9"/>
      <c r="R78" s="9"/>
      <c r="S78" s="9"/>
      <c r="T78" s="9"/>
      <c r="U78" s="9"/>
      <c r="V78" s="9"/>
    </row>
    <row r="79" spans="15:22">
      <c r="O79" s="9"/>
      <c r="P79" s="9"/>
      <c r="Q79" s="9"/>
      <c r="R79" s="9"/>
      <c r="S79" s="9"/>
      <c r="T79" s="9"/>
      <c r="U79" s="9"/>
      <c r="V79" s="9"/>
    </row>
    <row r="80" spans="15:22">
      <c r="O80" s="9"/>
      <c r="P80" s="9"/>
      <c r="Q80" s="9"/>
      <c r="R80" s="9"/>
      <c r="S80" s="9"/>
      <c r="T80" s="9"/>
      <c r="U80" s="9"/>
      <c r="V80" s="9"/>
    </row>
    <row r="81" spans="15:22">
      <c r="O81" s="9"/>
      <c r="P81" s="9"/>
      <c r="Q81" s="9"/>
      <c r="R81" s="9"/>
      <c r="S81" s="9"/>
      <c r="T81" s="9"/>
      <c r="U81" s="9"/>
      <c r="V81" s="9"/>
    </row>
  </sheetData>
  <mergeCells count="3">
    <mergeCell ref="P4:T4"/>
    <mergeCell ref="P18:T18"/>
    <mergeCell ref="P34:T34"/>
  </mergeCells>
  <conditionalFormatting sqref="D20">
    <cfRule type="containsText" dxfId="15" priority="1" stopIfTrue="1" operator="containsText" text="Okay">
      <formula>NOT(ISERROR(SEARCH("Okay", D20)))</formula>
    </cfRule>
    <cfRule type="containsText" dxfId="14" priority="2" stopIfTrue="1" operator="containsText" text="Making a loss">
      <formula>NOT(ISERROR(SEARCH("Making a loss", D20)))</formula>
    </cfRule>
  </conditionalFormatting>
  <conditionalFormatting sqref="K15">
    <cfRule type="containsText" dxfId="13" priority="3" stopIfTrue="1" operator="containsText" text="ERROR">
      <formula>NOT(ISERROR(SEARCH("ERROR", K15)))</formula>
    </cfRule>
  </conditionalFormatting>
  <conditionalFormatting sqref="K14">
    <cfRule type="containsText" dxfId="12" priority="4" stopIfTrue="1" operator="containsText" text="Error">
      <formula>NOT(ISERROR(SEARCH("Error", K14)))</formula>
    </cfRule>
    <cfRule type="containsText" dxfId="11" priority="4" stopIfTrue="1" operator="containsText" text="ERROR">
      <formula>NOT(ISERROR(SEARCH("ERROR", K14)))</formula>
    </cfRule>
  </conditionalFormatting>
  <conditionalFormatting sqref="D21">
    <cfRule type="containsText" dxfId="10" priority="5" stopIfTrue="1" operator="containsText" text="Illegal Dividend">
      <formula>NOT(ISERROR(SEARCH("Illegal Dividend", D21)))</formula>
    </cfRule>
    <cfRule type="containsText" dxfId="9" priority="5" stopIfTrue="1" operator="containsText" text="Okay">
      <formula>NOT(ISERROR(SEARCH("Okay", D21)))</formula>
    </cfRule>
    <cfRule type="containsText" dxfId="8" priority="5" stopIfTrue="1" operator="containsText" text="Making a loss">
      <formula>NOT(ISERROR(SEARCH("Making a loss", D21)))</formula>
    </cfRule>
  </conditionalFormatting>
  <dataValidations count="2">
    <dataValidation type="list" allowBlank="1" showErrorMessage="1" sqref="D12">
      <formula1>M4:M5</formula1>
    </dataValidation>
    <dataValidation type="list" allowBlank="1" showInputMessage="1" showErrorMessage="1" prompt="If Sole Trader, select 1" sqref="D14">
      <formula1>N1:N5</formula1>
    </dataValidation>
  </dataValidations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81"/>
  <sheetViews>
    <sheetView tabSelected="1" topLeftCell="M1" workbookViewId="0">
      <pane ySplit="9" topLeftCell="A22" activePane="bottomLeft" state="frozen"/>
      <selection pane="bottomLeft" activeCell="P4" sqref="P4:T4"/>
    </sheetView>
  </sheetViews>
  <sheetFormatPr defaultColWidth="10.140625" defaultRowHeight="15" customHeight="1"/>
  <cols>
    <col min="3" max="3" width="14" customWidth="1"/>
    <col min="4" max="4" width="22.7109375" customWidth="1"/>
    <col min="5" max="5" width="26.5703125" customWidth="1"/>
    <col min="6" max="10" width="22.7109375" customWidth="1"/>
    <col min="11" max="11" width="13.7109375" customWidth="1"/>
    <col min="12" max="12" width="11.85546875" customWidth="1"/>
    <col min="13" max="13" width="16.140625" customWidth="1"/>
    <col min="14" max="14" width="10.140625" customWidth="1"/>
    <col min="15" max="15" width="25.42578125" style="4" customWidth="1"/>
    <col min="16" max="20" width="17.42578125" style="4" customWidth="1"/>
    <col min="21" max="21" width="10.140625" style="4" customWidth="1"/>
    <col min="22" max="22" width="10.7109375" style="4" customWidth="1"/>
    <col min="23" max="23" width="10.140625" customWidth="1"/>
  </cols>
  <sheetData>
    <row r="1" spans="1:24">
      <c r="A1" s="8"/>
      <c r="B1" s="8"/>
      <c r="C1" s="8"/>
      <c r="D1" s="8"/>
      <c r="E1" s="9"/>
      <c r="F1" s="9" t="s">
        <v>105</v>
      </c>
      <c r="G1" s="9" t="s">
        <v>1</v>
      </c>
      <c r="H1" s="9"/>
      <c r="I1" s="9"/>
      <c r="J1" s="10">
        <v>150000</v>
      </c>
      <c r="K1" s="2">
        <v>0.375</v>
      </c>
      <c r="L1" s="9"/>
      <c r="M1" s="9" t="s">
        <v>2</v>
      </c>
      <c r="N1" s="9">
        <v>1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8"/>
      <c r="B2" s="8"/>
      <c r="C2" s="8"/>
      <c r="D2" s="8"/>
      <c r="E2" s="9"/>
      <c r="F2" s="9"/>
      <c r="G2" s="9" t="s">
        <v>3</v>
      </c>
      <c r="H2" s="9"/>
      <c r="I2" s="13">
        <v>0.1</v>
      </c>
      <c r="J2" s="10">
        <v>31865</v>
      </c>
      <c r="K2" s="12">
        <v>0.32500000000000001</v>
      </c>
      <c r="L2" s="9"/>
      <c r="M2" s="9" t="s">
        <v>4</v>
      </c>
      <c r="N2" s="9">
        <v>2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>
      <c r="A3" s="8"/>
      <c r="B3" s="8"/>
      <c r="C3" s="8"/>
      <c r="D3" s="8"/>
      <c r="E3" s="9"/>
      <c r="F3" s="9"/>
      <c r="G3" s="9" t="s">
        <v>5</v>
      </c>
      <c r="H3" s="9"/>
      <c r="I3" s="9"/>
      <c r="J3" s="13">
        <v>0.2</v>
      </c>
      <c r="K3" s="10">
        <v>300000</v>
      </c>
      <c r="L3" s="9"/>
      <c r="M3" s="9"/>
      <c r="N3" s="9">
        <v>3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>
      <c r="A4" s="8"/>
      <c r="B4" s="8"/>
      <c r="C4" s="8"/>
      <c r="D4" s="8"/>
      <c r="E4" s="9"/>
      <c r="F4" s="9"/>
      <c r="G4" s="5" t="s">
        <v>6</v>
      </c>
      <c r="H4" s="9"/>
      <c r="I4" s="9"/>
      <c r="J4" s="13">
        <v>0.21</v>
      </c>
      <c r="K4" s="14" t="s">
        <v>7</v>
      </c>
      <c r="L4" s="9"/>
      <c r="M4" s="9" t="s">
        <v>47</v>
      </c>
      <c r="N4" s="9">
        <v>4</v>
      </c>
      <c r="O4" s="9"/>
      <c r="P4" s="181" t="s">
        <v>48</v>
      </c>
      <c r="Q4" s="181"/>
      <c r="R4" s="181"/>
      <c r="S4" s="181"/>
      <c r="T4" s="181"/>
      <c r="U4" s="9"/>
      <c r="V4" s="9"/>
      <c r="W4" s="9"/>
      <c r="X4" s="9"/>
    </row>
    <row r="5" spans="1:24">
      <c r="A5" s="8"/>
      <c r="B5" s="8"/>
      <c r="C5" s="8"/>
      <c r="D5" s="8"/>
      <c r="E5" s="9"/>
      <c r="F5" s="9"/>
      <c r="G5" s="9" t="s">
        <v>49</v>
      </c>
      <c r="H5" s="9"/>
      <c r="I5" s="13">
        <v>0.02</v>
      </c>
      <c r="J5" s="13">
        <v>0.12</v>
      </c>
      <c r="K5" s="10">
        <f>153*52</f>
        <v>7956</v>
      </c>
      <c r="L5" s="10">
        <f>(805*52)-$K$5</f>
        <v>33904</v>
      </c>
      <c r="M5" s="9" t="s">
        <v>50</v>
      </c>
      <c r="N5" s="9">
        <v>5</v>
      </c>
      <c r="O5" s="9"/>
      <c r="P5" s="75" t="str">
        <f>F$12</f>
        <v>Partner 1</v>
      </c>
      <c r="Q5" s="75" t="str">
        <f>G$12</f>
        <v>Partner 2</v>
      </c>
      <c r="R5" s="75" t="str">
        <f>H$12</f>
        <v>Partner 3</v>
      </c>
      <c r="S5" s="75" t="str">
        <f>I$12</f>
        <v>Partner 4</v>
      </c>
      <c r="T5" s="75" t="str">
        <f>J$12</f>
        <v>Partner 5</v>
      </c>
      <c r="U5" s="9"/>
      <c r="V5" s="9"/>
      <c r="W5" s="9"/>
      <c r="X5" s="9"/>
    </row>
    <row r="6" spans="1:24">
      <c r="A6" s="8"/>
      <c r="B6" s="8"/>
      <c r="C6" s="8"/>
      <c r="D6" s="8"/>
      <c r="E6" s="9"/>
      <c r="F6" s="9"/>
      <c r="G6" s="9" t="s">
        <v>51</v>
      </c>
      <c r="H6" s="9"/>
      <c r="I6" s="9"/>
      <c r="J6" s="12">
        <v>0.13800000000000001</v>
      </c>
      <c r="K6" s="10">
        <v>7956</v>
      </c>
      <c r="L6" s="9"/>
      <c r="M6" s="9"/>
      <c r="N6" s="9"/>
      <c r="O6" s="9" t="s">
        <v>52</v>
      </c>
      <c r="P6" s="10">
        <f>IF((F$15=0),0,IF((F$15&lt;100000),(F$15-$K$7),IF((F$15&lt;=118880),((F$15-$K$7)+(($F$15-100000)/2)),$F$15)))</f>
        <v>10000</v>
      </c>
      <c r="Q6" s="10">
        <f>IF(($D$12="Sole Trader"),0,IF((G$15=0),0,IF((G$15&lt;100000),(G$15-$K$7),IF((G$15&lt;=118880),((G$15-$K$7)+(($G$15-100000)/2)),$G$15))))</f>
        <v>0</v>
      </c>
      <c r="R6" s="10">
        <f>IF(($D$12="Sole Trader"),0,IF((H$15=0),0,IF((H$15&lt;100000),(H$15-$K$7),IF((H$15&lt;=118880),((H$15-$K$7)+(($H$15-100000)/2)),$H$15))))</f>
        <v>0</v>
      </c>
      <c r="S6" s="10">
        <f>IF(($D$12="Sole Trader"),0,IF((I$15=0),0,IF((I$15&lt;100000),(I$15-$K$7),IF((I$15&lt;=118880),((I$15-$K$7)+(($I$15-100000)/2)),$I$15))))</f>
        <v>0</v>
      </c>
      <c r="T6" s="10">
        <f>IF(($D$12="Sole Trader"),0,IF((J$15=0),0,IF((J$15&lt;100000),(J$15-$K$7),IF((J$15&lt;=118880),((J$15-$K$7)+(($J$15-100000)/2)),$J$15))))</f>
        <v>0</v>
      </c>
      <c r="U6" s="9"/>
      <c r="V6" s="9"/>
      <c r="W6" s="9"/>
      <c r="X6" s="9"/>
    </row>
    <row r="7" spans="1:24">
      <c r="A7" s="8"/>
      <c r="B7" s="8"/>
      <c r="C7" s="8"/>
      <c r="D7" s="8"/>
      <c r="E7" s="9"/>
      <c r="F7" s="9"/>
      <c r="G7" s="9" t="s">
        <v>53</v>
      </c>
      <c r="H7" s="9"/>
      <c r="I7" s="13">
        <v>0.09</v>
      </c>
      <c r="J7" s="13">
        <v>0.2</v>
      </c>
      <c r="K7" s="10">
        <v>10000</v>
      </c>
      <c r="L7" s="10">
        <f>K7-K6</f>
        <v>2044</v>
      </c>
      <c r="M7" s="9"/>
      <c r="N7" s="13"/>
      <c r="O7" s="9" t="s">
        <v>54</v>
      </c>
      <c r="P7" s="76">
        <f>IF((P$6&lt;$K$8),(P$6*$J$7),0)</f>
        <v>2000</v>
      </c>
      <c r="Q7" s="76">
        <f>IF((Q$6&lt;$K$8),(Q$6*$J$7),"0")</f>
        <v>0</v>
      </c>
      <c r="R7" s="76">
        <f>IF((R$6&lt;$K$8),(R$6*$J$7),"0")</f>
        <v>0</v>
      </c>
      <c r="S7" s="76">
        <f>IF((S$6&lt;$K$8),(S$6*$J$7),"0")</f>
        <v>0</v>
      </c>
      <c r="T7" s="76">
        <f>IF((T$6&lt;$K$8),(T$6*$J$7),"0")</f>
        <v>0</v>
      </c>
      <c r="U7" s="9"/>
      <c r="V7" s="9"/>
      <c r="W7" s="9"/>
      <c r="X7" s="9"/>
    </row>
    <row r="8" spans="1:24">
      <c r="A8" s="8"/>
      <c r="B8" s="8"/>
      <c r="C8" s="8"/>
      <c r="D8" s="8"/>
      <c r="E8" s="77"/>
      <c r="F8" s="3"/>
      <c r="G8" s="9"/>
      <c r="H8" s="9"/>
      <c r="I8" s="9"/>
      <c r="J8" s="13">
        <v>0.4</v>
      </c>
      <c r="K8" s="10">
        <v>31866</v>
      </c>
      <c r="L8" s="9"/>
      <c r="M8" s="9"/>
      <c r="N8" s="9"/>
      <c r="O8" s="9"/>
      <c r="P8" s="76">
        <f>IF((P$6&lt;$K$8),0,IF((P$6&gt;=$K$9),0,IF((P$6&lt;$K$9),(((P$6-$K$8)*$J$8)+($K$8*$J$7)))))</f>
        <v>0</v>
      </c>
      <c r="Q8" s="76">
        <f>IF((Q$6&lt;$K$8),0,IF((Q$6&gt;=$K$9),0,IF((Q$6&lt;$K$9),(((Q$6-$K$8)*$J$8)+($K$8*$J$7)))))</f>
        <v>0</v>
      </c>
      <c r="R8" s="76">
        <f>IF((R$6&lt;$K$8),0,IF((R$6&gt;=$K$9),0,IF((R$6&lt;$K$9),(((R$6-$K$8)*$J$8)+($K$8*$J$7)))))</f>
        <v>0</v>
      </c>
      <c r="S8" s="76">
        <f>IF((S$6&lt;$K$8),0,IF((S$6&gt;=$K$9),0,IF((S$6&lt;$K$9),(((S$6-$K$8)*$J$8)+($K$8*$J$7)))))</f>
        <v>0</v>
      </c>
      <c r="T8" s="76">
        <f>IF((T$6&lt;$K$8),0,IF((T$6&gt;=$K$9),0,IF((T$6&lt;$K$9),(((T$6-$K$8)*$J$8)+($K$8*$J$7)))))</f>
        <v>0</v>
      </c>
      <c r="U8" s="9"/>
      <c r="V8" s="9"/>
      <c r="W8" s="9"/>
      <c r="X8" s="9"/>
    </row>
    <row r="9" spans="1:24" s="7" customFormat="1">
      <c r="A9" s="8"/>
      <c r="B9" s="8"/>
      <c r="C9" s="8"/>
      <c r="D9" s="8"/>
      <c r="E9" s="77"/>
      <c r="F9" s="3"/>
      <c r="G9" s="9"/>
      <c r="H9" s="9"/>
      <c r="I9" s="9"/>
      <c r="J9" s="13">
        <v>0.45</v>
      </c>
      <c r="K9" s="10">
        <v>150001</v>
      </c>
      <c r="L9" s="9"/>
      <c r="M9" s="9"/>
      <c r="N9" s="9"/>
      <c r="O9" s="9"/>
      <c r="P9" s="76">
        <f>IF((P$6=0),0,IF((P$6&gt;=$K$9),P$10,0))</f>
        <v>0</v>
      </c>
      <c r="Q9" s="76">
        <f>IF((Q$6=0),0,IF((Q$6&gt;=$K$9),Q$10,0))</f>
        <v>0</v>
      </c>
      <c r="R9" s="76">
        <f>IF((R$6=0),0,IF((R$6&gt;=$K$9),R$10,0))</f>
        <v>0</v>
      </c>
      <c r="S9" s="76">
        <f>IF((S$6=0),0,IF((S$6&gt;=$K$9),S$10,0))</f>
        <v>0</v>
      </c>
      <c r="T9" s="76">
        <f>IF((T$6=0),0,IF((T$6&gt;=$K$9),T$10,0))</f>
        <v>0</v>
      </c>
      <c r="U9" s="9"/>
      <c r="V9" s="9"/>
      <c r="W9" s="9"/>
      <c r="X9" s="9"/>
    </row>
    <row r="10" spans="1:24">
      <c r="A10" s="17" t="s">
        <v>10</v>
      </c>
      <c r="B10" s="17"/>
      <c r="C10" s="35"/>
      <c r="D10" s="35"/>
      <c r="E10" s="22"/>
      <c r="F10" s="78"/>
      <c r="G10" s="79"/>
      <c r="H10" s="79"/>
      <c r="I10" s="79"/>
      <c r="J10" s="22"/>
      <c r="K10" s="8"/>
      <c r="L10" s="9"/>
      <c r="M10" s="9"/>
      <c r="N10" s="9"/>
      <c r="O10" s="8"/>
      <c r="P10" s="76">
        <f>IF(($D$12="Sole Trader"),0,IF((P$6&gt;$K$9),(((((P$6-$K$9)*$J$9)+(($K$9-$K$8)*$J$8))+($K$8*$J$7))),0))</f>
        <v>0</v>
      </c>
      <c r="Q10" s="76">
        <f>IF(($D$12="Sole Trader"),0,IF((Q$6&gt;$K$9),(((((Q$6-$K$9)*$J$9)+(($K$9-$K$8)*$J$8))+($K$8*$J$7))),0))</f>
        <v>0</v>
      </c>
      <c r="R10" s="76">
        <f>IF(($D$12="Sole Trader"),0,IF((R$6&gt;$K$9),(((((R$6-$K$9)*$J$9)+(($K$9-$K$8)*$J$8))+($K$8*$J$7))),0))</f>
        <v>0</v>
      </c>
      <c r="S10" s="76">
        <f>IF(($D$12="Sole Trader"),0,IF((S$6&gt;$K$9),(((((S$6-$K$9)*$J$9)+(($K$9-$K$8)*$J$8))+($K$8*$J$7))),0))</f>
        <v>0</v>
      </c>
      <c r="T10" s="76">
        <f>IF(($D$12="Sole Trader"),0,IF((T$6&gt;$K$9),(((((T$6-$K$9)*$J$9)+(($K$9-$K$8)*$J$8))+($K$8*$J$7))),0))</f>
        <v>0</v>
      </c>
      <c r="U10" s="8"/>
      <c r="V10" s="8"/>
      <c r="W10" s="8"/>
      <c r="X10" s="8"/>
    </row>
    <row r="11" spans="1:24">
      <c r="A11" s="22"/>
      <c r="B11" s="22"/>
      <c r="C11" s="22"/>
      <c r="D11" s="29"/>
      <c r="E11" s="32"/>
      <c r="F11" s="80" t="s">
        <v>55</v>
      </c>
      <c r="G11" s="81"/>
      <c r="H11" s="29"/>
      <c r="I11" s="29"/>
      <c r="J11" s="29"/>
      <c r="K11" s="8"/>
      <c r="L11" s="8"/>
      <c r="M11" s="8"/>
      <c r="N11" s="8"/>
      <c r="O11" s="9" t="s">
        <v>56</v>
      </c>
      <c r="P11" s="76">
        <f>IF(($D$12="Sole Trader"),0,IF((F$15=0),0,IF(($D$12="Partnership"),(F$15-$K$5))))</f>
        <v>0</v>
      </c>
      <c r="Q11" s="76">
        <f>IF(($D$12="Sole Trader"),0,IF((G$15=0),0,IF(($D$12="Partnership"),(G$15-$K$5))))</f>
        <v>0</v>
      </c>
      <c r="R11" s="76">
        <f>IF(($D$12="Sole Trader"),0,IF((H$15=0),0,IF(($D$12="Partnership"),(H$15-$K$5))))</f>
        <v>0</v>
      </c>
      <c r="S11" s="76">
        <f>IF(($D$12="Sole Trader"),0,IF((I$15=0),0,IF(($D$12="Partnership"),(I$15-$K$5))))</f>
        <v>0</v>
      </c>
      <c r="T11" s="76">
        <f>IF(($D$12="Sole Trader"),0,IF((J$15=0),0,IF(($D$12="Partnership"),(J$15-$K$5))))</f>
        <v>0</v>
      </c>
      <c r="U11" s="8"/>
      <c r="V11" s="8"/>
      <c r="W11" s="8"/>
      <c r="X11" s="8"/>
    </row>
    <row r="12" spans="1:24">
      <c r="A12" s="22"/>
      <c r="B12" s="22"/>
      <c r="C12" s="82" t="s">
        <v>57</v>
      </c>
      <c r="D12" s="24" t="s">
        <v>47</v>
      </c>
      <c r="E12" s="83"/>
      <c r="F12" s="80" t="s">
        <v>12</v>
      </c>
      <c r="G12" s="80" t="s">
        <v>13</v>
      </c>
      <c r="H12" s="80" t="s">
        <v>14</v>
      </c>
      <c r="I12" s="80" t="s">
        <v>15</v>
      </c>
      <c r="J12" s="80" t="s">
        <v>16</v>
      </c>
      <c r="K12" s="84"/>
      <c r="L12" s="8"/>
      <c r="M12" s="8"/>
      <c r="N12" s="8"/>
      <c r="O12" s="9" t="s">
        <v>58</v>
      </c>
      <c r="P12" s="76">
        <f>IF((P$11&lt;$L$5),(P$11*$I$7),IF((P$11&gt;$L$5),"0"))</f>
        <v>0</v>
      </c>
      <c r="Q12" s="76">
        <f>IF((Q$11&lt;$L$5),(Q$11*$I$7),IF((Q$11&gt;$L$5),"0"))</f>
        <v>0</v>
      </c>
      <c r="R12" s="76">
        <f>IF((R$11&lt;$L$5),(R$11*$I$7),IF((R$11&gt;$L$5),"0"))</f>
        <v>0</v>
      </c>
      <c r="S12" s="76">
        <f>IF((S$11&lt;$L$5),(S$11*$I$7),IF((S$11&gt;$L$5),"0"))</f>
        <v>0</v>
      </c>
      <c r="T12" s="76">
        <f>IF((T$11&lt;$L$5),(T$11*$I$7),IF((T$11&gt;$L$5),"0"))</f>
        <v>0</v>
      </c>
      <c r="U12" s="10"/>
      <c r="V12" s="8"/>
      <c r="W12" s="8"/>
      <c r="X12" s="8"/>
    </row>
    <row r="13" spans="1:24">
      <c r="A13" s="22"/>
      <c r="B13" s="22"/>
      <c r="C13" s="85"/>
      <c r="D13" s="86"/>
      <c r="E13" s="22"/>
      <c r="F13" s="86"/>
      <c r="G13" s="86"/>
      <c r="H13" s="86"/>
      <c r="I13" s="86"/>
      <c r="J13" s="86"/>
      <c r="K13" s="26">
        <f>SUM(F14:J14)</f>
        <v>1</v>
      </c>
      <c r="L13" s="8"/>
      <c r="M13" s="8"/>
      <c r="N13" s="8"/>
      <c r="O13" s="8"/>
      <c r="P13" s="76" t="str">
        <f>IF(($D$12="Sole Trader"),"0",IF((P$11&gt;$L$5),((((P$11-$L$5)*$I$5))+($L$5*$I$7)),0))</f>
        <v>0</v>
      </c>
      <c r="Q13" s="76" t="str">
        <f>IF(($D$12="Sole Trader"),"0",IF((Q$11&gt;$L$5),((((Q$11-$L$5)*$I$5))+($L$5*$I$7)),0))</f>
        <v>0</v>
      </c>
      <c r="R13" s="76" t="str">
        <f>IF(($D$12="Sole Trader"),"0",IF((R$11&gt;$L$5),((((R$11-$L$5)*$I$5))+($L$5*$I$7)),0))</f>
        <v>0</v>
      </c>
      <c r="S13" s="76" t="str">
        <f>IF(($D$12="Sole Trader"),"0",IF((S$11&gt;$L$5),((((S$11-$L$5)*$I$5))+($L$5*$I$7)),0))</f>
        <v>0</v>
      </c>
      <c r="T13" s="76" t="str">
        <f>IF(($D$12="Sole Trader"),"0",IF((T$11&gt;$L$5),((((T$11-$L$5)*$I$5))+($L$5*$I$7)),0))</f>
        <v>0</v>
      </c>
      <c r="U13" s="10"/>
      <c r="V13" s="8"/>
      <c r="W13" s="8"/>
      <c r="X13" s="8"/>
    </row>
    <row r="14" spans="1:24">
      <c r="A14" s="22"/>
      <c r="B14" s="22"/>
      <c r="C14" s="82" t="s">
        <v>59</v>
      </c>
      <c r="D14" s="24">
        <v>1</v>
      </c>
      <c r="E14" s="87" t="str">
        <f>IF((D12="Sole Trader"),"Enter '1' in D14","Enter Partners")</f>
        <v>Enter '1' in D14</v>
      </c>
      <c r="F14" s="31">
        <v>1</v>
      </c>
      <c r="G14" s="31">
        <v>0</v>
      </c>
      <c r="H14" s="31">
        <v>0</v>
      </c>
      <c r="I14" s="31">
        <v>0</v>
      </c>
      <c r="J14" s="31">
        <v>0</v>
      </c>
      <c r="K14" s="88" t="str">
        <f>IF(($K$13=(100/100)),"OKAY","ERROR")</f>
        <v>OKAY</v>
      </c>
      <c r="L14" s="8"/>
      <c r="M14" s="8"/>
      <c r="N14" s="8"/>
      <c r="O14" s="8"/>
      <c r="P14" s="89"/>
      <c r="Q14" s="89"/>
      <c r="R14" s="89"/>
      <c r="S14" s="89"/>
      <c r="T14" s="89"/>
      <c r="U14" s="8"/>
      <c r="V14" s="8"/>
      <c r="W14" s="8"/>
      <c r="X14" s="8"/>
    </row>
    <row r="15" spans="1:24">
      <c r="A15" s="22"/>
      <c r="B15" s="22"/>
      <c r="C15" s="85"/>
      <c r="D15" s="90"/>
      <c r="E15" s="91" t="s">
        <v>60</v>
      </c>
      <c r="F15" s="92">
        <f>$D$16*F14</f>
        <v>20000</v>
      </c>
      <c r="G15" s="92">
        <f>IF(($D$12="Sole Trader"),0,($D$16*G14))</f>
        <v>0</v>
      </c>
      <c r="H15" s="92">
        <f>IF(($D$12="Sole Trader"),0,($D$16*H14))</f>
        <v>0</v>
      </c>
      <c r="I15" s="92">
        <f>IF(($D$12="Sole Trader"),0,($D$16*I14))</f>
        <v>0</v>
      </c>
      <c r="J15" s="92">
        <f>IF(($D$12="Sole Trader"),0,($D$16*J14))</f>
        <v>0</v>
      </c>
      <c r="K15" s="75" t="str">
        <f>IF(($D$12="Sole Trader"),"OKAY",IF((SUM(F15:J15)=$D$16),"OKAY","ERROR"))</f>
        <v>OKAY</v>
      </c>
      <c r="L15" s="9"/>
      <c r="M15" s="8"/>
      <c r="N15" s="8"/>
      <c r="O15" s="9" t="s">
        <v>61</v>
      </c>
      <c r="P15" s="93">
        <f>SUM(P7:P9)+SUM(P12:P13)</f>
        <v>2000</v>
      </c>
      <c r="Q15" s="93">
        <f>SUM(Q7:Q9)+SUM(Q12:Q13)</f>
        <v>0</v>
      </c>
      <c r="R15" s="93">
        <f>SUM(R7:R9)+SUM(R12:R13)</f>
        <v>0</v>
      </c>
      <c r="S15" s="93">
        <f>SUM(S7:S9)+SUM(S12:S13)</f>
        <v>0</v>
      </c>
      <c r="T15" s="93">
        <f>SUM(T7:T9)+SUM(T12:T13)</f>
        <v>0</v>
      </c>
      <c r="U15" s="8"/>
      <c r="V15" s="8"/>
      <c r="W15" s="8"/>
      <c r="X15" s="8"/>
    </row>
    <row r="16" spans="1:24">
      <c r="A16" s="22"/>
      <c r="B16" s="22"/>
      <c r="C16" s="82" t="s">
        <v>62</v>
      </c>
      <c r="D16" s="94">
        <v>20000</v>
      </c>
      <c r="E16" s="95"/>
      <c r="F16" s="96"/>
      <c r="G16" s="96"/>
      <c r="H16" s="96"/>
      <c r="I16" s="96"/>
      <c r="J16" s="96"/>
      <c r="K16" s="11"/>
      <c r="L16" s="9"/>
      <c r="M16" s="8"/>
      <c r="N16" s="8"/>
      <c r="O16" s="8"/>
      <c r="P16" s="51"/>
      <c r="Q16" s="51"/>
      <c r="R16" s="51"/>
      <c r="S16" s="51"/>
      <c r="T16" s="97">
        <f>SUM(P15:T15)</f>
        <v>2000</v>
      </c>
      <c r="U16" s="8"/>
      <c r="V16" s="8"/>
      <c r="W16" s="8"/>
      <c r="X16" s="8"/>
    </row>
    <row r="17" spans="1:24">
      <c r="A17" s="22"/>
      <c r="B17" s="22"/>
      <c r="C17" s="98"/>
      <c r="D17" s="86"/>
      <c r="E17" s="91" t="s">
        <v>63</v>
      </c>
      <c r="F17" s="99">
        <f>$D$18*F$14</f>
        <v>15000</v>
      </c>
      <c r="G17" s="99">
        <f>$D$18*G$14</f>
        <v>0</v>
      </c>
      <c r="H17" s="99">
        <f>$D$18*H$14</f>
        <v>0</v>
      </c>
      <c r="I17" s="99">
        <f>$D$18*I$14</f>
        <v>0</v>
      </c>
      <c r="J17" s="99">
        <f>$D$18*J$14</f>
        <v>0</v>
      </c>
      <c r="K17" s="39">
        <f>SUM(F17:J17)</f>
        <v>15000</v>
      </c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22"/>
      <c r="B18" s="22"/>
      <c r="C18" s="100" t="s">
        <v>64</v>
      </c>
      <c r="D18" s="94">
        <v>15000</v>
      </c>
      <c r="E18" s="101" t="s">
        <v>65</v>
      </c>
      <c r="F18" s="102">
        <f>P$15</f>
        <v>2000</v>
      </c>
      <c r="G18" s="102">
        <f>Q$15</f>
        <v>0</v>
      </c>
      <c r="H18" s="102">
        <f>R$15</f>
        <v>0</v>
      </c>
      <c r="I18" s="102">
        <f>S$15</f>
        <v>0</v>
      </c>
      <c r="J18" s="102">
        <f>T$15</f>
        <v>0</v>
      </c>
      <c r="K18" s="39">
        <f>SUM(F18:J18)</f>
        <v>2000</v>
      </c>
      <c r="L18" s="9"/>
      <c r="M18" s="103"/>
      <c r="N18" s="8"/>
      <c r="O18" s="8"/>
      <c r="P18" s="181" t="s">
        <v>66</v>
      </c>
      <c r="Q18" s="181"/>
      <c r="R18" s="181"/>
      <c r="S18" s="181"/>
      <c r="T18" s="181"/>
      <c r="U18" s="8"/>
      <c r="V18" s="8"/>
      <c r="W18" s="8"/>
      <c r="X18" s="8"/>
    </row>
    <row r="19" spans="1:24">
      <c r="A19" s="22"/>
      <c r="B19" s="22"/>
      <c r="C19" s="98"/>
      <c r="D19" s="27"/>
      <c r="E19" s="91" t="s">
        <v>67</v>
      </c>
      <c r="F19" s="99">
        <f>P$29</f>
        <v>2254.08</v>
      </c>
      <c r="G19" s="99">
        <f>IF(($D$12="Sole Trader"),0,Q$29)</f>
        <v>0</v>
      </c>
      <c r="H19" s="99">
        <f>IF(($D$12="Sole Trader"),0,R$29)</f>
        <v>0</v>
      </c>
      <c r="I19" s="99">
        <f>IF(($D$12="Sole Trader"),0,S$29)</f>
        <v>0</v>
      </c>
      <c r="J19" s="99">
        <f>IF(($D$12="Sole Trader"),0,T$29)</f>
        <v>0</v>
      </c>
      <c r="K19" s="39">
        <f>SUM(F19:J19)</f>
        <v>2254.08</v>
      </c>
      <c r="L19" s="9"/>
      <c r="M19" s="103"/>
      <c r="N19" s="8"/>
      <c r="O19" s="8"/>
      <c r="P19" s="75" t="str">
        <f>F$12</f>
        <v>Partner 1</v>
      </c>
      <c r="Q19" s="75" t="str">
        <f>G$12</f>
        <v>Partner 2</v>
      </c>
      <c r="R19" s="75" t="str">
        <f>H$12</f>
        <v>Partner 3</v>
      </c>
      <c r="S19" s="75" t="str">
        <f>I$12</f>
        <v>Partner 4</v>
      </c>
      <c r="T19" s="75" t="str">
        <f>J$12</f>
        <v>Partner 5</v>
      </c>
      <c r="U19" s="8"/>
      <c r="V19" s="8"/>
      <c r="W19" s="8"/>
      <c r="X19" s="8"/>
    </row>
    <row r="20" spans="1:24">
      <c r="A20" s="22"/>
      <c r="B20" s="22"/>
      <c r="C20" s="85"/>
      <c r="D20" s="96" t="str">
        <f>IF(($G$25&lt;0),"Making a loss","Okay")</f>
        <v>Okay</v>
      </c>
      <c r="E20" s="91" t="s">
        <v>68</v>
      </c>
      <c r="F20" s="99">
        <f>P$46</f>
        <v>0</v>
      </c>
      <c r="G20" s="99">
        <f>Q$46</f>
        <v>0</v>
      </c>
      <c r="H20" s="99">
        <f>R$46</f>
        <v>0</v>
      </c>
      <c r="I20" s="104">
        <f>S$46</f>
        <v>0</v>
      </c>
      <c r="J20" s="99">
        <f>T$46</f>
        <v>0</v>
      </c>
      <c r="K20" s="39">
        <f>SUM(F20:J20)</f>
        <v>0</v>
      </c>
      <c r="L20" s="9"/>
      <c r="M20" s="103"/>
      <c r="N20" s="8"/>
      <c r="O20" s="9" t="s">
        <v>52</v>
      </c>
      <c r="P20" s="10">
        <f>IF((F$17&lt;$K$6),0,IF((F$17&lt;100000),(F$17-$K$6),IF((F$17&gt;=100000),F$17)))</f>
        <v>7044</v>
      </c>
      <c r="Q20" s="10">
        <f>IF(($D$12="Sole Trader"),0,IF((G$17&lt;$K$6),0,IF((G$17&lt;100000),(G$17-$K$6),IF((G$17&gt;=100000),G$17))))</f>
        <v>0</v>
      </c>
      <c r="R20" s="10">
        <f>IF(($D$12="Sole Trader"),0,IF((H$17&lt;$K$6),0,IF((H$17&lt;100000),(H$17-$K$6),IF((H$17&gt;=100000),H$17))))</f>
        <v>0</v>
      </c>
      <c r="S20" s="10">
        <f>IF(($D$12="Sole Trader"),0,IF((I$17&lt;$K$6),0,IF((I$17&lt;100000),(I$17-$K$6),IF((I$17&gt;=100000),I$17))))</f>
        <v>0</v>
      </c>
      <c r="T20" s="10">
        <f>IF(($D$12="Sole Trader"),0,IF((J$17&lt;$K$6),0,IF((J$17&lt;100000),(J$17-$K$6),IF((J$17&gt;=100000),J$17))))</f>
        <v>0</v>
      </c>
      <c r="U20" s="10" t="s">
        <v>69</v>
      </c>
      <c r="V20" s="10"/>
      <c r="W20" s="8"/>
      <c r="X20" s="8"/>
    </row>
    <row r="21" spans="1:24">
      <c r="A21" s="22"/>
      <c r="B21" s="22"/>
      <c r="C21" s="105"/>
      <c r="D21" s="96" t="str">
        <f>IF(((($D$16-$J$28)-$D$18)&lt;0),"Illegal Dividend","Okay")</f>
        <v>Okay</v>
      </c>
      <c r="E21" s="79"/>
      <c r="F21" s="22"/>
      <c r="G21" s="106"/>
      <c r="H21" s="82" t="s">
        <v>70</v>
      </c>
      <c r="I21" s="31">
        <v>0.2</v>
      </c>
      <c r="J21" s="25" t="s">
        <v>71</v>
      </c>
      <c r="K21" s="11"/>
      <c r="L21" s="8"/>
      <c r="M21" s="8"/>
      <c r="N21" s="8"/>
      <c r="O21" s="8"/>
      <c r="P21" s="76">
        <f>IF((P$20&lt;$K$8),(P$20*$J$7),IF((P$20&gt;$K$8),0))</f>
        <v>1408.8000000000002</v>
      </c>
      <c r="Q21" s="76">
        <f>IF((Q$20=0),0,IF((Q$20&lt;$K$8),(Q$20*$J$7),IF((Q$20&gt;$K$8),0)))</f>
        <v>0</v>
      </c>
      <c r="R21" s="76">
        <f>IF((R$20=0),0,IF((R$20&lt;$K$8),(R$20*$J$7),IF((R$20&gt;$K$8),0)))</f>
        <v>0</v>
      </c>
      <c r="S21" s="76">
        <f>IF((S$20=0),0,IF((S$20&lt;$K$8),(S$20*$J$7),IF((S$20&gt;$K$8),0)))</f>
        <v>0</v>
      </c>
      <c r="T21" s="76">
        <f>IF((T$20=0),0,IF((T$20&lt;$K$8),(T$20*$J$7),IF((T$20&gt;$K$8),0)))</f>
        <v>0</v>
      </c>
      <c r="U21" s="8"/>
      <c r="V21" s="8"/>
      <c r="W21" s="8"/>
      <c r="X21" s="8"/>
    </row>
    <row r="22" spans="1:24">
      <c r="A22" s="8"/>
      <c r="B22" s="8"/>
      <c r="C22" s="14"/>
      <c r="D22" s="107"/>
      <c r="E22" s="9"/>
      <c r="F22" s="8"/>
      <c r="G22" s="9"/>
      <c r="H22" s="8"/>
      <c r="I22" s="108"/>
      <c r="J22" s="8"/>
      <c r="K22" s="11"/>
      <c r="L22" s="9"/>
      <c r="M22" s="9"/>
      <c r="N22" s="9"/>
      <c r="O22" s="8"/>
      <c r="P22" s="76">
        <f>IF((P$20&lt;$K$8),0,IF((P$20&gt;=$K$9),0,IF((P$20&lt;$K$9),(((P$20-$K$8)*$J$8)+($K$8*$J$7)))))</f>
        <v>0</v>
      </c>
      <c r="Q22" s="76">
        <f>IF((Q$20=0),0,IF((Q$20&lt;$K$8),0,IF((Q$20&gt;=$K$9),0,IF((Q$20&lt;$K$9),(((Q$20-$K$8)*$J$8)+($K$8*$J$7))))))</f>
        <v>0</v>
      </c>
      <c r="R22" s="76">
        <f>IF((R$20=0),0,IF((R$20&lt;$K$8),0,IF((R$20&gt;=$K$9),0,IF((R$20&lt;$K$9),(((R$20-$K$8)*$J$8)+($K$8*$J$7))))))</f>
        <v>0</v>
      </c>
      <c r="S22" s="76">
        <f>IF((S$20=0),0,IF((S$20&lt;$K$8),0,IF((S$20&gt;=$K$9),0,IF((S$20&lt;$K$9),(((S$20-$K$8)*$J$8)+($K$8*$J$7))))))</f>
        <v>0</v>
      </c>
      <c r="T22" s="76">
        <f>IF((T$20=0),0,IF((T$20&lt;$K$8),0,IF((T$20&gt;=$K$9),0,IF((T$20&lt;$K$9),(((T$20-$K$8)*$J$8)+($K$8*$J$7))))))</f>
        <v>0</v>
      </c>
      <c r="U22" s="8"/>
      <c r="V22" s="109"/>
      <c r="W22" s="8"/>
      <c r="X22" s="8"/>
    </row>
    <row r="23" spans="1:24">
      <c r="A23" s="8"/>
      <c r="B23" s="8"/>
      <c r="C23" s="14"/>
      <c r="D23" s="107"/>
      <c r="E23" s="9"/>
      <c r="F23" s="8"/>
      <c r="G23" s="9"/>
      <c r="H23" s="8"/>
      <c r="I23" s="1"/>
      <c r="J23" s="8"/>
      <c r="K23" s="9"/>
      <c r="L23" s="9"/>
      <c r="M23" s="9"/>
      <c r="N23" s="9"/>
      <c r="O23" s="8"/>
      <c r="P23" s="76">
        <f>IF((P$20=0),0,IF((P$20&gt;=$K$9),P$24,0))</f>
        <v>0</v>
      </c>
      <c r="Q23" s="76">
        <f>IF((Q$20=0),0,IF((Q$20&gt;=$K$9),Q$24,0))</f>
        <v>0</v>
      </c>
      <c r="R23" s="76">
        <f>IF((R$20=0),0,IF((R$20&gt;=$K$9),R$24,0))</f>
        <v>0</v>
      </c>
      <c r="S23" s="76">
        <f>IF((S$20=0),0,IF((S$20&gt;=$K$9),S$24,0))</f>
        <v>0</v>
      </c>
      <c r="T23" s="76">
        <f>IF((T$20=0),0,IF((T$20&gt;=$K$9),T$24,0))</f>
        <v>0</v>
      </c>
      <c r="U23" s="8"/>
      <c r="V23" s="8"/>
      <c r="W23" s="8"/>
      <c r="X23" s="8"/>
    </row>
    <row r="24" spans="1:24" ht="15.75" customHeight="1">
      <c r="A24" s="8"/>
      <c r="B24" s="8"/>
      <c r="C24" s="110"/>
      <c r="D24" s="111"/>
      <c r="E24" s="9"/>
      <c r="F24" s="52"/>
      <c r="G24" s="11"/>
      <c r="H24" s="52"/>
      <c r="I24" s="1"/>
      <c r="J24" s="52"/>
      <c r="K24" s="11"/>
      <c r="L24" s="9"/>
      <c r="M24" s="9"/>
      <c r="N24" s="9"/>
      <c r="O24" s="8"/>
      <c r="P24" s="76">
        <f>IF((P$20&gt;$K$9),(((((P$20-$K$9)*$J$9)+(($K$9-$K$8)*$J$8))+($K$8*$J$7))),0)</f>
        <v>0</v>
      </c>
      <c r="Q24" s="76">
        <f>IF((Q$20=0),0,IF((Q$20&gt;$K$9),(((((Q$20-$K$9)*$J$9)+(($K$9-$K$8)*$J$8))+($K$8*$J$7))),0))</f>
        <v>0</v>
      </c>
      <c r="R24" s="76">
        <f>IF((R$20=0),0,IF((R$20&gt;$K$9),(((((R$20-$K$9)*$J$9)+(($K$9-$K$8)*$J$8))+($K$8*$J$7))),0))</f>
        <v>0</v>
      </c>
      <c r="S24" s="76">
        <f>IF((S$20=0),0,IF((S$20&gt;$K$9),(((((S$20-$K$9)*$J$9)+(($K$9-$K$8)*$J$8))+($K$8*$J$7))),0))</f>
        <v>0</v>
      </c>
      <c r="T24" s="76">
        <f>IF((T$20=0),0,IF((T$20&gt;$K$9),(((((T$20-$K$9)*$J$9)+(($K$9-$K$8)*$J$8))+($K$8*$J$7))),0))</f>
        <v>0</v>
      </c>
      <c r="U24" s="8"/>
      <c r="V24" s="8"/>
      <c r="W24" s="8"/>
      <c r="X24" s="8"/>
    </row>
    <row r="25" spans="1:24">
      <c r="A25" s="8"/>
      <c r="B25" s="8"/>
      <c r="C25" s="112">
        <f>IF(($D$12="Partnership"),0,IF(($D$16&lt;=$K$7),0,IF(($D$16&lt;=100000),($D$16-$K$7),IF(($D$16&gt;=100000),$D$16))))</f>
        <v>10000</v>
      </c>
      <c r="D25" s="113"/>
      <c r="E25" s="114"/>
      <c r="F25" s="113"/>
      <c r="G25" s="115">
        <f>($D$16-$K$17)-$H$32</f>
        <v>4027.9279999999999</v>
      </c>
      <c r="H25" s="113"/>
      <c r="I25" s="116"/>
      <c r="J25" s="113"/>
      <c r="K25" s="117"/>
      <c r="L25" s="10"/>
      <c r="M25" s="9"/>
      <c r="N25" s="9"/>
      <c r="O25" s="9" t="s">
        <v>56</v>
      </c>
      <c r="P25" s="10">
        <f>IF((F$17&lt;$K$6),0,(F$17-$K$6))</f>
        <v>7044</v>
      </c>
      <c r="Q25" s="10">
        <f>IF(($D$12="Sole Trader"),0,IF((G$17&lt;$K$6),0,((G$17-$K$6))))</f>
        <v>0</v>
      </c>
      <c r="R25" s="10">
        <f>IF(($D$12="Sole Trader"),0,IF((H$17&lt;$K$6),0,((H$17-$K$6))))</f>
        <v>0</v>
      </c>
      <c r="S25" s="10">
        <f>IF(($D$12="Sole Trader"),0,IF((I$17&lt;$K$6),0,((I$17-$K$6))))</f>
        <v>0</v>
      </c>
      <c r="T25" s="10">
        <f>IF(($D$12="Sole Trader"),0,IF((J$17&lt;$K$6),0,((J$17-$K$6))))</f>
        <v>0</v>
      </c>
      <c r="U25" s="8"/>
      <c r="V25" s="8"/>
      <c r="W25" s="8"/>
      <c r="X25" s="8"/>
    </row>
    <row r="26" spans="1:24">
      <c r="A26" s="8"/>
      <c r="B26" s="8"/>
      <c r="C26" s="118"/>
      <c r="D26" s="119" t="s">
        <v>72</v>
      </c>
      <c r="E26" s="114"/>
      <c r="F26" s="119" t="s">
        <v>50</v>
      </c>
      <c r="G26" s="120"/>
      <c r="H26" s="119" t="s">
        <v>73</v>
      </c>
      <c r="I26" s="114"/>
      <c r="J26" s="119" t="s">
        <v>74</v>
      </c>
      <c r="K26" s="121">
        <f>($D$16-($D$14*$K$6))</f>
        <v>12044</v>
      </c>
      <c r="L26" s="10"/>
      <c r="M26" s="9"/>
      <c r="N26" s="9"/>
      <c r="O26" s="9" t="s">
        <v>58</v>
      </c>
      <c r="P26" s="76">
        <f>IF((P$25&lt;$L$5),(P$25*$J$5),IF((P$25&gt;$L$5),"0"))</f>
        <v>845.28</v>
      </c>
      <c r="Q26" s="76">
        <f>IF(($D$12="Sole Trader"),0,IF((Q$25&lt;$L$5),(Q$25*$J$5),IF((Q$25&gt;$L$5),0)))</f>
        <v>0</v>
      </c>
      <c r="R26" s="76">
        <f>IF(($D$12="Sole Trader"),0,IF((R$25&lt;$L$5),(R$25*$J$5),IF((R$25&gt;$L$5),0)))</f>
        <v>0</v>
      </c>
      <c r="S26" s="76">
        <f>IF(($D$12="Sole Trader"),0,IF((S$25&lt;$L$5),(S$25*$J$5),IF((S$25&gt;$L$5),0)))</f>
        <v>0</v>
      </c>
      <c r="T26" s="76">
        <f>IF(($D$12="Sole Trader"),0,IF((T$25&lt;$L$5),(T$25*$J$5),IF((T$25&gt;$L$5),0)))</f>
        <v>0</v>
      </c>
      <c r="U26" s="8"/>
      <c r="V26" s="8"/>
      <c r="W26" s="8"/>
      <c r="X26" s="8"/>
    </row>
    <row r="27" spans="1:24" ht="18" customHeight="1">
      <c r="A27" s="18" t="s">
        <v>75</v>
      </c>
      <c r="B27" s="8"/>
      <c r="C27" s="118"/>
      <c r="D27" s="122"/>
      <c r="E27" s="123"/>
      <c r="F27" s="122"/>
      <c r="G27" s="120"/>
      <c r="H27" s="122"/>
      <c r="I27" s="116"/>
      <c r="J27" s="124"/>
      <c r="K27" s="117"/>
      <c r="L27" s="125"/>
      <c r="M27" s="9"/>
      <c r="N27" s="9"/>
      <c r="O27" s="8"/>
      <c r="P27" s="76">
        <f>IF((P$25&gt;$L$5),((((P$25-$L$5)*$I$5))+($L$5*$J$5)),0)</f>
        <v>0</v>
      </c>
      <c r="Q27" s="76">
        <f>IF(($D$12="Sole Trader"),0,IF((Q$25&gt;$L$5),((((Q$25-$L$5)*$I$5))+($L$5*$J$5)),0))</f>
        <v>0</v>
      </c>
      <c r="R27" s="76">
        <f>IF(($D$12="Sole Trader"),0,IF((R$25&gt;$L$5),((((R$25-$L$5)*$I$5))+($L$5*$J$5)),0))</f>
        <v>0</v>
      </c>
      <c r="S27" s="76">
        <f>IF(($D$12="Sole Trader"),0,IF((S$25&gt;$L$5),((((S$25-$L$5)*$I$5))+($L$5*$J$5)),0))</f>
        <v>0</v>
      </c>
      <c r="T27" s="76">
        <f>IF(($D$12="Sole Trader"),0,IF((T$25&gt;$L$5),((((T$25-$L$5)*$I$5))+($L$5*$J$5)),0))</f>
        <v>0</v>
      </c>
      <c r="U27" s="8"/>
      <c r="V27" s="8"/>
      <c r="W27" s="8"/>
      <c r="X27" s="8"/>
    </row>
    <row r="28" spans="1:24" ht="18" customHeight="1">
      <c r="A28" s="8" t="s">
        <v>76</v>
      </c>
      <c r="B28" s="8"/>
      <c r="C28" s="118"/>
      <c r="D28" s="126">
        <v>0</v>
      </c>
      <c r="E28" s="127">
        <f>IF(($C$25&lt;$K$8),($C$25*$J$7),IF(($C$25&gt;$K$8),"0"))</f>
        <v>2000</v>
      </c>
      <c r="F28" s="128">
        <v>0</v>
      </c>
      <c r="G28" s="129"/>
      <c r="H28" s="126">
        <f>IF((G$25&lt;$K$3),(G$25*$J$3),IF((G$25&gt;$K$3),(((G$25-$K$3)*$J$4)+($K$3*$J$3))))</f>
        <v>805.5856</v>
      </c>
      <c r="I28" s="129"/>
      <c r="J28" s="126">
        <f>IF(($K$26&lt;=$K$3),($K$26*$J$3),IF(($K$26&gt;$K$3),((K3*J3)+(($K$26-$K$3)*$J$4))))</f>
        <v>2408.8000000000002</v>
      </c>
      <c r="K28" s="121"/>
      <c r="L28" s="125"/>
      <c r="M28" s="10"/>
      <c r="N28" s="9"/>
      <c r="O28" s="8"/>
      <c r="P28" s="130"/>
      <c r="Q28" s="130"/>
      <c r="R28" s="130"/>
      <c r="S28" s="130"/>
      <c r="T28" s="130"/>
      <c r="U28" s="8"/>
      <c r="V28" s="8"/>
      <c r="W28" s="8"/>
      <c r="X28" s="8"/>
    </row>
    <row r="29" spans="1:24" ht="18" customHeight="1">
      <c r="A29" s="8" t="s">
        <v>77</v>
      </c>
      <c r="B29" s="8"/>
      <c r="C29" s="118"/>
      <c r="D29" s="131">
        <f>SUM(E28:E30)</f>
        <v>2000</v>
      </c>
      <c r="E29" s="127" t="str">
        <f>IF(($C$25&lt;$K$8),"0",IF(($C$25&gt;=$K$9),"0",IF(($C$25&lt;$K$9),((($C$25-$K$8)*$J$8)+($K$8*$J$7)))))</f>
        <v>0</v>
      </c>
      <c r="F29" s="126">
        <f>SUM(P7:T9)</f>
        <v>2000</v>
      </c>
      <c r="G29" s="129"/>
      <c r="H29" s="126">
        <f>SUM(P21:T23)</f>
        <v>1408.8000000000002</v>
      </c>
      <c r="I29" s="129"/>
      <c r="J29" s="126">
        <f>$T$47</f>
        <v>0</v>
      </c>
      <c r="K29" s="132"/>
      <c r="L29" s="125"/>
      <c r="M29" s="10"/>
      <c r="N29" s="9"/>
      <c r="O29" s="9" t="s">
        <v>78</v>
      </c>
      <c r="P29" s="93">
        <f>SUM(P21:P23)+SUM(P26:P27)</f>
        <v>2254.08</v>
      </c>
      <c r="Q29" s="93">
        <f>SUM(Q21:Q23)+SUM(Q26:Q27)</f>
        <v>0</v>
      </c>
      <c r="R29" s="93">
        <f>SUM(R21:R23)+SUM(R26:R27)</f>
        <v>0</v>
      </c>
      <c r="S29" s="93">
        <f>SUM(S21:S23)+SUM(S26:S27)</f>
        <v>0</v>
      </c>
      <c r="T29" s="93">
        <f>SUM(T21:T23)+SUM(T26:T27)</f>
        <v>0</v>
      </c>
      <c r="U29" s="8"/>
      <c r="V29" s="8"/>
      <c r="W29" s="8"/>
      <c r="X29" s="8"/>
    </row>
    <row r="30" spans="1:24" ht="18" customHeight="1">
      <c r="A30" s="8"/>
      <c r="B30" s="8"/>
      <c r="C30" s="118"/>
      <c r="D30" s="126"/>
      <c r="E30" s="127" t="b">
        <f>IF(($D$12="Partnership"),0,IF(($D$16&gt;=$K9),($E$31+$E$32)))</f>
        <v>0</v>
      </c>
      <c r="F30" s="126"/>
      <c r="G30" s="114"/>
      <c r="H30" s="126"/>
      <c r="I30" s="114"/>
      <c r="J30" s="126"/>
      <c r="K30" s="132"/>
      <c r="L30" s="10"/>
      <c r="M30" s="10"/>
      <c r="N30" s="9"/>
      <c r="O30" s="8"/>
      <c r="P30" s="133"/>
      <c r="Q30" s="51"/>
      <c r="R30" s="51"/>
      <c r="S30" s="51"/>
      <c r="T30" s="97">
        <f>SUM(P29:T29)</f>
        <v>2254.08</v>
      </c>
      <c r="U30" s="8"/>
      <c r="V30" s="8"/>
      <c r="W30" s="8"/>
      <c r="X30" s="8"/>
    </row>
    <row r="31" spans="1:24" ht="18" customHeight="1">
      <c r="A31" s="18" t="s">
        <v>79</v>
      </c>
      <c r="B31" s="8"/>
      <c r="C31" s="118"/>
      <c r="D31" s="126"/>
      <c r="E31" s="127" t="str">
        <f>IF(($D$12="Partnership"),"0",IF(($C$25&lt;$K$9),"0",(($C$25-$K$9)*$J$9)))</f>
        <v>0</v>
      </c>
      <c r="F31" s="126"/>
      <c r="G31" s="114"/>
      <c r="H31" s="126"/>
      <c r="I31" s="129"/>
      <c r="J31" s="126"/>
      <c r="K31" s="134"/>
      <c r="L31" s="9"/>
      <c r="M31" s="10"/>
      <c r="N31" s="9"/>
      <c r="O31" s="9" t="s">
        <v>80</v>
      </c>
      <c r="P31" s="10">
        <f>P$20-P$29</f>
        <v>4789.92</v>
      </c>
      <c r="Q31" s="10">
        <f>Q$20-Q$29</f>
        <v>0</v>
      </c>
      <c r="R31" s="10">
        <f>R$20-R$29</f>
        <v>0</v>
      </c>
      <c r="S31" s="10">
        <f>S$20-S$29</f>
        <v>0</v>
      </c>
      <c r="T31" s="10">
        <f>T$20-T$29</f>
        <v>0</v>
      </c>
      <c r="U31" s="8"/>
      <c r="V31" s="8"/>
      <c r="W31" s="8"/>
      <c r="X31" s="8"/>
    </row>
    <row r="32" spans="1:24" ht="18" customHeight="1">
      <c r="A32" s="8" t="s">
        <v>81</v>
      </c>
      <c r="B32" s="8"/>
      <c r="C32" s="112"/>
      <c r="D32" s="126">
        <v>0</v>
      </c>
      <c r="E32" s="127">
        <f>($K$8*$J$7)+(($K$9-$K$8)*$J$8)</f>
        <v>53627.199999999997</v>
      </c>
      <c r="F32" s="126">
        <v>0</v>
      </c>
      <c r="G32" s="129"/>
      <c r="H32" s="126">
        <f>($D$18-($D$14*$K$6))*$J$6</f>
        <v>972.07200000000012</v>
      </c>
      <c r="I32" s="114"/>
      <c r="J32" s="126">
        <v>0</v>
      </c>
      <c r="K32" s="134"/>
      <c r="L32" s="9"/>
      <c r="M32" s="10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8" customHeight="1">
      <c r="A33" s="8" t="s">
        <v>82</v>
      </c>
      <c r="B33" s="8"/>
      <c r="C33" s="112">
        <f>IF(($D$12="Partnership"),"0",IF(($D$16&lt;=$K$5),0,IF(($D$12="Sole Trader"),($D$16-$K$5))))</f>
        <v>12044</v>
      </c>
      <c r="D33" s="126">
        <f>SUM(E33:E34)</f>
        <v>1083.96</v>
      </c>
      <c r="E33" s="127">
        <f>IF((C$33&lt;$L$5),($C$33*$I$7),IF(($C$33&gt;$L$5),"0"))</f>
        <v>1083.96</v>
      </c>
      <c r="F33" s="126">
        <f>SUM(P12:T13)</f>
        <v>0</v>
      </c>
      <c r="G33" s="129"/>
      <c r="H33" s="126">
        <f>SUM(P26:T27)</f>
        <v>845.28</v>
      </c>
      <c r="I33" s="114"/>
      <c r="J33" s="126">
        <v>0</v>
      </c>
      <c r="K33" s="135"/>
      <c r="L33" s="9"/>
      <c r="M33" s="10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" customHeight="1">
      <c r="A34" s="8"/>
      <c r="B34" s="8"/>
      <c r="C34" s="118"/>
      <c r="D34" s="136"/>
      <c r="E34" s="127" t="str">
        <f>IF(($D$12="Partnership"),"0",IF(($C$33&gt;$L$5),(((($C$33-$L$5)*$I$5))+($L$5*$I$7)),"0"))</f>
        <v>0</v>
      </c>
      <c r="F34" s="136"/>
      <c r="G34" s="129"/>
      <c r="H34" s="136"/>
      <c r="I34" s="124"/>
      <c r="J34" s="136"/>
      <c r="K34" s="135"/>
      <c r="L34" s="9"/>
      <c r="M34" s="9"/>
      <c r="N34" s="9"/>
      <c r="O34" s="8"/>
      <c r="P34" s="181" t="s">
        <v>83</v>
      </c>
      <c r="Q34" s="181"/>
      <c r="R34" s="181"/>
      <c r="S34" s="181"/>
      <c r="T34" s="181"/>
      <c r="U34" s="8"/>
      <c r="V34" s="8"/>
      <c r="W34" s="8"/>
      <c r="X34" s="8"/>
    </row>
    <row r="35" spans="1:24" s="4" customFormat="1" ht="18" customHeight="1">
      <c r="A35" s="77" t="s">
        <v>84</v>
      </c>
      <c r="B35" s="8"/>
      <c r="C35" s="53"/>
      <c r="D35" s="137">
        <f>SUM(D28:D33)</f>
        <v>3083.96</v>
      </c>
      <c r="E35" s="138"/>
      <c r="F35" s="137">
        <f>SUM(F28:F33)</f>
        <v>2000</v>
      </c>
      <c r="G35" s="139"/>
      <c r="H35" s="137">
        <f>SUM(H28:H33)</f>
        <v>4031.7376000000004</v>
      </c>
      <c r="I35" s="114"/>
      <c r="J35" s="137">
        <f>SUM(J28:J33)</f>
        <v>2408.8000000000002</v>
      </c>
      <c r="K35" s="57"/>
      <c r="L35" s="8"/>
      <c r="M35" s="8"/>
      <c r="N35" s="8"/>
      <c r="O35" s="8"/>
      <c r="P35" s="75" t="str">
        <f>F$12</f>
        <v>Partner 1</v>
      </c>
      <c r="Q35" s="75" t="str">
        <f>G$12</f>
        <v>Partner 2</v>
      </c>
      <c r="R35" s="75" t="str">
        <f>H$12</f>
        <v>Partner 3</v>
      </c>
      <c r="S35" s="75" t="str">
        <f>I$12</f>
        <v>Partner 4</v>
      </c>
      <c r="T35" s="75" t="str">
        <f>J$12</f>
        <v>Partner 5</v>
      </c>
      <c r="U35" s="8"/>
      <c r="V35" s="8"/>
      <c r="W35" s="8"/>
      <c r="X35" s="8"/>
    </row>
    <row r="36" spans="1:24" ht="15.75" customHeight="1">
      <c r="A36" s="8"/>
      <c r="B36" s="8"/>
      <c r="C36" s="140"/>
      <c r="D36" s="141"/>
      <c r="E36" s="142"/>
      <c r="F36" s="141"/>
      <c r="G36" s="129"/>
      <c r="H36" s="141"/>
      <c r="I36" s="114"/>
      <c r="J36" s="143"/>
      <c r="K36" s="135"/>
      <c r="L36" s="9"/>
      <c r="M36" s="9"/>
      <c r="N36" s="9"/>
      <c r="O36" s="9" t="s">
        <v>85</v>
      </c>
      <c r="P36" s="144">
        <f>(F$17-$K$6)/0.9</f>
        <v>7826.6666666666661</v>
      </c>
      <c r="Q36" s="144">
        <f>IF(($D$12="Sole Trader"),0,((G$17-$K$6)/0.9))</f>
        <v>0</v>
      </c>
      <c r="R36" s="144">
        <f>IF(($D$12="Sole Trader"),0,((H$17-$K$6)/0.9))</f>
        <v>0</v>
      </c>
      <c r="S36" s="144">
        <f>IF(($D$12="Sole Trader"),0,((I$17-$K$6)/0.9))</f>
        <v>0</v>
      </c>
      <c r="T36" s="144">
        <f>IF(($D$12="Sole Trader"),0,((J$17-$K$6)/0.9))</f>
        <v>0</v>
      </c>
      <c r="U36" s="10"/>
      <c r="V36" s="8"/>
      <c r="W36" s="8"/>
      <c r="X36" s="8"/>
    </row>
    <row r="37" spans="1:24" s="6" customFormat="1" ht="22.5" customHeight="1">
      <c r="A37" s="145" t="s">
        <v>86</v>
      </c>
      <c r="B37" s="8"/>
      <c r="C37" s="53"/>
      <c r="D37" s="146">
        <f>IF((C25=0),0,IF((C25&gt;0),($D$16-D35)))</f>
        <v>16916.04</v>
      </c>
      <c r="E37" s="122"/>
      <c r="F37" s="146" t="str">
        <f>IF(($D$12="Sole Trader"),"0",IF((SUM(F15:J15)&gt;0),($D$16-$F$35)))</f>
        <v>0</v>
      </c>
      <c r="G37" s="147"/>
      <c r="H37" s="146">
        <f>$K$17-$T$30</f>
        <v>12745.92</v>
      </c>
      <c r="I37" s="148"/>
      <c r="J37" s="146">
        <f>$D$18-$J$29</f>
        <v>15000</v>
      </c>
      <c r="K37" s="57"/>
      <c r="L37" s="8"/>
      <c r="M37" s="8"/>
      <c r="N37" s="8"/>
      <c r="O37" s="9" t="s">
        <v>87</v>
      </c>
      <c r="P37" s="10">
        <f>-P$36*0.1</f>
        <v>-782.66666666666663</v>
      </c>
      <c r="Q37" s="10">
        <f>-Q$36*0.1</f>
        <v>0</v>
      </c>
      <c r="R37" s="10">
        <f>-R$36*0.1</f>
        <v>0</v>
      </c>
      <c r="S37" s="10">
        <f>-S$36*0.1</f>
        <v>0</v>
      </c>
      <c r="T37" s="10">
        <f>-T$36*0.1</f>
        <v>0</v>
      </c>
      <c r="U37" s="10"/>
      <c r="V37" s="9"/>
      <c r="W37" s="8"/>
      <c r="X37" s="8"/>
    </row>
    <row r="38" spans="1:24" ht="21" customHeight="1">
      <c r="A38" s="18" t="s">
        <v>88</v>
      </c>
      <c r="B38" s="8"/>
      <c r="C38" s="140"/>
      <c r="D38" s="149">
        <f>IF(($D$12="Partnership"),"0",(($D$16-D$35)-D$37))</f>
        <v>0</v>
      </c>
      <c r="E38" s="123"/>
      <c r="F38" s="149" t="str">
        <f>IF(($D$12="Sole Trader"),"0",(($D$16-F$35)-F$37))</f>
        <v>0</v>
      </c>
      <c r="G38" s="139"/>
      <c r="H38" s="149">
        <f>((($D$16-$H$28)-$H$32)-$K$17)-$V$20</f>
        <v>3222.3424000000014</v>
      </c>
      <c r="I38" s="116"/>
      <c r="J38" s="149">
        <f>($D$16-$J$28)-$D$18</f>
        <v>2591.2000000000007</v>
      </c>
      <c r="K38" s="135"/>
      <c r="L38" s="9"/>
      <c r="M38" s="9"/>
      <c r="N38" s="9"/>
      <c r="O38" s="8"/>
      <c r="P38" s="10"/>
      <c r="Q38" s="10"/>
      <c r="R38" s="10"/>
      <c r="S38" s="10"/>
      <c r="T38" s="10"/>
      <c r="U38" s="8"/>
      <c r="V38" s="8"/>
      <c r="W38" s="8"/>
      <c r="X38" s="8"/>
    </row>
    <row r="39" spans="1:24">
      <c r="A39" s="8"/>
      <c r="B39" s="8"/>
      <c r="C39" s="140"/>
      <c r="D39" s="126"/>
      <c r="E39" s="129"/>
      <c r="F39" s="126"/>
      <c r="G39" s="129"/>
      <c r="H39" s="126"/>
      <c r="I39" s="129"/>
      <c r="J39" s="122"/>
      <c r="K39" s="135"/>
      <c r="L39" s="9"/>
      <c r="M39" s="9"/>
      <c r="N39" s="9"/>
      <c r="O39" s="9" t="s">
        <v>89</v>
      </c>
      <c r="P39" s="109">
        <f>($K$8+$L$7)*$I$2</f>
        <v>3391</v>
      </c>
      <c r="Q39" s="109">
        <f>IF(($D$12="Sole Trader"),0,(($K$8+$L$7)*$I$2))</f>
        <v>0</v>
      </c>
      <c r="R39" s="109">
        <f>IF(($D$12="Sole Trader"),0,(($K$8+$L$7)*$I$2))</f>
        <v>0</v>
      </c>
      <c r="S39" s="109">
        <f>IF(($D$12="Sole Trader"),0,(($K$8+$L$7)*$I$2))</f>
        <v>0</v>
      </c>
      <c r="T39" s="109">
        <f>IF(($D$12="Sole Trader"),0,(($K$8+$L$7)*$I$2))</f>
        <v>0</v>
      </c>
      <c r="U39" s="10"/>
      <c r="V39" s="8"/>
      <c r="W39" s="8"/>
      <c r="X39" s="8"/>
    </row>
    <row r="40" spans="1:24" ht="18" customHeight="1">
      <c r="A40" s="18" t="s">
        <v>90</v>
      </c>
      <c r="B40" s="8"/>
      <c r="C40" s="140"/>
      <c r="D40" s="150">
        <f>SUM(D37:D38)</f>
        <v>16916.04</v>
      </c>
      <c r="E40" s="139"/>
      <c r="F40" s="150">
        <f>SUM(F37:F38)</f>
        <v>0</v>
      </c>
      <c r="G40" s="139"/>
      <c r="H40" s="150">
        <f>SUM(H37:H38)</f>
        <v>15968.262400000001</v>
      </c>
      <c r="I40" s="139"/>
      <c r="J40" s="150">
        <f>SUM(J37:J38)</f>
        <v>17591.2</v>
      </c>
      <c r="K40" s="135"/>
      <c r="L40" s="9"/>
      <c r="M40" s="9"/>
      <c r="N40" s="9"/>
      <c r="O40" s="13" t="s">
        <v>91</v>
      </c>
      <c r="P40" s="125">
        <f>IF((P$36&lt;$K$8),0,IF((P$36&gt;$K$9),0,IF((P$36&gt;$K$8),(((P$36-$J$2)-$L$7)*$K$2))))</f>
        <v>0</v>
      </c>
      <c r="Q40" s="125">
        <f>IF((Q$36&lt;$K$8),0,IF((Q$36&gt;$K$9),0,IF((Q$36&gt;$K$8),(((Q$36-$J$2)-$L$7)*$K$2))))</f>
        <v>0</v>
      </c>
      <c r="R40" s="125">
        <f>IF((R$36&lt;$K$8),0,IF((R$36&gt;$K$9),0,IF((R$36&gt;$K$8),(((R$36-$J$2)-$L$7)*$K$2))))</f>
        <v>0</v>
      </c>
      <c r="S40" s="125">
        <f>IF((S$36&lt;$K$8),0,IF((S$36&gt;$K$9),0,IF((S$36&gt;$K$8),(((S$36-$J$2)-$L$7)*$K$2))))</f>
        <v>0</v>
      </c>
      <c r="T40" s="125">
        <f>IF((T$36&lt;$K$8),0,IF((T$36&gt;$K$9),0,IF((T$36&gt;$K$8),(((T$36-$J$2)-$L$7)*$K$2))))</f>
        <v>0</v>
      </c>
      <c r="U40" s="10"/>
      <c r="V40" s="8"/>
      <c r="W40" s="8"/>
      <c r="X40" s="8"/>
    </row>
    <row r="41" spans="1:24" ht="18.75" customHeight="1">
      <c r="A41" s="8"/>
      <c r="B41" s="8"/>
      <c r="C41" s="140"/>
      <c r="D41" s="151"/>
      <c r="E41" s="129"/>
      <c r="F41" s="151"/>
      <c r="G41" s="129"/>
      <c r="H41" s="151"/>
      <c r="I41" s="129"/>
      <c r="J41" s="152"/>
      <c r="K41" s="135"/>
      <c r="L41" s="9"/>
      <c r="M41" s="9"/>
      <c r="N41" s="9"/>
      <c r="O41" s="9" t="s">
        <v>92</v>
      </c>
      <c r="P41" s="125">
        <f>IF((P$36&lt;$K$9),0,IF((P$36&gt;$K$9),((P$36-$K$9)*$K$1)))</f>
        <v>0</v>
      </c>
      <c r="Q41" s="125">
        <f>IF(($D$12="Sole Trader"),0,IF((Q$36&lt;$K$9),0,IF((Q$36&gt;$K$9),((Q$36-$K$9)*$K$1))))</f>
        <v>0</v>
      </c>
      <c r="R41" s="125">
        <f>IF(($D$12="Sole Trader"),0,IF((R$36&lt;$K$9),0,IF((R$36&gt;$K$9),((R$36-$K$9)*$K$1))))</f>
        <v>0</v>
      </c>
      <c r="S41" s="125">
        <f>IF(($D$12="Sole Trader"),0,IF((S$36&lt;$K$9),0,IF((S$36&gt;$K$9),((S$36-$K$9)*$K$1))))</f>
        <v>0</v>
      </c>
      <c r="T41" s="125">
        <f>IF(($D$12="Sole Trader"),0,IF((T$36&lt;$K$9),0,IF((T$36&gt;$K$9),((T$36-$K$9)*$K$1))))</f>
        <v>0</v>
      </c>
      <c r="U41" s="10"/>
      <c r="V41" s="8"/>
      <c r="W41" s="8"/>
      <c r="X41" s="8"/>
    </row>
    <row r="42" spans="1:24">
      <c r="A42" s="8"/>
      <c r="B42" s="8"/>
      <c r="C42" s="9"/>
      <c r="D42" s="153"/>
      <c r="E42" s="154"/>
      <c r="F42" s="153"/>
      <c r="G42" s="155"/>
      <c r="H42" s="153"/>
      <c r="I42" s="155"/>
      <c r="J42" s="74"/>
      <c r="K42" s="9"/>
      <c r="L42" s="9"/>
      <c r="M42" s="9"/>
      <c r="N42" s="9"/>
      <c r="O42" s="8"/>
      <c r="P42" s="125">
        <f>IF((P$41&lt;=0),0,IF((P$41&gt;0),((($J$1-$J$2)-$L$7)*$K$2)))</f>
        <v>0</v>
      </c>
      <c r="Q42" s="125">
        <f>IF(($D$12="Sole Trader"),0,IF((Q$41&lt;=0),0,IF((Q$41&gt;0),((($J$1-$J$2)-$L$7)*$K$2))))</f>
        <v>0</v>
      </c>
      <c r="R42" s="125">
        <f>IF(($D$12="Sole Trader"),0,IF((R$41&lt;=0),0,IF((R$41&gt;0),((($J$1-$J$2)-$L$7)*$K$2))))</f>
        <v>0</v>
      </c>
      <c r="S42" s="125">
        <f>IF(($D$12="Sole Trader"),0,IF((S$41&lt;=0),0,IF((S$41&gt;0),((($J$1-$J$2)-$L$7)*$K$2))))</f>
        <v>0</v>
      </c>
      <c r="T42" s="125">
        <f>IF(($D$12="Sole Trader"),0,IF((T$41&lt;=0),0,IF((T$41&gt;0),((($J$1-$J$2)-$L$7)*$K$2))))</f>
        <v>0</v>
      </c>
      <c r="U42" s="10"/>
      <c r="V42" s="8"/>
      <c r="W42" s="8"/>
      <c r="X42" s="8"/>
    </row>
    <row r="43" spans="1:24">
      <c r="A43" s="8"/>
      <c r="B43" s="8"/>
      <c r="C43" s="9"/>
      <c r="D43" s="154"/>
      <c r="E43" s="154"/>
      <c r="F43" s="154"/>
      <c r="G43" s="155"/>
      <c r="H43" s="154"/>
      <c r="I43" s="155"/>
      <c r="J43" s="8"/>
      <c r="K43" s="9"/>
      <c r="L43" s="9"/>
      <c r="M43" s="9"/>
      <c r="N43" s="9"/>
      <c r="O43" s="8"/>
      <c r="P43" s="125"/>
      <c r="Q43" s="125"/>
      <c r="R43" s="125"/>
      <c r="S43" s="125"/>
      <c r="T43" s="125"/>
      <c r="U43" s="10"/>
      <c r="V43" s="8"/>
      <c r="W43" s="8"/>
      <c r="X43" s="8"/>
    </row>
    <row r="44" spans="1:24">
      <c r="A44" s="8"/>
      <c r="B44" s="8"/>
      <c r="C44" s="9"/>
      <c r="D44" s="154"/>
      <c r="E44" s="154"/>
      <c r="F44" s="154"/>
      <c r="G44" s="155"/>
      <c r="H44" s="154"/>
      <c r="I44" s="155"/>
      <c r="J44" s="8"/>
      <c r="K44" s="9"/>
      <c r="L44" s="9"/>
      <c r="M44" s="9"/>
      <c r="N44" s="9"/>
      <c r="O44" s="8"/>
      <c r="P44" s="144"/>
      <c r="Q44" s="144"/>
      <c r="R44" s="144"/>
      <c r="S44" s="144"/>
      <c r="T44" s="144"/>
      <c r="U44" s="10"/>
      <c r="V44" s="8"/>
      <c r="W44" s="8"/>
      <c r="X44" s="8"/>
    </row>
    <row r="45" spans="1:24" ht="21.75" customHeight="1">
      <c r="A45" s="8"/>
      <c r="B45" s="8"/>
      <c r="C45" s="9"/>
      <c r="D45" s="156"/>
      <c r="E45" s="156"/>
      <c r="F45" s="156"/>
      <c r="G45" s="156"/>
      <c r="H45" s="156"/>
      <c r="I45" s="156"/>
      <c r="J45" s="8"/>
      <c r="K45" s="9"/>
      <c r="L45" s="9"/>
      <c r="M45" s="9"/>
      <c r="N45" s="9"/>
      <c r="O45" s="8"/>
      <c r="P45" s="130"/>
      <c r="Q45" s="130"/>
      <c r="R45" s="130"/>
      <c r="S45" s="130"/>
      <c r="T45" s="130"/>
      <c r="U45" s="10"/>
      <c r="V45" s="8"/>
      <c r="W45" s="8"/>
      <c r="X45" s="8"/>
    </row>
    <row r="46" spans="1:24">
      <c r="A46" s="8"/>
      <c r="B46" s="8"/>
      <c r="C46" s="53"/>
      <c r="D46" s="157"/>
      <c r="E46" s="158"/>
      <c r="F46" s="158"/>
      <c r="G46" s="158"/>
      <c r="H46" s="158"/>
      <c r="I46" s="159"/>
      <c r="J46" s="57"/>
      <c r="K46" s="9"/>
      <c r="L46" s="9"/>
      <c r="M46" s="9"/>
      <c r="N46" s="9"/>
      <c r="O46" s="9" t="s">
        <v>93</v>
      </c>
      <c r="P46" s="93">
        <f>IF((P$36&lt;($K$8+$L$7)),0,SUM(P37:P42))</f>
        <v>0</v>
      </c>
      <c r="Q46" s="93">
        <f>IF((Q$36&lt;($K$8+$L$7)),0,SUM(Q37:Q42))</f>
        <v>0</v>
      </c>
      <c r="R46" s="93">
        <f>IF((R$36&lt;($K$8+$L$7)),0,SUM(R37:R42))</f>
        <v>0</v>
      </c>
      <c r="S46" s="93">
        <f>IF((S$36&lt;($K$8+$L$7)),0,SUM(S37:S42))</f>
        <v>0</v>
      </c>
      <c r="T46" s="93">
        <f>IF((T$36&lt;($K$8+$L$7)),0,SUM(T37:T42))</f>
        <v>0</v>
      </c>
      <c r="U46" s="10"/>
      <c r="V46" s="8"/>
      <c r="W46" s="8"/>
      <c r="X46" s="8"/>
    </row>
    <row r="47" spans="1:24" ht="15.75" customHeight="1">
      <c r="A47" s="8"/>
      <c r="B47" s="8"/>
      <c r="C47" s="53"/>
      <c r="D47" s="160"/>
      <c r="E47" s="161" t="s">
        <v>94</v>
      </c>
      <c r="F47" s="162"/>
      <c r="G47" s="163"/>
      <c r="H47" s="162">
        <f>$D$35</f>
        <v>3083.96</v>
      </c>
      <c r="I47" s="164"/>
      <c r="J47" s="57"/>
      <c r="K47" s="9"/>
      <c r="L47" s="9"/>
      <c r="M47" s="9"/>
      <c r="N47" s="9"/>
      <c r="O47" s="8"/>
      <c r="P47" s="97"/>
      <c r="Q47" s="97"/>
      <c r="R47" s="97"/>
      <c r="S47" s="97"/>
      <c r="T47" s="97">
        <f>SUM(P46:T46)</f>
        <v>0</v>
      </c>
      <c r="U47" s="10"/>
      <c r="V47" s="8"/>
      <c r="W47" s="8"/>
      <c r="X47" s="8"/>
    </row>
    <row r="48" spans="1:24" ht="15.75" customHeight="1">
      <c r="A48" s="8"/>
      <c r="B48" s="8"/>
      <c r="C48" s="53"/>
      <c r="D48" s="160"/>
      <c r="E48" s="161" t="s">
        <v>95</v>
      </c>
      <c r="F48" s="162"/>
      <c r="G48" s="163"/>
      <c r="H48" s="162">
        <f>$F$35</f>
        <v>2000</v>
      </c>
      <c r="I48" s="164"/>
      <c r="J48" s="57"/>
      <c r="K48" s="8"/>
      <c r="L48" s="8"/>
      <c r="M48" s="9"/>
      <c r="N48" s="9"/>
      <c r="O48" s="9" t="s">
        <v>80</v>
      </c>
      <c r="P48" s="10">
        <f>P$36-P$46</f>
        <v>7826.6666666666661</v>
      </c>
      <c r="Q48" s="10">
        <f>Q$36-Q$46</f>
        <v>0</v>
      </c>
      <c r="R48" s="10">
        <f>R$36-R$46</f>
        <v>0</v>
      </c>
      <c r="S48" s="10">
        <f>S$36-S$46</f>
        <v>0</v>
      </c>
      <c r="T48" s="10">
        <f>T$36-T$46</f>
        <v>0</v>
      </c>
      <c r="U48" s="8"/>
      <c r="V48" s="8"/>
      <c r="W48" s="8"/>
      <c r="X48" s="8"/>
    </row>
    <row r="49" spans="1:24" ht="15.75" customHeight="1">
      <c r="A49" s="8"/>
      <c r="B49" s="8"/>
      <c r="C49" s="53"/>
      <c r="D49" s="160"/>
      <c r="E49" s="161" t="s">
        <v>96</v>
      </c>
      <c r="F49" s="162"/>
      <c r="G49" s="163"/>
      <c r="H49" s="162">
        <f>$H$35</f>
        <v>4031.7376000000004</v>
      </c>
      <c r="I49" s="164"/>
      <c r="J49" s="57"/>
      <c r="K49" s="8"/>
      <c r="L49" s="8"/>
      <c r="M49" s="9"/>
      <c r="N49" s="9"/>
      <c r="O49" s="8"/>
      <c r="P49" s="10"/>
      <c r="Q49" s="10"/>
      <c r="R49" s="10"/>
      <c r="S49" s="10"/>
      <c r="T49" s="10"/>
      <c r="U49" s="8"/>
      <c r="V49" s="8"/>
      <c r="W49" s="8"/>
      <c r="X49" s="8"/>
    </row>
    <row r="50" spans="1:24" ht="15.75" customHeight="1">
      <c r="A50" s="8"/>
      <c r="B50" s="8"/>
      <c r="C50" s="53"/>
      <c r="D50" s="160"/>
      <c r="E50" s="161" t="s">
        <v>97</v>
      </c>
      <c r="F50" s="162"/>
      <c r="G50" s="162"/>
      <c r="H50" s="162">
        <f>$J$35</f>
        <v>2408.8000000000002</v>
      </c>
      <c r="I50" s="164"/>
      <c r="J50" s="57"/>
      <c r="K50" s="8"/>
      <c r="L50" s="8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8"/>
      <c r="B51" s="8"/>
      <c r="C51" s="53"/>
      <c r="D51" s="160"/>
      <c r="E51" s="162"/>
      <c r="F51" s="162"/>
      <c r="G51" s="162"/>
      <c r="H51" s="165"/>
      <c r="I51" s="164"/>
      <c r="J51" s="57"/>
      <c r="K51" s="8"/>
      <c r="L51" s="8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6.5" customHeight="1">
      <c r="A52" s="8"/>
      <c r="B52" s="8"/>
      <c r="C52" s="53"/>
      <c r="D52" s="160"/>
      <c r="E52" s="166" t="s">
        <v>98</v>
      </c>
      <c r="F52" s="167"/>
      <c r="G52" s="167"/>
      <c r="H52" s="168">
        <f>(H47+H48)-H50</f>
        <v>2675.16</v>
      </c>
      <c r="I52" s="169"/>
      <c r="J52" s="5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6.5" customHeight="1">
      <c r="A53" s="8"/>
      <c r="B53" s="8"/>
      <c r="C53" s="53"/>
      <c r="D53" s="160"/>
      <c r="E53" s="166"/>
      <c r="F53" s="167"/>
      <c r="G53" s="167"/>
      <c r="H53" s="168"/>
      <c r="I53" s="169"/>
      <c r="J53" s="5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6.5" customHeight="1">
      <c r="A54" s="8"/>
      <c r="B54" s="8"/>
      <c r="C54" s="53"/>
      <c r="D54" s="160"/>
      <c r="E54" s="166" t="s">
        <v>99</v>
      </c>
      <c r="F54" s="162"/>
      <c r="G54" s="162"/>
      <c r="H54" s="168">
        <f>$H$52*$I$21</f>
        <v>535.03200000000004</v>
      </c>
      <c r="I54" s="169"/>
      <c r="J54" s="5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6.5" customHeight="1">
      <c r="A55" s="8"/>
      <c r="B55" s="8"/>
      <c r="C55" s="53"/>
      <c r="D55" s="160"/>
      <c r="E55" s="166"/>
      <c r="F55" s="162"/>
      <c r="G55" s="162"/>
      <c r="H55" s="170"/>
      <c r="I55" s="169"/>
      <c r="J55" s="5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8"/>
      <c r="B56" s="8"/>
      <c r="C56" s="53"/>
      <c r="D56" s="171"/>
      <c r="E56" s="172"/>
      <c r="F56" s="172"/>
      <c r="G56" s="172"/>
      <c r="H56" s="172"/>
      <c r="I56" s="173"/>
      <c r="J56" s="5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8"/>
      <c r="B57" s="8"/>
      <c r="C57" s="11"/>
      <c r="D57" s="174"/>
      <c r="E57" s="174"/>
      <c r="F57" s="174"/>
      <c r="G57" s="174"/>
      <c r="H57" s="174"/>
      <c r="I57" s="7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>
      <c r="A58" s="8"/>
      <c r="B58" s="8"/>
      <c r="C58" s="11"/>
      <c r="D58" s="11"/>
      <c r="E58" s="11"/>
      <c r="F58" s="11"/>
      <c r="G58" s="11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>
      <c r="A59" s="8"/>
      <c r="B59" s="8"/>
      <c r="C59" s="11"/>
      <c r="D59" s="11" t="s">
        <v>100</v>
      </c>
      <c r="E59" s="11" t="s">
        <v>101</v>
      </c>
      <c r="F59" s="11" t="s">
        <v>102</v>
      </c>
      <c r="G59" s="11" t="s">
        <v>103</v>
      </c>
      <c r="H59" s="1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8"/>
      <c r="B60" s="8"/>
      <c r="C60" s="11"/>
      <c r="D60" s="175">
        <f>H47</f>
        <v>3083.96</v>
      </c>
      <c r="E60" s="175">
        <f>H48</f>
        <v>2000</v>
      </c>
      <c r="F60" s="175">
        <f>H49</f>
        <v>4031.7376000000004</v>
      </c>
      <c r="G60" s="175">
        <f>H50</f>
        <v>2408.8000000000002</v>
      </c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>
      <c r="A61" s="8"/>
      <c r="B61" s="8"/>
      <c r="C61" s="11"/>
      <c r="D61" s="11"/>
      <c r="E61" s="11"/>
      <c r="F61" s="11"/>
      <c r="G61" s="11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>
      <c r="A62" s="8"/>
      <c r="B62" s="8"/>
      <c r="C62" s="11"/>
      <c r="D62" s="11" t="s">
        <v>104</v>
      </c>
      <c r="E62" s="11" t="s">
        <v>41</v>
      </c>
      <c r="F62" s="11"/>
      <c r="G62" s="11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>
      <c r="A63" s="8"/>
      <c r="B63" s="8"/>
      <c r="C63" s="11"/>
      <c r="D63" s="175">
        <f>H52</f>
        <v>2675.16</v>
      </c>
      <c r="E63" s="175">
        <f>H54</f>
        <v>535.03200000000004</v>
      </c>
      <c r="F63" s="11"/>
      <c r="G63" s="11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>
      <c r="A64" s="8"/>
      <c r="B64" s="8"/>
      <c r="C64" s="11"/>
      <c r="D64" s="11"/>
      <c r="E64" s="11"/>
      <c r="F64" s="11"/>
      <c r="G64" s="11"/>
      <c r="H64" s="1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5:22">
      <c r="O65" s="9"/>
      <c r="P65" s="9"/>
      <c r="Q65" s="9"/>
      <c r="R65" s="9"/>
      <c r="S65" s="9"/>
      <c r="T65" s="9"/>
      <c r="U65" s="9"/>
      <c r="V65" s="9"/>
    </row>
    <row r="66" spans="15:22">
      <c r="O66" s="9"/>
      <c r="P66" s="9"/>
      <c r="Q66" s="9"/>
      <c r="R66" s="9"/>
      <c r="S66" s="9"/>
      <c r="T66" s="9"/>
      <c r="U66" s="9"/>
      <c r="V66" s="9"/>
    </row>
    <row r="67" spans="15:22">
      <c r="O67" s="9"/>
      <c r="P67" s="9"/>
      <c r="Q67" s="9"/>
      <c r="R67" s="9"/>
      <c r="S67" s="9"/>
      <c r="T67" s="9"/>
      <c r="U67" s="9"/>
      <c r="V67" s="9"/>
    </row>
    <row r="68" spans="15:22">
      <c r="O68" s="9"/>
      <c r="P68" s="9"/>
      <c r="Q68" s="9"/>
      <c r="R68" s="9"/>
      <c r="S68" s="9"/>
      <c r="T68" s="9"/>
      <c r="U68" s="9"/>
      <c r="V68" s="9"/>
    </row>
    <row r="69" spans="15:22">
      <c r="O69" s="9"/>
      <c r="P69" s="9"/>
      <c r="Q69" s="9"/>
      <c r="R69" s="9"/>
      <c r="S69" s="9"/>
      <c r="T69" s="9"/>
      <c r="U69" s="9"/>
      <c r="V69" s="9"/>
    </row>
    <row r="70" spans="15:22">
      <c r="O70" s="9"/>
      <c r="P70" s="9"/>
      <c r="Q70" s="9"/>
      <c r="R70" s="9"/>
      <c r="S70" s="9"/>
      <c r="T70" s="9"/>
      <c r="U70" s="9"/>
      <c r="V70" s="9"/>
    </row>
    <row r="71" spans="15:22">
      <c r="O71" s="9"/>
      <c r="P71" s="9"/>
      <c r="Q71" s="9"/>
      <c r="R71" s="9"/>
      <c r="S71" s="9"/>
      <c r="T71" s="9"/>
      <c r="U71" s="9"/>
      <c r="V71" s="9"/>
    </row>
    <row r="72" spans="15:22">
      <c r="O72" s="9"/>
      <c r="P72" s="9"/>
      <c r="Q72" s="9"/>
      <c r="R72" s="9"/>
      <c r="S72" s="9"/>
      <c r="T72" s="9"/>
      <c r="U72" s="9"/>
      <c r="V72" s="9"/>
    </row>
    <row r="73" spans="15:22">
      <c r="O73" s="9"/>
      <c r="P73" s="9"/>
      <c r="Q73" s="9"/>
      <c r="R73" s="9"/>
      <c r="S73" s="9"/>
      <c r="T73" s="9"/>
      <c r="U73" s="9"/>
      <c r="V73" s="9"/>
    </row>
    <row r="74" spans="15:22">
      <c r="O74" s="9"/>
      <c r="P74" s="9"/>
      <c r="Q74" s="9"/>
      <c r="R74" s="9"/>
      <c r="S74" s="9"/>
      <c r="T74" s="9"/>
      <c r="U74" s="9"/>
      <c r="V74" s="9"/>
    </row>
    <row r="75" spans="15:22">
      <c r="O75" s="9"/>
      <c r="P75" s="9"/>
      <c r="Q75" s="9"/>
      <c r="R75" s="9"/>
      <c r="S75" s="9"/>
      <c r="T75" s="9"/>
      <c r="U75" s="9"/>
      <c r="V75" s="9"/>
    </row>
    <row r="76" spans="15:22">
      <c r="O76" s="9"/>
      <c r="P76" s="9"/>
      <c r="Q76" s="9"/>
      <c r="R76" s="9"/>
      <c r="S76" s="9"/>
      <c r="T76" s="9"/>
      <c r="U76" s="9"/>
      <c r="V76" s="9"/>
    </row>
    <row r="77" spans="15:22">
      <c r="O77" s="9"/>
      <c r="P77" s="9"/>
      <c r="Q77" s="9"/>
      <c r="R77" s="9"/>
      <c r="S77" s="9"/>
      <c r="T77" s="9"/>
      <c r="U77" s="9"/>
      <c r="V77" s="9"/>
    </row>
    <row r="78" spans="15:22">
      <c r="O78" s="9"/>
      <c r="P78" s="9"/>
      <c r="Q78" s="9"/>
      <c r="R78" s="9"/>
      <c r="S78" s="9"/>
      <c r="T78" s="9"/>
      <c r="U78" s="9"/>
      <c r="V78" s="9"/>
    </row>
    <row r="79" spans="15:22">
      <c r="O79" s="9"/>
      <c r="P79" s="9"/>
      <c r="Q79" s="9"/>
      <c r="R79" s="9"/>
      <c r="S79" s="9"/>
      <c r="T79" s="9"/>
      <c r="U79" s="9"/>
      <c r="V79" s="9"/>
    </row>
    <row r="80" spans="15:22">
      <c r="O80" s="9"/>
      <c r="P80" s="9"/>
      <c r="Q80" s="9"/>
      <c r="R80" s="9"/>
      <c r="S80" s="9"/>
      <c r="T80" s="9"/>
      <c r="U80" s="9"/>
      <c r="V80" s="9"/>
    </row>
    <row r="81" spans="15:22">
      <c r="O81" s="9"/>
      <c r="P81" s="9"/>
      <c r="Q81" s="9"/>
      <c r="R81" s="9"/>
      <c r="S81" s="9"/>
      <c r="T81" s="9"/>
      <c r="U81" s="9"/>
      <c r="V81" s="9"/>
    </row>
  </sheetData>
  <mergeCells count="3">
    <mergeCell ref="P4:T4"/>
    <mergeCell ref="P18:T18"/>
    <mergeCell ref="P34:T34"/>
  </mergeCells>
  <conditionalFormatting sqref="D20">
    <cfRule type="containsText" dxfId="7" priority="1" stopIfTrue="1" operator="containsText" text="Okay">
      <formula>NOT(ISERROR(SEARCH("Okay", D20)))</formula>
    </cfRule>
    <cfRule type="containsText" dxfId="6" priority="2" stopIfTrue="1" operator="containsText" text="Making a loss">
      <formula>NOT(ISERROR(SEARCH("Making a loss", D20)))</formula>
    </cfRule>
  </conditionalFormatting>
  <conditionalFormatting sqref="K15">
    <cfRule type="containsText" dxfId="5" priority="3" stopIfTrue="1" operator="containsText" text="ERROR">
      <formula>NOT(ISERROR(SEARCH("ERROR", K15)))</formula>
    </cfRule>
  </conditionalFormatting>
  <conditionalFormatting sqref="K14">
    <cfRule type="containsText" dxfId="4" priority="4" stopIfTrue="1" operator="containsText" text="Error">
      <formula>NOT(ISERROR(SEARCH("Error", K14)))</formula>
    </cfRule>
    <cfRule type="containsText" dxfId="3" priority="4" stopIfTrue="1" operator="containsText" text="ERROR">
      <formula>NOT(ISERROR(SEARCH("ERROR", K14)))</formula>
    </cfRule>
  </conditionalFormatting>
  <conditionalFormatting sqref="D21">
    <cfRule type="containsText" dxfId="2" priority="5" stopIfTrue="1" operator="containsText" text="Illegal Dividend">
      <formula>NOT(ISERROR(SEARCH("Illegal Dividend", D21)))</formula>
    </cfRule>
    <cfRule type="containsText" dxfId="1" priority="5" stopIfTrue="1" operator="containsText" text="Okay">
      <formula>NOT(ISERROR(SEARCH("Okay", D21)))</formula>
    </cfRule>
    <cfRule type="containsText" dxfId="0" priority="5" stopIfTrue="1" operator="containsText" text="Making a loss">
      <formula>NOT(ISERROR(SEARCH("Making a loss", D21)))</formula>
    </cfRule>
  </conditionalFormatting>
  <dataValidations disablePrompts="1" count="2">
    <dataValidation type="list" allowBlank="1" showErrorMessage="1" sqref="D12">
      <formula1>M4:M5</formula1>
    </dataValidation>
    <dataValidation type="list" allowBlank="1" showInputMessage="1" showErrorMessage="1" prompt="If Sole Trader, select 1" sqref="D14">
      <formula1>N1:N5</formula1>
    </dataValidation>
  </dataValidation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Goodwill</vt:lpstr>
      <vt:lpstr>Incorporation</vt:lpstr>
      <vt:lpstr>Incorporation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mj-user</cp:lastModifiedBy>
  <dcterms:created xsi:type="dcterms:W3CDTF">2014-05-09T14:55:55Z</dcterms:created>
  <dcterms:modified xsi:type="dcterms:W3CDTF">2014-05-12T11:03:43Z</dcterms:modified>
</cp:coreProperties>
</file>