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44" firstSheet="0" activeTab="1"/>
  </bookViews>
  <sheets>
    <sheet name="Data Entry Page" sheetId="1" state="visible" r:id="rId2"/>
    <sheet name="Summary Page" sheetId="2" state="visible" r:id="rId3"/>
    <sheet name="Limited Co" sheetId="3" state="visible" r:id="rId4"/>
    <sheet name="UK Directors Salary" sheetId="4" state="visible" r:id="rId5"/>
    <sheet name="UK Sole Trader" sheetId="5" state="visible" r:id="rId6"/>
    <sheet name="UK Partnership" sheetId="6" state="visible" r:id="rId7"/>
    <sheet name="Tax Data" sheetId="7" state="visible" r:id="rId8"/>
    <sheet name="Other data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<sst xmlns="http://schemas.openxmlformats.org/spreadsheetml/2006/main" count="201" uniqueCount="98">
  <si>
    <t>Incorporation</t>
  </si>
  <si>
    <t>Current Business Entity</t>
  </si>
  <si>
    <t>Partnership</t>
  </si>
  <si>
    <t>Number of Partners</t>
  </si>
  <si>
    <t>Net profit before tax</t>
  </si>
  <si>
    <t>Fee based on </t>
  </si>
  <si>
    <t>of tax saved</t>
  </si>
  <si>
    <t>Directors Salary per individual</t>
  </si>
  <si>
    <t>Grey tabs are workings for workings/calculations only and should not be seen</t>
  </si>
  <si>
    <t>IF THE 'CURRENT ENTITY OF BUSINESS' IS 'SOLE TRADER':</t>
  </si>
  <si>
    <t>IF THE 'CURRENT ENTITY OF BUSINESS' IS 'PARTNERSHIP':</t>
  </si>
  <si>
    <t>Sole Trader</t>
  </si>
  <si>
    <t>Limited Company</t>
  </si>
  <si>
    <t>Better off each year</t>
  </si>
  <si>
    <t>Tax</t>
  </si>
  <si>
    <t>Corporation Tax</t>
  </si>
  <si>
    <t>Income Tax</t>
  </si>
  <si>
    <t>National Insurance</t>
  </si>
  <si>
    <t>Class 2</t>
  </si>
  <si>
    <t>Class 4</t>
  </si>
  <si>
    <t>Employee's</t>
  </si>
  <si>
    <t>Employer's </t>
  </si>
  <si>
    <t> </t>
  </si>
  <si>
    <t>Total to HMRC</t>
  </si>
  <si>
    <t>Net in Pocket</t>
  </si>
  <si>
    <t>Net in Pocket per partner</t>
  </si>
  <si>
    <t>Only display this if "sole trader" option selected</t>
  </si>
  <si>
    <t>Only display this if "partnership" option selected</t>
  </si>
  <si>
    <t>UK Limited Company</t>
  </si>
  <si>
    <t>SOLE TRADER</t>
  </si>
  <si>
    <t>PARTNERSHIP</t>
  </si>
  <si>
    <t>(Sole Trader)</t>
  </si>
  <si>
    <t>(Partnership</t>
  </si>
  <si>
    <t>Take home pay</t>
  </si>
  <si>
    <t>Gross profit</t>
  </si>
  <si>
    <t>Total tax</t>
  </si>
  <si>
    <t>Tax as percentage</t>
  </si>
  <si>
    <t>Salary</t>
  </si>
  <si>
    <t>PAYE</t>
  </si>
  <si>
    <t>Employees NI</t>
  </si>
  <si>
    <t>(net salary)</t>
  </si>
  <si>
    <t>Employers NI</t>
  </si>
  <si>
    <t>Declared gross profit</t>
  </si>
  <si>
    <t>Corporation tax</t>
  </si>
  <si>
    <t>Net dividend</t>
  </si>
  <si>
    <t>Gross dividend</t>
  </si>
  <si>
    <t>Tax on Dividends</t>
  </si>
  <si>
    <t>Taxable profits</t>
  </si>
  <si>
    <t>Small profits</t>
  </si>
  <si>
    <t>Marginal relief</t>
  </si>
  <si>
    <t>Main rate</t>
  </si>
  <si>
    <t>Total corp tax</t>
  </si>
  <si>
    <t>Carry Over</t>
  </si>
  <si>
    <t>UK Directors Salary</t>
  </si>
  <si>
    <t>Gross annual salary</t>
  </si>
  <si>
    <t>Total tax &amp; NIC</t>
  </si>
  <si>
    <t>Employees NIC</t>
  </si>
  <si>
    <t>Employers NIC</t>
  </si>
  <si>
    <t>Taxable Income</t>
  </si>
  <si>
    <t>Total Income Tax</t>
  </si>
  <si>
    <t>Gross Nicable</t>
  </si>
  <si>
    <t>Total Annual NI</t>
  </si>
  <si>
    <t>UK Sole Trader</t>
  </si>
  <si>
    <t>Class 2 NIC</t>
  </si>
  <si>
    <t>Total tax &amp; NI</t>
  </si>
  <si>
    <t>Class 4 NIC</t>
  </si>
  <si>
    <t>Class 4 National Insurance</t>
  </si>
  <si>
    <t>Annual Profits</t>
  </si>
  <si>
    <t>NI</t>
  </si>
  <si>
    <t>Total Weekly NI</t>
  </si>
  <si>
    <t>UK Partnership </t>
  </si>
  <si>
    <t>Per partner</t>
  </si>
  <si>
    <t>Gross profit (per partner)</t>
  </si>
  <si>
    <t>Total NI</t>
  </si>
  <si>
    <t>In Total</t>
  </si>
  <si>
    <t>20% Rate</t>
  </si>
  <si>
    <t>40% Rate</t>
  </si>
  <si>
    <t>45% Rate</t>
  </si>
  <si>
    <t>0% Rate</t>
  </si>
  <si>
    <t>9% Rate</t>
  </si>
  <si>
    <t>2% Rate</t>
  </si>
  <si>
    <t>Total  NI</t>
  </si>
  <si>
    <t>Personal Allowance (PA)</t>
  </si>
  <si>
    <t>Rate</t>
  </si>
  <si>
    <t>Start of Band</t>
  </si>
  <si>
    <t>End of Band</t>
  </si>
  <si>
    <t>Difference</t>
  </si>
  <si>
    <t>Dividend rate</t>
  </si>
  <si>
    <t>National Insuarnce</t>
  </si>
  <si>
    <t>Class 1</t>
  </si>
  <si>
    <t>Employer</t>
  </si>
  <si>
    <t>Lower earnings limit</t>
  </si>
  <si>
    <t>Upper earnings limit</t>
  </si>
  <si>
    <t>Employee</t>
  </si>
  <si>
    <t>Per week</t>
  </si>
  <si>
    <t>Small company rate</t>
  </si>
  <si>
    <t>Marginal rate</t>
  </si>
  <si>
    <t>Standard Fraction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</si>
</sst>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0%"/>
    <numFmt numFmtId="166" formatCode="#,##0.00_);[RED]\(#,##0.00\)"/>
    <numFmt numFmtId="167" formatCode="#,##0.00"/>
    <numFmt numFmtId="168" formatCode="[$£-809]#,##0.00;[RED]\-[$£-809]#,##0.00"/>
    <numFmt numFmtId="169" formatCode="0.00%"/>
    <numFmt numFmtId="170" formatCode="\£#,##0.00_);[RED]&quot;(£&quot;#,##0.00\)"/>
    <numFmt numFmtId="171" formatCode="[$$-409]#,##0.00;[RED]\-[$$-409]#,##0.00"/>
    <numFmt numFmtId="172" formatCode="\£#,##0.00;[RED]\£#,##0.00"/>
    <numFmt numFmtId="173" formatCode="\£#,##0.00"/>
    <numFmt numFmtId="174" formatCode="[$£-809]#,##0.00;[RED][$£-809]#,##0.00"/>
    <numFmt numFmtId="175" formatCode="0.00_);\(0.00\)"/>
    <numFmt numFmtId="176" formatCode="0_);\(0\)"/>
    <numFmt numFmtId="177" formatCode="0"/>
    <numFmt numFmtId="178" formatCode="\£#,##0.00_);&quot;(£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2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4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i val="tru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D9F1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E6E0EC"/>
      </patternFill>
    </fill>
    <fill>
      <patternFill patternType="solid">
        <fgColor rgb="FFDCE6F2"/>
        <bgColor rgb="FFE6E0EC"/>
      </patternFill>
    </fill>
    <fill>
      <patternFill patternType="solid">
        <fgColor rgb="FFE6E0EC"/>
        <bgColor rgb="FFDCE6F2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6D9F1"/>
      </patternFill>
    </fill>
    <fill>
      <patternFill patternType="solid">
        <fgColor rgb="FFFFFFCC"/>
        <bgColor rgb="FFFFFF99"/>
      </patternFill>
    </fill>
    <fill>
      <patternFill patternType="solid">
        <fgColor rgb="FFFF00FF"/>
        <bgColor rgb="FFFA0A88"/>
      </patternFill>
    </fill>
    <fill>
      <patternFill patternType="solid">
        <fgColor rgb="FFFFFF99"/>
        <bgColor rgb="FFFFFFCC"/>
      </patternFill>
    </fill>
    <fill>
      <patternFill patternType="solid">
        <fgColor rgb="FFFA0A88"/>
        <bgColor rgb="FFFF00FF"/>
      </patternFill>
    </fill>
    <fill>
      <patternFill patternType="solid">
        <fgColor rgb="FFA6A6A6"/>
        <bgColor rgb="FFC0C0C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1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A0A88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4:D1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50" zoomScaleNormal="150" zoomScalePageLayoutView="100" workbookViewId="0">
      <selection pane="topLeft" activeCell="C14" activeCellId="0" sqref="C14"/>
    </sheetView>
  </sheetViews>
  <sheetFormatPr defaultRowHeight="12"/>
  <cols>
    <col collapsed="false" hidden="false" max="1" min="1" style="0" width="8.8265306122449"/>
    <col collapsed="false" hidden="false" max="2" min="2" style="0" width="29.5561224489796"/>
    <col collapsed="false" hidden="false" max="3" min="3" style="0" width="10.5"/>
    <col collapsed="false" hidden="false" max="4" min="4" style="0" width="10.8367346938776"/>
    <col collapsed="false" hidden="false" max="1025" min="5" style="0" width="8.8265306122449"/>
  </cols>
  <sheetData>
    <row r="4" customFormat="false" ht="14" hidden="false" customHeight="false" outlineLevel="0" collapsed="false">
      <c r="B4" s="1" t="s">
        <v>0</v>
      </c>
    </row>
    <row r="6" customFormat="false" ht="12" hidden="false" customHeight="false" outlineLevel="0" collapsed="false">
      <c r="B6" s="0" t="s">
        <v>1</v>
      </c>
      <c r="C6" s="0" t="s">
        <v>2</v>
      </c>
    </row>
    <row r="8" customFormat="false" ht="12" hidden="false" customHeight="false" outlineLevel="0" collapsed="false">
      <c r="B8" s="0" t="s">
        <v>3</v>
      </c>
      <c r="C8" s="2" t="n">
        <v>2</v>
      </c>
    </row>
    <row r="10" customFormat="false" ht="12" hidden="false" customHeight="false" outlineLevel="0" collapsed="false">
      <c r="B10" s="0" t="s">
        <v>4</v>
      </c>
      <c r="C10" s="2" t="n">
        <v>85000</v>
      </c>
    </row>
    <row r="12" customFormat="false" ht="12" hidden="false" customHeight="false" outlineLevel="0" collapsed="false">
      <c r="B12" s="0" t="s">
        <v>5</v>
      </c>
      <c r="C12" s="3" t="n">
        <v>0.25</v>
      </c>
      <c r="D12" s="0" t="s">
        <v>6</v>
      </c>
    </row>
    <row r="14" s="4" customFormat="true" ht="12" hidden="false" customHeight="false" outlineLevel="0" collapsed="false">
      <c r="B14" s="4" t="s">
        <v>7</v>
      </c>
      <c r="C14" s="4" t="n">
        <v>15000</v>
      </c>
    </row>
    <row r="15" customFormat="false" ht="12" hidden="false" customHeight="false" outlineLevel="0" collapsed="false">
      <c r="B15" s="5"/>
    </row>
    <row r="16" customFormat="false" ht="12.8" hidden="false" customHeight="false" outlineLevel="0" collapsed="false">
      <c r="B16" s="5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1:J26"/>
  <sheetViews>
    <sheetView windowProtection="false" showFormulas="false" showGridLines="true" showRowColHeaders="true" showZeros="true" rightToLeft="false" tabSelected="true" showOutlineSymbols="true" defaultGridColor="true" view="normal" topLeftCell="B10" colorId="64" zoomScale="100" zoomScaleNormal="100" zoomScalePageLayoutView="100" workbookViewId="0">
      <selection pane="topLeft" activeCell="G12" activeCellId="0" sqref="G12"/>
    </sheetView>
  </sheetViews>
  <sheetFormatPr defaultRowHeight="12"/>
  <cols>
    <col collapsed="false" hidden="false" max="1" min="1" style="0" width="8.8265306122449"/>
    <col collapsed="false" hidden="false" max="2" min="2" style="0" width="17.8265306122449"/>
    <col collapsed="false" hidden="false" max="3" min="3" style="0" width="13.1683673469388"/>
    <col collapsed="false" hidden="false" max="4" min="4" style="0" width="16.4948979591837"/>
    <col collapsed="false" hidden="false" max="5" min="5" style="0" width="19.1581632653061"/>
    <col collapsed="false" hidden="false" max="6" min="6" style="0" width="8.8265306122449"/>
    <col collapsed="false" hidden="false" max="7" min="7" style="0" width="25.1632653061224"/>
    <col collapsed="false" hidden="false" max="8" min="8" style="0" width="12.1683673469388"/>
    <col collapsed="false" hidden="false" max="9" min="9" style="0" width="16.4948979591837"/>
    <col collapsed="false" hidden="false" max="10" min="10" style="0" width="17.5051020408163"/>
    <col collapsed="false" hidden="false" max="1025" min="11" style="0" width="8.8265306122449"/>
  </cols>
  <sheetData>
    <row r="1" customFormat="false" ht="12" hidden="false" customHeight="false" outlineLevel="0" collapsed="false">
      <c r="B1" s="6"/>
      <c r="C1" s="7"/>
      <c r="D1" s="7"/>
      <c r="E1" s="8"/>
      <c r="G1" s="9"/>
      <c r="H1" s="10"/>
      <c r="I1" s="10"/>
      <c r="J1" s="11"/>
    </row>
    <row r="2" customFormat="false" ht="12" hidden="false" customHeight="false" outlineLevel="0" collapsed="false">
      <c r="B2" s="12"/>
      <c r="C2" s="13"/>
      <c r="D2" s="13"/>
      <c r="E2" s="14"/>
      <c r="G2" s="15"/>
      <c r="H2" s="16"/>
      <c r="I2" s="16"/>
      <c r="J2" s="17"/>
    </row>
    <row r="3" customFormat="false" ht="12" hidden="false" customHeight="false" outlineLevel="0" collapsed="false">
      <c r="B3" s="12"/>
      <c r="C3" s="13"/>
      <c r="D3" s="13"/>
      <c r="E3" s="14"/>
      <c r="G3" s="15"/>
      <c r="H3" s="16"/>
      <c r="I3" s="16"/>
      <c r="J3" s="17"/>
    </row>
    <row r="4" customFormat="false" ht="12" hidden="false" customHeight="false" outlineLevel="0" collapsed="false">
      <c r="B4" s="18" t="s">
        <v>9</v>
      </c>
      <c r="C4" s="13"/>
      <c r="D4" s="13"/>
      <c r="E4" s="14"/>
      <c r="G4" s="19" t="s">
        <v>10</v>
      </c>
      <c r="H4" s="16"/>
      <c r="I4" s="16"/>
      <c r="J4" s="17"/>
    </row>
    <row r="5" customFormat="false" ht="12" hidden="false" customHeight="false" outlineLevel="0" collapsed="false">
      <c r="B5" s="12"/>
      <c r="C5" s="13"/>
      <c r="D5" s="13"/>
      <c r="E5" s="14"/>
      <c r="G5" s="15"/>
      <c r="H5" s="16"/>
      <c r="I5" s="16"/>
      <c r="J5" s="17"/>
    </row>
    <row r="6" customFormat="false" ht="14" hidden="false" customHeight="false" outlineLevel="0" collapsed="false">
      <c r="B6" s="12"/>
      <c r="C6" s="20" t="s">
        <v>11</v>
      </c>
      <c r="D6" s="20" t="s">
        <v>12</v>
      </c>
      <c r="E6" s="21" t="s">
        <v>13</v>
      </c>
      <c r="G6" s="15"/>
      <c r="H6" s="22" t="s">
        <v>2</v>
      </c>
      <c r="I6" s="22" t="s">
        <v>12</v>
      </c>
      <c r="J6" s="23" t="s">
        <v>13</v>
      </c>
    </row>
    <row r="7" customFormat="false" ht="14" hidden="false" customHeight="false" outlineLevel="0" collapsed="false">
      <c r="B7" s="24" t="s">
        <v>14</v>
      </c>
      <c r="C7" s="13"/>
      <c r="D7" s="13"/>
      <c r="E7" s="14"/>
      <c r="G7" s="25" t="s">
        <v>14</v>
      </c>
      <c r="H7" s="16"/>
      <c r="I7" s="16"/>
      <c r="J7" s="17"/>
    </row>
    <row r="8" customFormat="false" ht="12" hidden="false" customHeight="false" outlineLevel="0" collapsed="false">
      <c r="B8" s="12" t="s">
        <v>15</v>
      </c>
      <c r="C8" s="26" t="n">
        <v>0</v>
      </c>
      <c r="D8" s="27" t="n">
        <f aca="false">'Limited Co'!C12</f>
        <v>13805.558</v>
      </c>
      <c r="E8" s="14"/>
      <c r="G8" s="15" t="s">
        <v>15</v>
      </c>
      <c r="H8" s="28" t="n">
        <v>0</v>
      </c>
      <c r="I8" s="29" t="n">
        <f aca="false">'Limited Co'!E12</f>
        <v>10611.116</v>
      </c>
      <c r="J8" s="30"/>
    </row>
    <row r="9" customFormat="false" ht="12" hidden="false" customHeight="false" outlineLevel="0" collapsed="false">
      <c r="B9" s="12" t="s">
        <v>16</v>
      </c>
      <c r="C9" s="26" t="n">
        <f aca="false">'UK Sole Trader'!C6</f>
        <v>23627</v>
      </c>
      <c r="D9" s="27" t="n">
        <f aca="false">'Limited Co'!C7+'Limited Co'!C15</f>
        <v>7635.933</v>
      </c>
      <c r="E9" s="14"/>
      <c r="G9" s="15" t="s">
        <v>16</v>
      </c>
      <c r="H9" s="28" t="n">
        <f aca="false">'UK Partnership'!C51</f>
        <v>13254</v>
      </c>
      <c r="I9" s="29" t="n">
        <f aca="false">'Limited Co'!E7+'Limited Co'!E15</f>
        <v>2000</v>
      </c>
      <c r="J9" s="30"/>
    </row>
    <row r="10" customFormat="false" ht="12" hidden="false" customHeight="false" outlineLevel="0" collapsed="false">
      <c r="B10" s="12"/>
      <c r="C10" s="26"/>
      <c r="D10" s="27"/>
      <c r="E10" s="14"/>
      <c r="G10" s="15"/>
      <c r="H10" s="28"/>
      <c r="I10" s="29"/>
      <c r="J10" s="30"/>
    </row>
    <row r="11" customFormat="false" ht="14" hidden="false" customHeight="false" outlineLevel="0" collapsed="false">
      <c r="B11" s="24" t="s">
        <v>17</v>
      </c>
      <c r="C11" s="26"/>
      <c r="D11" s="27"/>
      <c r="E11" s="14"/>
      <c r="G11" s="25" t="s">
        <v>17</v>
      </c>
      <c r="H11" s="28"/>
      <c r="I11" s="29"/>
      <c r="J11" s="30"/>
    </row>
    <row r="12" customFormat="false" ht="13.8" hidden="false" customHeight="false" outlineLevel="0" collapsed="false">
      <c r="B12" s="31" t="s">
        <v>18</v>
      </c>
      <c r="C12" s="26" t="n">
        <f aca="false">'UK Sole Trader'!C4</f>
        <v>143</v>
      </c>
      <c r="D12" s="27" t="n">
        <v>0</v>
      </c>
      <c r="E12" s="14"/>
      <c r="G12" s="32" t="s">
        <v>18</v>
      </c>
      <c r="H12" s="28" t="n">
        <f aca="false">'UK Partnership'!C36</f>
        <v>286</v>
      </c>
      <c r="I12" s="33" t="n">
        <v>0</v>
      </c>
      <c r="J12" s="30"/>
    </row>
    <row r="13" customFormat="false" ht="13.8" hidden="false" customHeight="false" outlineLevel="0" collapsed="false">
      <c r="B13" s="31" t="s">
        <v>19</v>
      </c>
      <c r="C13" s="26" t="n">
        <f aca="false">'UK Sole Trader'!C5</f>
        <v>3914.53</v>
      </c>
      <c r="D13" s="27" t="n">
        <v>0</v>
      </c>
      <c r="E13" s="14"/>
      <c r="G13" s="32" t="s">
        <v>19</v>
      </c>
      <c r="H13" s="28" t="n">
        <f aca="false">'UK Partnership'!C37</f>
        <v>6129.06</v>
      </c>
      <c r="I13" s="33" t="n">
        <v>0</v>
      </c>
      <c r="J13" s="30"/>
    </row>
    <row r="14" customFormat="false" ht="12" hidden="false" customHeight="false" outlineLevel="0" collapsed="false">
      <c r="B14" s="12" t="s">
        <v>20</v>
      </c>
      <c r="C14" s="26" t="n">
        <v>0</v>
      </c>
      <c r="D14" s="27" t="n">
        <f aca="false">'Limited Co'!C8</f>
        <v>845.4</v>
      </c>
      <c r="E14" s="14"/>
      <c r="G14" s="15" t="s">
        <v>20</v>
      </c>
      <c r="H14" s="28" t="n">
        <v>0</v>
      </c>
      <c r="I14" s="33" t="n">
        <f aca="false">'Limited Co'!E8</f>
        <v>1690.8</v>
      </c>
      <c r="J14" s="30"/>
    </row>
    <row r="15" customFormat="false" ht="12" hidden="false" customHeight="false" outlineLevel="0" collapsed="false">
      <c r="B15" s="12" t="s">
        <v>21</v>
      </c>
      <c r="C15" s="26" t="n">
        <v>0</v>
      </c>
      <c r="D15" s="27" t="n">
        <f aca="false">'Limited Co'!C10</f>
        <v>972.21</v>
      </c>
      <c r="E15" s="14"/>
      <c r="G15" s="15" t="s">
        <v>21</v>
      </c>
      <c r="H15" s="28" t="n">
        <v>0</v>
      </c>
      <c r="I15" s="33" t="n">
        <f aca="false">'Limited Co'!E10</f>
        <v>1944.42</v>
      </c>
      <c r="J15" s="30"/>
    </row>
    <row r="16" customFormat="false" ht="12" hidden="false" customHeight="false" outlineLevel="0" collapsed="false">
      <c r="B16" s="12"/>
      <c r="C16" s="26"/>
      <c r="D16" s="27"/>
      <c r="E16" s="14"/>
      <c r="G16" s="15"/>
      <c r="H16" s="28"/>
      <c r="I16" s="29"/>
      <c r="J16" s="30"/>
    </row>
    <row r="17" customFormat="false" ht="12" hidden="false" customHeight="false" outlineLevel="0" collapsed="false">
      <c r="B17" s="12" t="s">
        <v>22</v>
      </c>
      <c r="C17" s="26"/>
      <c r="D17" s="27"/>
      <c r="E17" s="14"/>
      <c r="G17" s="15"/>
      <c r="H17" s="28"/>
      <c r="I17" s="29"/>
      <c r="J17" s="30"/>
    </row>
    <row r="18" customFormat="false" ht="12" hidden="false" customHeight="false" outlineLevel="0" collapsed="false">
      <c r="B18" s="12"/>
      <c r="C18" s="26"/>
      <c r="D18" s="27"/>
      <c r="E18" s="14"/>
      <c r="G18" s="15"/>
      <c r="H18" s="28"/>
      <c r="I18" s="29"/>
      <c r="J18" s="30"/>
    </row>
    <row r="19" customFormat="false" ht="12" hidden="false" customHeight="false" outlineLevel="0" collapsed="false">
      <c r="B19" s="12" t="s">
        <v>23</v>
      </c>
      <c r="C19" s="26" t="n">
        <f aca="false">'UK Sole Trader'!H4</f>
        <v>27684.53</v>
      </c>
      <c r="D19" s="27" t="n">
        <f aca="false">'Limited Co'!C7+'Limited Co'!C8+'Limited Co'!C10+'Limited Co'!C12+'Limited Co'!C15</f>
        <v>23259.101</v>
      </c>
      <c r="E19" s="14"/>
      <c r="G19" s="15" t="s">
        <v>23</v>
      </c>
      <c r="H19" s="28" t="n">
        <f aca="false">'UK Partnership'!H36</f>
        <v>19669.06</v>
      </c>
      <c r="I19" s="29" t="n">
        <f aca="false">I8+I9+I14+I15</f>
        <v>16246.336</v>
      </c>
      <c r="J19" s="30"/>
    </row>
    <row r="20" customFormat="false" ht="12" hidden="false" customHeight="false" outlineLevel="0" collapsed="false">
      <c r="B20" s="12"/>
      <c r="C20" s="26"/>
      <c r="D20" s="27"/>
      <c r="E20" s="14"/>
      <c r="G20" s="15"/>
      <c r="H20" s="28"/>
      <c r="I20" s="29"/>
      <c r="J20" s="30"/>
    </row>
    <row r="21" customFormat="false" ht="12" hidden="false" customHeight="false" outlineLevel="0" collapsed="false">
      <c r="B21" s="12" t="s">
        <v>24</v>
      </c>
      <c r="C21" s="26" t="n">
        <f aca="false">'UK Sole Trader'!H3</f>
        <v>57315.47</v>
      </c>
      <c r="D21" s="27" t="n">
        <f aca="false">'Limited Co'!C9+'Limited Co'!C13-'Limited Co'!C15</f>
        <v>61740.899</v>
      </c>
      <c r="E21" s="34" t="n">
        <f aca="false">D21-C21</f>
        <v>4425.429</v>
      </c>
      <c r="G21" s="15" t="s">
        <v>24</v>
      </c>
      <c r="H21" s="28" t="n">
        <f aca="false">'UK Partnership'!H35</f>
        <v>65330.94</v>
      </c>
      <c r="I21" s="33" t="n">
        <f aca="false">'Limited Co'!E9+'Limited Co'!E13-'Limited Co'!E15</f>
        <v>68753.664</v>
      </c>
      <c r="J21" s="35" t="n">
        <f aca="false">I21-H21</f>
        <v>3422.724</v>
      </c>
    </row>
    <row r="22" customFormat="false" ht="12" hidden="false" customHeight="false" outlineLevel="0" collapsed="false">
      <c r="B22" s="12"/>
      <c r="C22" s="36"/>
      <c r="D22" s="27"/>
      <c r="E22" s="14"/>
      <c r="G22" s="15"/>
      <c r="H22" s="28"/>
      <c r="I22" s="29"/>
      <c r="J22" s="30"/>
    </row>
    <row r="23" customFormat="false" ht="12" hidden="false" customHeight="false" outlineLevel="0" collapsed="false">
      <c r="B23" s="12"/>
      <c r="C23" s="13"/>
      <c r="D23" s="13"/>
      <c r="E23" s="14"/>
      <c r="G23" s="15" t="s">
        <v>25</v>
      </c>
      <c r="H23" s="28" t="n">
        <f aca="false">'UK Partnership'!H4</f>
        <v>32665.47</v>
      </c>
      <c r="I23" s="29" t="n">
        <f aca="false">I21/'Data Entry Page'!C8</f>
        <v>34376.832</v>
      </c>
      <c r="J23" s="35" t="n">
        <f aca="false">I23-H23</f>
        <v>1711.362</v>
      </c>
    </row>
    <row r="24" customFormat="false" ht="13" hidden="false" customHeight="false" outlineLevel="0" collapsed="false">
      <c r="B24" s="37"/>
      <c r="C24" s="38"/>
      <c r="D24" s="38"/>
      <c r="E24" s="39"/>
      <c r="G24" s="40"/>
      <c r="H24" s="41"/>
      <c r="I24" s="42"/>
      <c r="J24" s="43"/>
    </row>
    <row r="26" customFormat="false" ht="12.8" hidden="false" customHeight="false" outlineLevel="0" collapsed="false">
      <c r="B26" s="0" t="s">
        <v>26</v>
      </c>
      <c r="G26" s="0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L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"/>
  <cols>
    <col collapsed="false" hidden="false" max="1" min="1" style="0" width="11.5"/>
    <col collapsed="false" hidden="false" max="2" min="2" style="0" width="27.5"/>
    <col collapsed="false" hidden="false" max="3" min="3" style="0" width="18.5051020408163"/>
    <col collapsed="false" hidden="false" max="6" min="4" style="44" width="15"/>
    <col collapsed="false" hidden="false" max="7" min="7" style="0" width="1.66326530612245"/>
    <col collapsed="false" hidden="false" max="8" min="8" style="0" width="24.3367346938775"/>
    <col collapsed="false" hidden="false" max="9" min="9" style="0" width="17.5051020408163"/>
    <col collapsed="false" hidden="false" max="10" min="10" style="0" width="18.1632653061224"/>
    <col collapsed="false" hidden="false" max="11" min="11" style="0" width="14.5"/>
    <col collapsed="false" hidden="false" max="1025" min="12" style="0" width="11.5"/>
  </cols>
  <sheetData>
    <row r="1" customFormat="false" ht="24" hidden="false" customHeight="false" outlineLevel="0" collapsed="false">
      <c r="B1" s="45" t="s">
        <v>28</v>
      </c>
      <c r="C1" s="46"/>
      <c r="D1" s="0"/>
      <c r="E1" s="0"/>
      <c r="F1" s="0"/>
    </row>
    <row r="2" customFormat="false" ht="13" hidden="false" customHeight="false" outlineLevel="0" collapsed="false">
      <c r="C2" s="47" t="s">
        <v>29</v>
      </c>
      <c r="D2" s="48"/>
      <c r="E2" s="49" t="s">
        <v>30</v>
      </c>
      <c r="F2" s="50"/>
      <c r="H2" s="51" t="s">
        <v>31</v>
      </c>
      <c r="I2" s="52"/>
      <c r="J2" s="51" t="s">
        <v>32</v>
      </c>
      <c r="K2" s="52"/>
    </row>
    <row r="3" customFormat="false" ht="12" hidden="false" customHeight="false" outlineLevel="0" collapsed="false">
      <c r="C3" s="53"/>
      <c r="D3" s="54"/>
      <c r="E3" s="55"/>
      <c r="F3" s="56"/>
      <c r="H3" s="57" t="s">
        <v>33</v>
      </c>
      <c r="I3" s="58" t="n">
        <f aca="false">C9+C13-C15</f>
        <v>61740.899</v>
      </c>
      <c r="J3" s="57" t="s">
        <v>33</v>
      </c>
      <c r="K3" s="58" t="n">
        <f aca="false">E9+E13-E15</f>
        <v>68753.664</v>
      </c>
      <c r="L3" s="59"/>
    </row>
    <row r="4" customFormat="false" ht="12" hidden="false" customHeight="false" outlineLevel="0" collapsed="false">
      <c r="B4" s="0" t="s">
        <v>34</v>
      </c>
      <c r="C4" s="60" t="n">
        <f aca="false">'Data Entry Page'!C10</f>
        <v>85000</v>
      </c>
      <c r="D4" s="61"/>
      <c r="E4" s="62" t="n">
        <f aca="false">C4</f>
        <v>85000</v>
      </c>
      <c r="F4" s="63"/>
      <c r="H4" s="57" t="s">
        <v>35</v>
      </c>
      <c r="I4" s="58" t="n">
        <f aca="false">C7+C8+C10+C12+C15</f>
        <v>23259.101</v>
      </c>
      <c r="J4" s="57" t="s">
        <v>35</v>
      </c>
      <c r="K4" s="58" t="n">
        <f aca="false">E7+E8+E10+E12+E15</f>
        <v>16246.336</v>
      </c>
      <c r="L4" s="59"/>
    </row>
    <row r="5" customFormat="false" ht="13" hidden="false" customHeight="false" outlineLevel="0" collapsed="false">
      <c r="C5" s="53"/>
      <c r="D5" s="61"/>
      <c r="E5" s="55"/>
      <c r="F5" s="56"/>
      <c r="H5" s="64" t="s">
        <v>36</v>
      </c>
      <c r="I5" s="65" t="n">
        <f aca="false">I4/C4</f>
        <v>0.273636482352941</v>
      </c>
      <c r="J5" s="64" t="s">
        <v>36</v>
      </c>
      <c r="K5" s="65" t="n">
        <f aca="false">K4/E4</f>
        <v>0.191133364705882</v>
      </c>
      <c r="L5" s="66"/>
    </row>
    <row r="6" customFormat="false" ht="13" hidden="false" customHeight="false" outlineLevel="0" collapsed="false">
      <c r="B6" s="0" t="s">
        <v>37</v>
      </c>
      <c r="C6" s="67" t="n">
        <f aca="false">'UK Directors Salary'!C4</f>
        <v>15000</v>
      </c>
      <c r="D6" s="61"/>
      <c r="E6" s="62" t="n">
        <f aca="false">C6*'Data Entry Page'!C8</f>
        <v>30000</v>
      </c>
      <c r="F6" s="63"/>
    </row>
    <row r="7" customFormat="false" ht="12" hidden="false" customHeight="false" outlineLevel="0" collapsed="false">
      <c r="B7" s="0" t="s">
        <v>38</v>
      </c>
      <c r="C7" s="67" t="n">
        <f aca="false">'UK Directors Salary'!C5</f>
        <v>1000</v>
      </c>
      <c r="D7" s="61"/>
      <c r="E7" s="62" t="n">
        <f aca="false">C7*'Data Entry Page'!C8</f>
        <v>2000</v>
      </c>
      <c r="F7" s="63"/>
    </row>
    <row r="8" customFormat="false" ht="12" hidden="false" customHeight="false" outlineLevel="0" collapsed="false">
      <c r="B8" s="0" t="s">
        <v>39</v>
      </c>
      <c r="C8" s="67" t="n">
        <f aca="false">'UK Directors Salary'!C6</f>
        <v>845.4</v>
      </c>
      <c r="D8" s="61"/>
      <c r="E8" s="62" t="n">
        <f aca="false">C8*'Data Entry Page'!C8</f>
        <v>1690.8</v>
      </c>
      <c r="F8" s="63"/>
    </row>
    <row r="9" customFormat="false" ht="12" hidden="false" customHeight="false" outlineLevel="0" collapsed="false">
      <c r="B9" s="0" t="s">
        <v>40</v>
      </c>
      <c r="C9" s="67" t="n">
        <f aca="false">'UK Directors Salary'!G4</f>
        <v>13154.6</v>
      </c>
      <c r="D9" s="61"/>
      <c r="E9" s="62" t="n">
        <f aca="false">C9*'Data Entry Page'!C8</f>
        <v>26309.2</v>
      </c>
      <c r="F9" s="63"/>
    </row>
    <row r="10" customFormat="false" ht="12" hidden="false" customHeight="false" outlineLevel="0" collapsed="false">
      <c r="B10" s="0" t="s">
        <v>41</v>
      </c>
      <c r="C10" s="67" t="n">
        <f aca="false">'UK Directors Salary'!C8</f>
        <v>972.21</v>
      </c>
      <c r="D10" s="61"/>
      <c r="E10" s="62" t="n">
        <f aca="false">C10*'Data Entry Page'!C8</f>
        <v>1944.42</v>
      </c>
      <c r="F10" s="63"/>
    </row>
    <row r="11" customFormat="false" ht="12" hidden="false" customHeight="false" outlineLevel="0" collapsed="false">
      <c r="B11" s="0" t="s">
        <v>42</v>
      </c>
      <c r="C11" s="67" t="n">
        <f aca="false">C4-C6-C10</f>
        <v>69027.79</v>
      </c>
      <c r="D11" s="61"/>
      <c r="E11" s="62" t="n">
        <f aca="false">E4-E6-E10</f>
        <v>53055.58</v>
      </c>
      <c r="F11" s="63"/>
    </row>
    <row r="12" customFormat="false" ht="12" hidden="false" customHeight="false" outlineLevel="0" collapsed="false">
      <c r="B12" s="0" t="s">
        <v>43</v>
      </c>
      <c r="C12" s="67" t="n">
        <f aca="false">C26</f>
        <v>13805.558</v>
      </c>
      <c r="D12" s="61"/>
      <c r="E12" s="62" t="n">
        <f aca="false">E26</f>
        <v>10611.116</v>
      </c>
      <c r="F12" s="63"/>
    </row>
    <row r="13" customFormat="false" ht="12" hidden="false" customHeight="false" outlineLevel="0" collapsed="false">
      <c r="B13" s="0" t="s">
        <v>44</v>
      </c>
      <c r="C13" s="67" t="n">
        <f aca="false">C11-C12</f>
        <v>55222.232</v>
      </c>
      <c r="D13" s="61"/>
      <c r="E13" s="62" t="n">
        <f aca="false">E11-E12</f>
        <v>42444.464</v>
      </c>
      <c r="F13" s="63"/>
    </row>
    <row r="14" customFormat="false" ht="12" hidden="false" customHeight="false" outlineLevel="0" collapsed="false">
      <c r="B14" s="0" t="s">
        <v>45</v>
      </c>
      <c r="C14" s="67" t="n">
        <f aca="false">C32</f>
        <v>61358.0355555556</v>
      </c>
      <c r="D14" s="61"/>
      <c r="E14" s="62" t="n">
        <f aca="false">E32</f>
        <v>23580.2577777778</v>
      </c>
      <c r="F14" s="56"/>
    </row>
    <row r="15" customFormat="false" ht="12" hidden="false" customHeight="false" outlineLevel="0" collapsed="false">
      <c r="B15" s="0" t="s">
        <v>46</v>
      </c>
      <c r="C15" s="67" t="n">
        <f aca="false">C40</f>
        <v>6635.933</v>
      </c>
      <c r="D15" s="61"/>
      <c r="E15" s="62" t="n">
        <f aca="false">E40*'Data Entry Page'!C8</f>
        <v>0</v>
      </c>
      <c r="F15" s="56"/>
    </row>
    <row r="16" customFormat="false" ht="12" hidden="false" customHeight="false" outlineLevel="0" collapsed="false">
      <c r="C16" s="67"/>
      <c r="D16" s="54"/>
      <c r="E16" s="55"/>
      <c r="F16" s="56"/>
    </row>
    <row r="17" customFormat="false" ht="12" hidden="false" customHeight="false" outlineLevel="0" collapsed="false">
      <c r="C17" s="53"/>
      <c r="D17" s="61"/>
      <c r="E17" s="68"/>
      <c r="F17" s="69"/>
    </row>
    <row r="18" customFormat="false" ht="17" hidden="false" customHeight="false" outlineLevel="0" collapsed="false">
      <c r="A18" s="70"/>
      <c r="B18" s="71" t="s">
        <v>43</v>
      </c>
      <c r="C18" s="72"/>
      <c r="D18" s="73"/>
      <c r="E18" s="72"/>
      <c r="F18" s="73"/>
      <c r="G18" s="70"/>
      <c r="H18" s="70"/>
      <c r="I18" s="70"/>
      <c r="J18" s="70"/>
      <c r="K18" s="70"/>
    </row>
    <row r="19" customFormat="false" ht="12" hidden="false" customHeight="false" outlineLevel="0" collapsed="false">
      <c r="C19" s="53"/>
      <c r="D19" s="54"/>
      <c r="E19" s="55"/>
      <c r="F19" s="56"/>
      <c r="G19" s="74"/>
    </row>
    <row r="20" customFormat="false" ht="12" hidden="false" customHeight="false" outlineLevel="0" collapsed="false">
      <c r="B20" s="0" t="s">
        <v>47</v>
      </c>
      <c r="C20" s="67" t="n">
        <f aca="false">C11</f>
        <v>69027.79</v>
      </c>
      <c r="D20" s="61"/>
      <c r="E20" s="62" t="n">
        <f aca="false">E11</f>
        <v>53055.58</v>
      </c>
      <c r="F20" s="63"/>
      <c r="G20" s="74"/>
    </row>
    <row r="21" customFormat="false" ht="12" hidden="false" customHeight="false" outlineLevel="0" collapsed="false">
      <c r="C21" s="67"/>
      <c r="D21" s="61"/>
      <c r="E21" s="55"/>
      <c r="F21" s="56"/>
      <c r="G21" s="74"/>
    </row>
    <row r="22" customFormat="false" ht="12" hidden="false" customHeight="false" outlineLevel="0" collapsed="false">
      <c r="B22" s="0" t="s">
        <v>48</v>
      </c>
      <c r="C22" s="67" t="n">
        <f aca="false">IF(C20&lt;='Tax Data'!D43,C20*'Tax Data'!B43,0)</f>
        <v>13805.558</v>
      </c>
      <c r="D22" s="61"/>
      <c r="E22" s="62" t="n">
        <f aca="false">IF(E20&lt;='Tax Data'!D43,E20*'Tax Data'!B43,0)</f>
        <v>10611.116</v>
      </c>
      <c r="F22" s="56"/>
      <c r="G22" s="74"/>
    </row>
    <row r="23" customFormat="false" ht="12" hidden="false" customHeight="false" outlineLevel="0" collapsed="false">
      <c r="B23" s="0" t="s">
        <v>49</v>
      </c>
      <c r="C23" s="75" t="n">
        <f aca="false">IF(C20&gt;'Tax Data'!D43, IF(C20&lt;'Tax Data'!D45, -('Tax Data'!D45-C20)*'Tax Data'!B46, 0), 0)</f>
        <v>0</v>
      </c>
      <c r="D23" s="61"/>
      <c r="E23" s="76" t="n">
        <f aca="false">IF(E20&gt;'Tax Data'!D43, IF(E20&lt;'Tax Data'!D45, -('Tax Data'!D45-E20)*'Tax Data'!B46, 0), 0)</f>
        <v>0</v>
      </c>
      <c r="F23" s="63"/>
      <c r="G23" s="74"/>
    </row>
    <row r="24" customFormat="false" ht="12" hidden="false" customHeight="false" outlineLevel="0" collapsed="false">
      <c r="B24" s="0" t="s">
        <v>50</v>
      </c>
      <c r="C24" s="67" t="n">
        <f aca="false">IF(C20&gt;'Tax Data'!D43,C20*'Tax Data'!B45,0)</f>
        <v>0</v>
      </c>
      <c r="D24" s="61"/>
      <c r="E24" s="77" t="n">
        <f aca="false">IF(E20&gt;'Tax Data'!D43,E20*'Tax Data'!B45,0)</f>
        <v>0</v>
      </c>
      <c r="F24" s="63"/>
      <c r="G24" s="74"/>
    </row>
    <row r="25" customFormat="false" ht="12" hidden="false" customHeight="false" outlineLevel="0" collapsed="false">
      <c r="C25" s="67"/>
      <c r="D25" s="61"/>
      <c r="E25" s="55"/>
      <c r="F25" s="56"/>
      <c r="G25" s="74"/>
    </row>
    <row r="26" customFormat="false" ht="12" hidden="false" customHeight="false" outlineLevel="0" collapsed="false">
      <c r="B26" s="5" t="s">
        <v>51</v>
      </c>
      <c r="C26" s="67" t="n">
        <f aca="false">SUM(C22:C24)</f>
        <v>13805.558</v>
      </c>
      <c r="D26" s="61"/>
      <c r="E26" s="62" t="n">
        <f aca="false">SUM(E22:E24)</f>
        <v>10611.116</v>
      </c>
      <c r="F26" s="63"/>
      <c r="G26" s="74"/>
    </row>
    <row r="27" customFormat="false" ht="12" hidden="false" customHeight="false" outlineLevel="0" collapsed="false">
      <c r="C27" s="53"/>
      <c r="D27" s="54"/>
      <c r="E27" s="55"/>
      <c r="F27" s="56"/>
      <c r="G27" s="74"/>
    </row>
    <row r="28" customFormat="false" ht="12" hidden="false" customHeight="false" outlineLevel="0" collapsed="false">
      <c r="C28" s="53"/>
      <c r="D28" s="54"/>
      <c r="E28" s="55"/>
      <c r="F28" s="56"/>
      <c r="G28" s="74"/>
    </row>
    <row r="29" customFormat="false" ht="17" hidden="false" customHeight="false" outlineLevel="0" collapsed="false">
      <c r="A29" s="78"/>
      <c r="B29" s="79" t="s">
        <v>46</v>
      </c>
      <c r="C29" s="80"/>
      <c r="D29" s="81"/>
      <c r="E29" s="80"/>
      <c r="F29" s="81"/>
      <c r="G29" s="78"/>
      <c r="H29" s="78"/>
      <c r="I29" s="78"/>
      <c r="J29" s="78"/>
      <c r="K29" s="78"/>
    </row>
    <row r="30" customFormat="false" ht="12" hidden="false" customHeight="false" outlineLevel="0" collapsed="false">
      <c r="C30" s="82"/>
      <c r="D30" s="54"/>
      <c r="E30" s="55"/>
      <c r="F30" s="56"/>
      <c r="G30" s="74"/>
      <c r="J30" s="83"/>
    </row>
    <row r="31" customFormat="false" ht="12" hidden="false" customHeight="false" outlineLevel="0" collapsed="false">
      <c r="B31" s="0" t="s">
        <v>44</v>
      </c>
      <c r="C31" s="82" t="n">
        <f aca="false">C13</f>
        <v>55222.232</v>
      </c>
      <c r="D31" s="61"/>
      <c r="E31" s="84" t="n">
        <f aca="false">E13/'Data Entry Page'!C8</f>
        <v>21222.232</v>
      </c>
      <c r="F31" s="85"/>
      <c r="G31" s="74"/>
      <c r="J31" s="83"/>
    </row>
    <row r="32" customFormat="false" ht="12" hidden="false" customHeight="false" outlineLevel="0" collapsed="false">
      <c r="B32" s="86" t="s">
        <v>45</v>
      </c>
      <c r="C32" s="82" t="n">
        <f aca="false">C31*(10/9)</f>
        <v>61358.0355555556</v>
      </c>
      <c r="D32" s="61"/>
      <c r="E32" s="84" t="n">
        <f aca="false">E31*(10/9)</f>
        <v>23580.2577777778</v>
      </c>
      <c r="F32" s="85"/>
      <c r="G32" s="74"/>
    </row>
    <row r="33" customFormat="false" ht="12" hidden="false" customHeight="false" outlineLevel="0" collapsed="false">
      <c r="C33" s="53"/>
      <c r="D33" s="54"/>
      <c r="E33" s="55"/>
      <c r="F33" s="56"/>
      <c r="G33" s="74"/>
    </row>
    <row r="34" customFormat="false" ht="12" hidden="false" customHeight="false" outlineLevel="0" collapsed="false">
      <c r="C34" s="87" t="s">
        <v>14</v>
      </c>
      <c r="D34" s="88" t="s">
        <v>52</v>
      </c>
      <c r="E34" s="89" t="s">
        <v>14</v>
      </c>
      <c r="F34" s="90" t="s">
        <v>52</v>
      </c>
      <c r="G34" s="74"/>
      <c r="H34" s="5"/>
      <c r="I34" s="5"/>
      <c r="J34" s="5"/>
      <c r="K34" s="86"/>
    </row>
    <row r="35" customFormat="false" ht="12" hidden="false" customHeight="false" outlineLevel="0" collapsed="false">
      <c r="B35" s="44" t="str">
        <f aca="false">'Tax Data'!B13*100&amp;"% Rate"</f>
        <v>0% Rate</v>
      </c>
      <c r="C35" s="67" t="n">
        <f aca="false">IF(C32&gt;='Tax Data'!C13,IF(C32&gt;='Tax Data'!E13,'Tax Data'!E13*'Tax Data'!B13,C32*'Tax Data'!B13),0)</f>
        <v>0</v>
      </c>
      <c r="D35" s="91" t="n">
        <f aca="false">IF((C32-'Tax Data'!E13)&gt;0,C32-'Tax Data'!E13,0)</f>
        <v>29493.0355555555</v>
      </c>
      <c r="E35" s="84" t="n">
        <f aca="false">IF(E32&gt;='Tax Data'!B13,IF(E32&gt;='Tax Data'!E13,'Tax Data'!E13*'Tax Data'!B13,E32*'Tax Data'!B13),0)</f>
        <v>0</v>
      </c>
      <c r="F35" s="85" t="n">
        <f aca="false">IF((E32-'Tax Data'!E13)&gt;0,E32-'Tax Data'!E13,0)</f>
        <v>0</v>
      </c>
      <c r="G35" s="74"/>
      <c r="H35" s="92"/>
      <c r="I35" s="93"/>
      <c r="J35" s="93"/>
      <c r="K35" s="94"/>
    </row>
    <row r="36" customFormat="false" ht="12" hidden="false" customHeight="false" outlineLevel="0" collapsed="false">
      <c r="B36" s="44" t="str">
        <f aca="false">'Tax Data'!B14*100&amp;"% Rate"</f>
        <v>22.5% Rate</v>
      </c>
      <c r="C36" s="67" t="n">
        <f aca="false">IF(D35&gt;0,IF(D35&gt;='Tax Data'!E14,'Tax Data'!E14*'Tax Data'!B14,D35*'Tax Data'!B14),0)</f>
        <v>6635.933</v>
      </c>
      <c r="D36" s="91" t="n">
        <f aca="false">IF((D35-'Tax Data'!E14)&gt;0,D35-'Tax Data'!E14,0)</f>
        <v>0</v>
      </c>
      <c r="E36" s="84" t="n">
        <f aca="false">IF(F35&gt;0,IF(F35&gt;='Tax Data'!E14,'Tax Data'!E14*'Tax Data'!B14,F35*'Tax Data'!B14),0)</f>
        <v>0</v>
      </c>
      <c r="F36" s="85" t="n">
        <f aca="false">IF((F35-'Tax Data'!E14)&gt;0,F35-'Tax Data'!E14,0)</f>
        <v>0</v>
      </c>
      <c r="G36" s="74"/>
      <c r="H36" s="92"/>
      <c r="I36" s="95"/>
      <c r="J36" s="93"/>
      <c r="K36" s="94"/>
    </row>
    <row r="37" customFormat="false" ht="12" hidden="false" customHeight="false" outlineLevel="0" collapsed="false">
      <c r="B37" s="44" t="str">
        <f aca="false">'Tax Data'!B15*100&amp;"% Rate"</f>
        <v>27.5% Rate</v>
      </c>
      <c r="C37" s="67" t="n">
        <f aca="false">IF(D36&gt;0,IF(D36&gt;='Tax Data'!E15,'Tax Data'!E15*'Tax Data'!B15,D36*'Tax Data'!B15),0)</f>
        <v>0</v>
      </c>
      <c r="D37" s="91" t="n">
        <f aca="false">IF((D36-'Tax Data'!E15)&gt;0,D36-'Tax Data'!E15,0)</f>
        <v>0</v>
      </c>
      <c r="E37" s="62" t="n">
        <f aca="false">IF(F36&gt;0,IF(F36&gt;='Tax Data'!E15,'Tax Data'!E15*'Tax Data'!B15,F36*'Tax Data'!B15),0)</f>
        <v>0</v>
      </c>
      <c r="F37" s="85" t="n">
        <f aca="false">IF((F36-'Tax Data'!E15)&gt;0,F36-'Tax Data'!E15,0)</f>
        <v>0</v>
      </c>
      <c r="G37" s="74"/>
      <c r="H37" s="92"/>
      <c r="I37" s="95"/>
      <c r="J37" s="96"/>
      <c r="K37" s="94"/>
    </row>
    <row r="38" customFormat="false" ht="12" hidden="false" customHeight="false" outlineLevel="0" collapsed="false">
      <c r="B38" s="44"/>
      <c r="C38" s="67"/>
      <c r="D38" s="91"/>
      <c r="E38" s="84"/>
      <c r="F38" s="85"/>
      <c r="G38" s="74"/>
      <c r="H38" s="92"/>
      <c r="J38" s="96"/>
      <c r="K38" s="94"/>
    </row>
    <row r="39" customFormat="false" ht="12" hidden="false" customHeight="false" outlineLevel="0" collapsed="false">
      <c r="C39" s="53"/>
      <c r="D39" s="54"/>
      <c r="E39" s="55"/>
      <c r="F39" s="56"/>
      <c r="G39" s="74"/>
    </row>
    <row r="40" customFormat="false" ht="12" hidden="false" customHeight="false" outlineLevel="0" collapsed="false">
      <c r="B40" s="97" t="s">
        <v>14</v>
      </c>
      <c r="C40" s="98" t="n">
        <f aca="false">SUM(C35:C38)</f>
        <v>6635.933</v>
      </c>
      <c r="D40" s="54"/>
      <c r="E40" s="99" t="n">
        <f aca="false">SUM(E35:E38)</f>
        <v>0</v>
      </c>
      <c r="F40" s="56"/>
      <c r="G40" s="74"/>
    </row>
    <row r="41" customFormat="false" ht="13" hidden="false" customHeight="false" outlineLevel="0" collapsed="false">
      <c r="C41" s="100"/>
      <c r="D41" s="101"/>
      <c r="E41" s="102"/>
      <c r="F41" s="103"/>
      <c r="G41" s="7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"/>
  <cols>
    <col collapsed="false" hidden="false" max="1" min="1" style="0" width="11.5"/>
    <col collapsed="false" hidden="false" max="2" min="2" style="0" width="28.1581632653061"/>
    <col collapsed="false" hidden="false" max="3" min="3" style="104" width="17"/>
    <col collapsed="false" hidden="false" max="4" min="4" style="0" width="11.5"/>
    <col collapsed="false" hidden="false" max="5" min="5" style="0" width="3.33163265306122"/>
    <col collapsed="false" hidden="false" max="6" min="6" style="0" width="27"/>
    <col collapsed="false" hidden="false" max="7" min="7" style="0" width="11.5"/>
    <col collapsed="false" hidden="false" max="8" min="8" style="0" width="13.8316326530612"/>
    <col collapsed="false" hidden="false" max="9" min="9" style="0" width="14.5"/>
    <col collapsed="false" hidden="false" max="1025" min="10" style="0" width="11.5"/>
  </cols>
  <sheetData>
    <row r="1" customFormat="false" ht="23" hidden="false" customHeight="false" outlineLevel="0" collapsed="false">
      <c r="B1" s="45" t="s">
        <v>53</v>
      </c>
      <c r="C1" s="0"/>
    </row>
    <row r="2" customFormat="false" ht="12" hidden="false" customHeight="false" outlineLevel="0" collapsed="false">
      <c r="C2" s="0"/>
    </row>
    <row r="4" customFormat="false" ht="12" hidden="false" customHeight="false" outlineLevel="0" collapsed="false">
      <c r="B4" s="0" t="s">
        <v>54</v>
      </c>
      <c r="C4" s="95" t="n">
        <f aca="false">'Data Entry Page'!C14</f>
        <v>15000</v>
      </c>
      <c r="F4" s="5" t="s">
        <v>33</v>
      </c>
      <c r="G4" s="59" t="n">
        <f aca="false">C4-C5-C6</f>
        <v>13154.6</v>
      </c>
    </row>
    <row r="5" customFormat="false" ht="12" hidden="false" customHeight="false" outlineLevel="0" collapsed="false">
      <c r="B5" s="0" t="s">
        <v>16</v>
      </c>
      <c r="C5" s="95" t="n">
        <f aca="false">C21</f>
        <v>1000</v>
      </c>
      <c r="F5" s="5" t="s">
        <v>55</v>
      </c>
      <c r="G5" s="59" t="n">
        <f aca="false">C4-G4</f>
        <v>1845.4</v>
      </c>
    </row>
    <row r="6" customFormat="false" ht="12" hidden="false" customHeight="false" outlineLevel="0" collapsed="false">
      <c r="B6" s="0" t="s">
        <v>56</v>
      </c>
      <c r="C6" s="95" t="n">
        <f aca="false">C32</f>
        <v>845.4</v>
      </c>
      <c r="F6" s="5" t="s">
        <v>36</v>
      </c>
      <c r="G6" s="66" t="n">
        <f aca="false">G5/C4</f>
        <v>0.123026666666667</v>
      </c>
    </row>
    <row r="8" customFormat="false" ht="12" hidden="false" customHeight="false" outlineLevel="0" collapsed="false">
      <c r="B8" s="0" t="s">
        <v>57</v>
      </c>
      <c r="C8" s="105" t="n">
        <f aca="false">C43</f>
        <v>972.21</v>
      </c>
    </row>
    <row r="11" customFormat="false" ht="17" hidden="false" customHeight="false" outlineLevel="0" collapsed="false">
      <c r="A11" s="78"/>
      <c r="B11" s="79" t="s">
        <v>16</v>
      </c>
      <c r="C11" s="78"/>
      <c r="D11" s="78"/>
      <c r="E11" s="78"/>
      <c r="F11" s="78"/>
      <c r="G11" s="78"/>
      <c r="H11" s="78"/>
      <c r="I11" s="78"/>
    </row>
    <row r="12" customFormat="false" ht="12" hidden="false" customHeight="false" outlineLevel="0" collapsed="false">
      <c r="C12" s="94"/>
      <c r="E12" s="74"/>
      <c r="H12" s="83"/>
    </row>
    <row r="13" customFormat="false" ht="12" hidden="false" customHeight="false" outlineLevel="0" collapsed="false">
      <c r="B13" s="86" t="s">
        <v>58</v>
      </c>
      <c r="C13" s="94" t="n">
        <f aca="false">C4-'Tax Data'!C3</f>
        <v>5000</v>
      </c>
      <c r="E13" s="74"/>
      <c r="G13" s="95"/>
    </row>
    <row r="14" customFormat="false" ht="12" hidden="false" customHeight="false" outlineLevel="0" collapsed="false">
      <c r="B14" s="86"/>
      <c r="C14" s="94"/>
      <c r="E14" s="74"/>
      <c r="G14" s="95"/>
    </row>
    <row r="15" customFormat="false" ht="12" hidden="false" customHeight="false" outlineLevel="0" collapsed="false">
      <c r="C15" s="0"/>
      <c r="E15" s="74"/>
    </row>
    <row r="16" customFormat="false" ht="12" hidden="false" customHeight="false" outlineLevel="0" collapsed="false">
      <c r="C16" s="5" t="s">
        <v>14</v>
      </c>
      <c r="D16" s="97" t="s">
        <v>52</v>
      </c>
      <c r="E16" s="74"/>
      <c r="G16" s="95"/>
    </row>
    <row r="17" customFormat="false" ht="12" hidden="false" customHeight="false" outlineLevel="0" collapsed="false">
      <c r="B17" s="44" t="str">
        <f aca="false">F17*100&amp;"% Rate"</f>
        <v>0% Rate</v>
      </c>
      <c r="C17" s="95" t="n">
        <f aca="false">IF(C13&gt;0,IF(C13&gt;='Tax Data'!E7,'Tax Data'!E7*'Tax Data'!B7,C13*'Tax Data'!B7),0)</f>
        <v>1000</v>
      </c>
      <c r="D17" s="94" t="n">
        <f aca="false">IF((C13-'Tax Data'!E7)&gt;0,C13-'Tax Data'!E7,0)</f>
        <v>0</v>
      </c>
      <c r="E17" s="74"/>
      <c r="G17" s="95"/>
    </row>
    <row r="18" customFormat="false" ht="12" hidden="false" customHeight="false" outlineLevel="0" collapsed="false">
      <c r="B18" s="44" t="str">
        <f aca="false">F18*100&amp;"% Rate"</f>
        <v>0% Rate</v>
      </c>
      <c r="C18" s="95" t="n">
        <f aca="false">IF(D17&gt;0,IF(D17&gt;='Tax Data'!E8,'Tax Data'!E8*'Tax Data'!B8,D17*'Tax Data'!B8),0)</f>
        <v>0</v>
      </c>
      <c r="D18" s="94" t="n">
        <f aca="false">IF((D17-'Tax Data'!E8)&gt;0,D17-'Tax Data'!E8,0)</f>
        <v>0</v>
      </c>
      <c r="E18" s="74"/>
    </row>
    <row r="19" customFormat="false" ht="12" hidden="false" customHeight="false" outlineLevel="0" collapsed="false">
      <c r="B19" s="44" t="str">
        <f aca="false">F19*100&amp;"% Rate"</f>
        <v>0% Rate</v>
      </c>
      <c r="C19" s="95" t="n">
        <f aca="false">IF(D18&gt;0,IF(D18&gt;='Tax Data'!E9,'Tax Data'!E9*'Tax Data'!B9,D18*'Tax Data'!B9),0)</f>
        <v>0</v>
      </c>
      <c r="D19" s="94" t="n">
        <f aca="false">IF((D18-'Tax Data'!E9)&gt;0,D18-'Tax Data'!E9,0)</f>
        <v>0</v>
      </c>
      <c r="E19" s="74"/>
      <c r="G19" s="95"/>
    </row>
    <row r="20" customFormat="false" ht="12" hidden="false" customHeight="false" outlineLevel="0" collapsed="false">
      <c r="C20" s="0"/>
      <c r="E20" s="74"/>
      <c r="G20" s="95"/>
    </row>
    <row r="21" customFormat="false" ht="12" hidden="false" customHeight="false" outlineLevel="0" collapsed="false">
      <c r="B21" s="97" t="s">
        <v>59</v>
      </c>
      <c r="C21" s="106" t="n">
        <f aca="false">SUM(C17:C19)</f>
        <v>1000</v>
      </c>
      <c r="E21" s="74"/>
    </row>
    <row r="22" customFormat="false" ht="12" hidden="false" customHeight="false" outlineLevel="0" collapsed="false">
      <c r="C22" s="0"/>
      <c r="E22" s="74"/>
    </row>
    <row r="23" customFormat="false" ht="17" hidden="false" customHeight="false" outlineLevel="0" collapsed="false">
      <c r="A23" s="107"/>
      <c r="B23" s="108" t="s">
        <v>17</v>
      </c>
      <c r="C23" s="107"/>
      <c r="D23" s="107"/>
      <c r="E23" s="107"/>
      <c r="F23" s="107"/>
      <c r="G23" s="107"/>
      <c r="H23" s="107"/>
      <c r="I23" s="107"/>
    </row>
    <row r="24" customFormat="false" ht="12" hidden="false" customHeight="false" outlineLevel="0" collapsed="false">
      <c r="C24" s="0"/>
      <c r="E24" s="74"/>
    </row>
    <row r="25" customFormat="false" ht="12" hidden="false" customHeight="false" outlineLevel="0" collapsed="false">
      <c r="B25" s="0" t="s">
        <v>60</v>
      </c>
      <c r="C25" s="95" t="n">
        <f aca="false">C4</f>
        <v>15000</v>
      </c>
      <c r="E25" s="74"/>
    </row>
    <row r="26" customFormat="false" ht="12" hidden="false" customHeight="false" outlineLevel="0" collapsed="false">
      <c r="C26" s="0"/>
      <c r="E26" s="74"/>
    </row>
    <row r="27" customFormat="false" ht="12" hidden="false" customHeight="false" outlineLevel="0" collapsed="false">
      <c r="C27" s="5" t="s">
        <v>14</v>
      </c>
      <c r="D27" s="97" t="s">
        <v>52</v>
      </c>
      <c r="E27" s="74"/>
    </row>
    <row r="28" customFormat="false" ht="12" hidden="false" customHeight="false" outlineLevel="0" collapsed="false">
      <c r="B28" s="44" t="str">
        <f aca="false">F28*100&amp;"% Rate"</f>
        <v>0% Rate</v>
      </c>
      <c r="C28" s="95" t="n">
        <f aca="false">IF(C25&gt;='Tax Data'!C28,IF(C25&gt;='Tax Data'!E28,'Tax Data'!E28*'Tax Data'!B28,C25*'Tax Data'!B28),0)</f>
        <v>0</v>
      </c>
      <c r="D28" s="94" t="n">
        <f aca="false">IF((C25-'Tax Data'!E28)&gt;0,C25-'Tax Data'!E28,0)</f>
        <v>7045</v>
      </c>
      <c r="E28" s="74"/>
    </row>
    <row r="29" customFormat="false" ht="12" hidden="false" customHeight="false" outlineLevel="0" collapsed="false">
      <c r="B29" s="44" t="str">
        <f aca="false">F29*100&amp;"% Rate"</f>
        <v>0% Rate</v>
      </c>
      <c r="C29" s="95" t="n">
        <f aca="false">IF(D28&gt;0,IF(D28&gt;='Tax Data'!E29,'Tax Data'!E29*'Tax Data'!B29,D28*'Tax Data'!B29),0)</f>
        <v>845.4</v>
      </c>
      <c r="D29" s="94" t="n">
        <f aca="false">IF((D28-'Tax Data'!E29)&gt;0,D28-'Tax Data'!E29,0)</f>
        <v>0</v>
      </c>
      <c r="E29" s="74"/>
    </row>
    <row r="30" customFormat="false" ht="12" hidden="false" customHeight="false" outlineLevel="0" collapsed="false">
      <c r="B30" s="44" t="str">
        <f aca="false">F30*100&amp;"% Rate"</f>
        <v>0% Rate</v>
      </c>
      <c r="C30" s="95" t="n">
        <f aca="false">IF(D29&gt;0,IF(D29&gt;='Tax Data'!E30,'Tax Data'!E30*'Tax Data'!B30,D29*'Tax Data'!B30),0)</f>
        <v>0</v>
      </c>
      <c r="D30" s="94" t="n">
        <f aca="false">IF((D29-'Tax Data'!E30)&gt;0,D29-'Tax Data'!E30,0)</f>
        <v>0</v>
      </c>
      <c r="E30" s="74"/>
    </row>
    <row r="31" customFormat="false" ht="12" hidden="false" customHeight="false" outlineLevel="0" collapsed="false">
      <c r="C31" s="0"/>
      <c r="E31" s="74"/>
    </row>
    <row r="32" customFormat="false" ht="12" hidden="false" customHeight="false" outlineLevel="0" collapsed="false">
      <c r="B32" s="5" t="s">
        <v>61</v>
      </c>
      <c r="C32" s="59" t="n">
        <f aca="false">C28+C29+C30</f>
        <v>845.4</v>
      </c>
      <c r="E32" s="74"/>
    </row>
    <row r="34" customFormat="false" ht="17" hidden="false" customHeight="false" outlineLevel="0" collapsed="false">
      <c r="A34" s="107"/>
      <c r="B34" s="108" t="s">
        <v>41</v>
      </c>
      <c r="C34" s="107"/>
      <c r="D34" s="107"/>
      <c r="E34" s="107"/>
      <c r="F34" s="107"/>
      <c r="G34" s="107"/>
      <c r="H34" s="107"/>
      <c r="I34" s="107"/>
    </row>
    <row r="35" customFormat="false" ht="12" hidden="false" customHeight="false" outlineLevel="0" collapsed="false">
      <c r="C35" s="0"/>
      <c r="D35" s="44"/>
      <c r="E35" s="74"/>
    </row>
    <row r="36" customFormat="false" ht="12" hidden="false" customHeight="false" outlineLevel="0" collapsed="false">
      <c r="A36" s="109"/>
      <c r="B36" s="109" t="s">
        <v>60</v>
      </c>
      <c r="C36" s="95" t="n">
        <f aca="false">C4</f>
        <v>15000</v>
      </c>
      <c r="E36" s="110"/>
      <c r="F36" s="109"/>
      <c r="G36" s="109"/>
      <c r="H36" s="109"/>
      <c r="I36" s="109"/>
      <c r="J36" s="109"/>
      <c r="K36" s="111"/>
    </row>
    <row r="37" customFormat="false" ht="12" hidden="false" customHeight="false" outlineLevel="0" collapsed="false">
      <c r="A37" s="109"/>
      <c r="B37" s="109"/>
      <c r="C37" s="0"/>
      <c r="E37" s="110"/>
      <c r="F37" s="109"/>
      <c r="G37" s="109"/>
      <c r="H37" s="109"/>
      <c r="I37" s="109"/>
      <c r="J37" s="109"/>
      <c r="K37" s="111"/>
    </row>
    <row r="38" customFormat="false" ht="12" hidden="false" customHeight="false" outlineLevel="0" collapsed="false">
      <c r="A38" s="109"/>
      <c r="B38" s="109"/>
      <c r="C38" s="5" t="s">
        <v>14</v>
      </c>
      <c r="D38" s="97" t="s">
        <v>52</v>
      </c>
      <c r="E38" s="110"/>
      <c r="F38" s="109"/>
      <c r="G38" s="109"/>
      <c r="H38" s="109"/>
      <c r="I38" s="109"/>
      <c r="J38" s="109"/>
      <c r="K38" s="111"/>
    </row>
    <row r="39" customFormat="false" ht="12" hidden="false" customHeight="false" outlineLevel="0" collapsed="false">
      <c r="A39" s="109"/>
      <c r="B39" s="44" t="str">
        <f aca="false">'Tax Data'!B23*100&amp;"% Rate"</f>
        <v>0% Rate</v>
      </c>
      <c r="C39" s="95" t="n">
        <f aca="false">IF(C36&gt;='Tax Data'!E23,IF(C36&gt;='Tax Data'!E23,'Tax Data'!E23*'Tax Data'!B23,C36*'Tax Data'!B23),0)</f>
        <v>0</v>
      </c>
      <c r="D39" s="94" t="n">
        <f aca="false">IF((C36-'Tax Data'!E23)&gt;0,C36-'Tax Data'!E23,0)</f>
        <v>7045</v>
      </c>
      <c r="E39" s="110"/>
      <c r="F39" s="109"/>
      <c r="G39" s="109"/>
      <c r="H39" s="109"/>
      <c r="I39" s="109"/>
      <c r="J39" s="109"/>
      <c r="K39" s="111"/>
    </row>
    <row r="40" customFormat="false" ht="12" hidden="false" customHeight="false" outlineLevel="0" collapsed="false">
      <c r="A40" s="109"/>
      <c r="B40" s="44" t="str">
        <f aca="false">'Tax Data'!B24*100&amp;"% Rate"</f>
        <v>13.8% Rate</v>
      </c>
      <c r="C40" s="95" t="n">
        <f aca="false">IF(D39&gt;0,IF(D39&gt;='Tax Data'!E24,'Tax Data'!E24*'Tax Data'!B24,D39*'Tax Data'!B24),0)</f>
        <v>972.21</v>
      </c>
      <c r="D40" s="94" t="n">
        <f aca="false">IF((D39-'Tax Data'!E24)&gt;0,D39-'Tax Data'!E24,0)</f>
        <v>0</v>
      </c>
      <c r="E40" s="109"/>
      <c r="F40" s="109"/>
      <c r="G40" s="109"/>
      <c r="H40" s="109"/>
      <c r="I40" s="109"/>
      <c r="J40" s="109"/>
      <c r="K40" s="111"/>
    </row>
    <row r="41" customFormat="false" ht="12" hidden="false" customHeight="false" outlineLevel="0" collapsed="false">
      <c r="A41" s="109"/>
      <c r="B41" s="44" t="str">
        <f aca="false">'Tax Data'!B25*100&amp;"% Rate"</f>
        <v>13.8% Rate</v>
      </c>
      <c r="C41" s="95" t="n">
        <f aca="false">IF(D40&gt;0,IF(D40&gt;='Tax Data'!E25,'Tax Data'!E25*'Tax Data'!B25,D40*'Tax Data'!B25),0)</f>
        <v>0</v>
      </c>
      <c r="D41" s="94" t="n">
        <f aca="false">IF((D40-'Tax Data'!E25)&gt;0,D40-'Tax Data'!E25,0)</f>
        <v>0</v>
      </c>
      <c r="E41" s="109"/>
      <c r="F41" s="109"/>
      <c r="G41" s="109"/>
      <c r="H41" s="109"/>
      <c r="I41" s="109"/>
      <c r="J41" s="109"/>
      <c r="K41" s="111"/>
    </row>
    <row r="42" customFormat="false" ht="12" hidden="false" customHeight="false" outlineLevel="0" collapsed="false">
      <c r="A42" s="109"/>
      <c r="B42" s="109"/>
      <c r="C42" s="0"/>
      <c r="E42" s="109"/>
      <c r="F42" s="109"/>
      <c r="G42" s="109"/>
      <c r="H42" s="109"/>
      <c r="I42" s="109"/>
      <c r="J42" s="109"/>
      <c r="K42" s="111"/>
    </row>
    <row r="43" customFormat="false" ht="12" hidden="false" customHeight="false" outlineLevel="0" collapsed="false">
      <c r="A43" s="109"/>
      <c r="B43" s="112" t="s">
        <v>61</v>
      </c>
      <c r="C43" s="59" t="n">
        <f aca="false">C39+C40+C41</f>
        <v>972.21</v>
      </c>
      <c r="E43" s="109"/>
      <c r="F43" s="109"/>
      <c r="G43" s="109"/>
      <c r="H43" s="109"/>
      <c r="I43" s="109"/>
      <c r="J43" s="109"/>
      <c r="K43" s="11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2"/>
  <cols>
    <col collapsed="false" hidden="false" max="1" min="1" style="0" width="11.5"/>
    <col collapsed="false" hidden="false" max="2" min="2" style="0" width="36.3316326530612"/>
    <col collapsed="false" hidden="false" max="4" min="3" style="0" width="11.5"/>
    <col collapsed="false" hidden="false" max="5" min="5" style="0" width="2.5"/>
    <col collapsed="false" hidden="false" max="6" min="6" style="0" width="11.5"/>
    <col collapsed="false" hidden="false" max="7" min="7" style="0" width="14.1632653061225"/>
    <col collapsed="false" hidden="false" max="8" min="8" style="0" width="18.5051020408163"/>
    <col collapsed="false" hidden="false" max="9" min="9" style="0" width="14.5"/>
    <col collapsed="false" hidden="false" max="1025" min="10" style="0" width="11.5"/>
  </cols>
  <sheetData>
    <row r="1" customFormat="false" ht="23" hidden="false" customHeight="false" outlineLevel="0" collapsed="false">
      <c r="B1" s="45" t="s">
        <v>62</v>
      </c>
    </row>
    <row r="3" customFormat="false" ht="12" hidden="false" customHeight="false" outlineLevel="0" collapsed="false">
      <c r="B3" s="0" t="s">
        <v>34</v>
      </c>
      <c r="C3" s="95" t="n">
        <f aca="false">'Data Entry Page'!C10</f>
        <v>85000</v>
      </c>
      <c r="F3" s="5" t="s">
        <v>33</v>
      </c>
      <c r="H3" s="95" t="n">
        <f aca="false">C3-H4</f>
        <v>57315.47</v>
      </c>
    </row>
    <row r="4" customFormat="false" ht="12" hidden="false" customHeight="false" outlineLevel="0" collapsed="false">
      <c r="B4" s="0" t="s">
        <v>63</v>
      </c>
      <c r="C4" s="113" t="n">
        <f aca="false">'Tax Data'!E33*52</f>
        <v>143</v>
      </c>
      <c r="F4" s="5" t="s">
        <v>64</v>
      </c>
      <c r="H4" s="114" t="n">
        <f aca="false">C4+C5+C6</f>
        <v>27684.53</v>
      </c>
    </row>
    <row r="5" customFormat="false" ht="12" hidden="false" customHeight="false" outlineLevel="0" collapsed="false">
      <c r="B5" s="0" t="s">
        <v>65</v>
      </c>
      <c r="C5" s="95" t="n">
        <f aca="false">C32</f>
        <v>3914.53</v>
      </c>
      <c r="F5" s="5" t="s">
        <v>36</v>
      </c>
      <c r="H5" s="115" t="n">
        <f aca="false">H4/C3</f>
        <v>0.325700352941176</v>
      </c>
    </row>
    <row r="6" customFormat="false" ht="12" hidden="false" customHeight="false" outlineLevel="0" collapsed="false">
      <c r="B6" s="0" t="s">
        <v>16</v>
      </c>
      <c r="C6" s="95" t="n">
        <f aca="false">C19</f>
        <v>23627</v>
      </c>
    </row>
    <row r="9" customFormat="false" ht="17" hidden="false" customHeight="false" outlineLevel="0" collapsed="false">
      <c r="A9" s="78"/>
      <c r="B9" s="79" t="s">
        <v>16</v>
      </c>
      <c r="C9" s="78"/>
      <c r="D9" s="78"/>
      <c r="E9" s="78"/>
      <c r="F9" s="78"/>
      <c r="G9" s="78"/>
      <c r="H9" s="78"/>
      <c r="I9" s="78"/>
    </row>
    <row r="10" customFormat="false" ht="12" hidden="false" customHeight="false" outlineLevel="0" collapsed="false">
      <c r="C10" s="94"/>
      <c r="E10" s="74"/>
      <c r="H10" s="83"/>
    </row>
    <row r="11" customFormat="false" ht="12" hidden="false" customHeight="false" outlineLevel="0" collapsed="false">
      <c r="B11" s="86" t="s">
        <v>58</v>
      </c>
      <c r="C11" s="94" t="n">
        <f aca="false">C3-'Tax Data'!C3</f>
        <v>75000</v>
      </c>
      <c r="E11" s="74"/>
      <c r="G11" s="95"/>
    </row>
    <row r="12" customFormat="false" ht="12" hidden="false" customHeight="false" outlineLevel="0" collapsed="false">
      <c r="B12" s="86"/>
      <c r="C12" s="94"/>
      <c r="E12" s="74"/>
    </row>
    <row r="13" customFormat="false" ht="12" hidden="false" customHeight="false" outlineLevel="0" collapsed="false">
      <c r="E13" s="74"/>
    </row>
    <row r="14" customFormat="false" ht="12" hidden="false" customHeight="false" outlineLevel="0" collapsed="false">
      <c r="C14" s="5" t="s">
        <v>14</v>
      </c>
      <c r="D14" s="97" t="s">
        <v>52</v>
      </c>
      <c r="E14" s="74"/>
      <c r="F14" s="86"/>
      <c r="G14" s="86"/>
      <c r="H14" s="86"/>
      <c r="I14" s="86"/>
    </row>
    <row r="15" customFormat="false" ht="12" hidden="false" customHeight="false" outlineLevel="0" collapsed="false">
      <c r="B15" s="44" t="str">
        <f aca="false">'Tax Data'!B7*100&amp;"% Rate"</f>
        <v>20% Rate</v>
      </c>
      <c r="C15" s="95" t="n">
        <f aca="false">IF(C11&gt;0,IF(C11&gt;='Tax Data'!E7,'Tax Data'!E7*'Tax Data'!B7,C11*'Tax Data'!B7),0)</f>
        <v>6373</v>
      </c>
      <c r="D15" s="94" t="n">
        <f aca="false">IF((C11-'Tax Data'!E7)&gt;0,C11-'Tax Data'!E7,0)</f>
        <v>43135</v>
      </c>
      <c r="E15" s="74"/>
      <c r="F15" s="94"/>
      <c r="G15" s="94"/>
      <c r="H15" s="94"/>
      <c r="I15" s="94"/>
    </row>
    <row r="16" customFormat="false" ht="12" hidden="false" customHeight="false" outlineLevel="0" collapsed="false">
      <c r="B16" s="44" t="str">
        <f aca="false">'Tax Data'!B8*100&amp;"% Rate"</f>
        <v>40% Rate</v>
      </c>
      <c r="C16" s="95" t="n">
        <f aca="false">IF(D15&gt;0,IF(D15&gt;='Tax Data'!E8,'Tax Data'!E8*'Tax Data'!B8,D15*'Tax Data'!B8),0)</f>
        <v>17254</v>
      </c>
      <c r="D16" s="94" t="n">
        <f aca="false">IF((D15-'Tax Data'!E8)&gt;0,D15-'Tax Data'!E8,0)</f>
        <v>0</v>
      </c>
      <c r="E16" s="74"/>
      <c r="F16" s="94"/>
      <c r="G16" s="94"/>
      <c r="H16" s="94"/>
      <c r="I16" s="94"/>
    </row>
    <row r="17" customFormat="false" ht="12" hidden="false" customHeight="false" outlineLevel="0" collapsed="false">
      <c r="B17" s="44" t="str">
        <f aca="false">'Tax Data'!B9*100&amp;"% Rate"</f>
        <v>45% Rate</v>
      </c>
      <c r="C17" s="95" t="n">
        <f aca="false">IF(D16&gt;0,IF(D16&gt;='Tax Data'!E9,'Tax Data'!E9*'Tax Data'!B9,D16*'Tax Data'!B9),0)</f>
        <v>0</v>
      </c>
      <c r="D17" s="94" t="n">
        <f aca="false">IF((D16-'Tax Data'!E9)&gt;0,D16-'Tax Data'!E9,0)</f>
        <v>0</v>
      </c>
      <c r="E17" s="74"/>
      <c r="F17" s="94"/>
      <c r="G17" s="94"/>
      <c r="H17" s="94"/>
      <c r="I17" s="94"/>
    </row>
    <row r="18" customFormat="false" ht="12" hidden="false" customHeight="false" outlineLevel="0" collapsed="false">
      <c r="E18" s="74"/>
    </row>
    <row r="19" customFormat="false" ht="12" hidden="false" customHeight="false" outlineLevel="0" collapsed="false">
      <c r="B19" s="97" t="s">
        <v>59</v>
      </c>
      <c r="C19" s="106" t="n">
        <f aca="false">SUM(C15:C17)</f>
        <v>23627</v>
      </c>
      <c r="E19" s="74"/>
    </row>
    <row r="20" customFormat="false" ht="12" hidden="false" customHeight="false" outlineLevel="0" collapsed="false">
      <c r="E20" s="74"/>
    </row>
    <row r="21" customFormat="false" ht="17" hidden="false" customHeight="false" outlineLevel="0" collapsed="false">
      <c r="A21" s="107"/>
      <c r="B21" s="108" t="s">
        <v>66</v>
      </c>
      <c r="C21" s="107"/>
      <c r="D21" s="107"/>
      <c r="E21" s="107"/>
      <c r="F21" s="107"/>
      <c r="G21" s="107"/>
      <c r="H21" s="107"/>
      <c r="I21" s="107"/>
    </row>
    <row r="22" customFormat="false" ht="12" hidden="false" customHeight="false" outlineLevel="0" collapsed="false">
      <c r="E22" s="74"/>
    </row>
    <row r="23" customFormat="false" ht="12" hidden="false" customHeight="false" outlineLevel="0" collapsed="false">
      <c r="B23" s="0" t="s">
        <v>67</v>
      </c>
      <c r="C23" s="95" t="n">
        <f aca="false">C3</f>
        <v>85000</v>
      </c>
      <c r="E23" s="74"/>
    </row>
    <row r="24" customFormat="false" ht="12" hidden="false" customHeight="false" outlineLevel="0" collapsed="false">
      <c r="E24" s="74"/>
    </row>
    <row r="25" customFormat="false" ht="12" hidden="false" customHeight="false" outlineLevel="0" collapsed="false">
      <c r="C25" s="5" t="s">
        <v>68</v>
      </c>
      <c r="D25" s="97" t="s">
        <v>52</v>
      </c>
      <c r="E25" s="74"/>
    </row>
    <row r="26" customFormat="false" ht="12" hidden="false" customHeight="false" outlineLevel="0" collapsed="false">
      <c r="B26" s="44" t="str">
        <f aca="false">'Tax Data'!B36*100&amp;"% Rate"</f>
        <v>0% Rate</v>
      </c>
      <c r="C26" s="95" t="n">
        <f aca="false">IF(C23&gt;='Tax Data'!C36,IF(C23&gt;='Tax Data'!E36,'Tax Data'!E36*'Tax Data'!B36,C23*'Tax Data'!B36),0)</f>
        <v>0</v>
      </c>
      <c r="D26" s="94" t="n">
        <f aca="false">IF((C23-'Tax Data'!E36)&gt;0,C23-'Tax Data'!E36,0)</f>
        <v>77045</v>
      </c>
      <c r="E26" s="74"/>
    </row>
    <row r="27" customFormat="false" ht="12" hidden="false" customHeight="false" outlineLevel="0" collapsed="false">
      <c r="B27" s="44" t="str">
        <f aca="false">'Tax Data'!B37*100&amp;"% Rate"</f>
        <v>9% Rate</v>
      </c>
      <c r="C27" s="95" t="n">
        <f aca="false">IF(D26&gt;0,IF(D26&gt;='Tax Data'!E37,'Tax Data'!E37*'Tax Data'!B37,D26*'Tax Data'!B37),0)</f>
        <v>3051.81</v>
      </c>
      <c r="D27" s="94" t="n">
        <f aca="false">IF((D26-'Tax Data'!E37)&gt;0,D26-'Tax Data'!E37,0)</f>
        <v>43136</v>
      </c>
      <c r="E27" s="74"/>
    </row>
    <row r="28" customFormat="false" ht="12" hidden="false" customHeight="false" outlineLevel="0" collapsed="false">
      <c r="B28" s="44" t="str">
        <f aca="false">'Tax Data'!B38*100&amp;"% Rate"</f>
        <v>2% Rate</v>
      </c>
      <c r="C28" s="95" t="n">
        <f aca="false">IF(D27&gt;0,IF(D27&gt;='Tax Data'!E38,'Tax Data'!E38*'Tax Data'!B38,D27*'Tax Data'!B38),0)</f>
        <v>862.72</v>
      </c>
      <c r="D28" s="94" t="n">
        <f aca="false">IF((D27-'Tax Data'!E30)&gt;0,D27-'Tax Data'!E38,0)</f>
        <v>0</v>
      </c>
      <c r="E28" s="74"/>
    </row>
    <row r="29" customFormat="false" ht="12" hidden="false" customHeight="false" outlineLevel="0" collapsed="false">
      <c r="E29" s="74"/>
    </row>
    <row r="30" customFormat="false" ht="12" hidden="false" customHeight="false" outlineLevel="0" collapsed="false">
      <c r="B30" s="86" t="s">
        <v>69</v>
      </c>
      <c r="C30" s="94" t="n">
        <f aca="false">SUM(C26:C28)</f>
        <v>3914.53</v>
      </c>
      <c r="E30" s="74"/>
    </row>
    <row r="31" customFormat="false" ht="12" hidden="false" customHeight="false" outlineLevel="0" collapsed="false">
      <c r="B31" s="116"/>
      <c r="C31" s="95"/>
      <c r="E31" s="74"/>
    </row>
    <row r="32" customFormat="false" ht="12" hidden="false" customHeight="false" outlineLevel="0" collapsed="false">
      <c r="B32" s="5" t="s">
        <v>61</v>
      </c>
      <c r="C32" s="59" t="n">
        <f aca="false">C30</f>
        <v>3914.53</v>
      </c>
      <c r="E32" s="7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I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"/>
  <cols>
    <col collapsed="false" hidden="false" max="1" min="1" style="0" width="11.5"/>
    <col collapsed="false" hidden="false" max="2" min="2" style="0" width="36.3316326530612"/>
    <col collapsed="false" hidden="false" max="3" min="3" style="0" width="12.3316326530612"/>
    <col collapsed="false" hidden="false" max="4" min="4" style="0" width="11.5"/>
    <col collapsed="false" hidden="false" max="5" min="5" style="0" width="2.5"/>
    <col collapsed="false" hidden="false" max="6" min="6" style="0" width="11.5"/>
    <col collapsed="false" hidden="false" max="7" min="7" style="0" width="14.1632653061225"/>
    <col collapsed="false" hidden="false" max="8" min="8" style="0" width="18.5051020408163"/>
    <col collapsed="false" hidden="false" max="9" min="9" style="0" width="14.5"/>
    <col collapsed="false" hidden="false" max="1025" min="10" style="0" width="11.5"/>
  </cols>
  <sheetData>
    <row r="1" customFormat="false" ht="23" hidden="false" customHeight="false" outlineLevel="0" collapsed="false">
      <c r="B1" s="45" t="s">
        <v>70</v>
      </c>
    </row>
    <row r="2" customFormat="false" ht="13" hidden="false" customHeight="false" outlineLevel="0" collapsed="false"/>
    <row r="3" customFormat="false" ht="12" hidden="false" customHeight="false" outlineLevel="0" collapsed="false">
      <c r="A3" s="117" t="s">
        <v>71</v>
      </c>
      <c r="B3" s="118"/>
      <c r="C3" s="118"/>
      <c r="D3" s="118"/>
      <c r="E3" s="118"/>
      <c r="F3" s="118"/>
      <c r="G3" s="118"/>
      <c r="H3" s="118"/>
      <c r="I3" s="119"/>
    </row>
    <row r="4" customFormat="false" ht="12.8" hidden="false" customHeight="false" outlineLevel="0" collapsed="false">
      <c r="A4" s="120"/>
      <c r="B4" s="121" t="s">
        <v>72</v>
      </c>
      <c r="C4" s="122" t="n">
        <f aca="false">'Data Entry Page'!C10/'Data Entry Page'!C8</f>
        <v>42500</v>
      </c>
      <c r="D4" s="121"/>
      <c r="E4" s="121"/>
      <c r="F4" s="123" t="s">
        <v>33</v>
      </c>
      <c r="G4" s="121"/>
      <c r="H4" s="122" t="n">
        <f aca="false">C4-H5</f>
        <v>32665.47</v>
      </c>
      <c r="I4" s="124"/>
    </row>
    <row r="5" customFormat="false" ht="12" hidden="false" customHeight="false" outlineLevel="0" collapsed="false">
      <c r="A5" s="120"/>
      <c r="B5" s="121" t="s">
        <v>63</v>
      </c>
      <c r="C5" s="125" t="n">
        <f aca="false">'Tax Data'!E33*52</f>
        <v>143</v>
      </c>
      <c r="D5" s="121"/>
      <c r="E5" s="121"/>
      <c r="F5" s="123" t="s">
        <v>64</v>
      </c>
      <c r="G5" s="121"/>
      <c r="H5" s="126" t="n">
        <f aca="false">C5+C6+C7</f>
        <v>9834.53</v>
      </c>
      <c r="I5" s="124"/>
    </row>
    <row r="6" customFormat="false" ht="12" hidden="false" customHeight="false" outlineLevel="0" collapsed="false">
      <c r="A6" s="120"/>
      <c r="B6" s="121" t="s">
        <v>65</v>
      </c>
      <c r="C6" s="122" t="n">
        <f aca="false">C31</f>
        <v>3064.53</v>
      </c>
      <c r="D6" s="121"/>
      <c r="E6" s="121"/>
      <c r="F6" s="123" t="s">
        <v>36</v>
      </c>
      <c r="G6" s="121"/>
      <c r="H6" s="127" t="n">
        <f aca="false">H5/C4</f>
        <v>0.231400705882353</v>
      </c>
      <c r="I6" s="124"/>
    </row>
    <row r="7" customFormat="false" ht="12" hidden="false" customHeight="false" outlineLevel="0" collapsed="false">
      <c r="A7" s="120"/>
      <c r="B7" s="121" t="s">
        <v>16</v>
      </c>
      <c r="C7" s="122" t="n">
        <f aca="false">C20</f>
        <v>6627</v>
      </c>
      <c r="D7" s="121"/>
      <c r="E7" s="121"/>
      <c r="F7" s="121"/>
      <c r="G7" s="121"/>
      <c r="H7" s="121"/>
      <c r="I7" s="124"/>
    </row>
    <row r="8" customFormat="false" ht="12" hidden="false" customHeight="false" outlineLevel="0" collapsed="false">
      <c r="A8" s="120"/>
      <c r="B8" s="121"/>
      <c r="C8" s="121"/>
      <c r="D8" s="121"/>
      <c r="E8" s="121"/>
      <c r="F8" s="121"/>
      <c r="G8" s="121"/>
      <c r="H8" s="121"/>
      <c r="I8" s="124"/>
    </row>
    <row r="9" customFormat="false" ht="12" hidden="false" customHeight="false" outlineLevel="0" collapsed="false">
      <c r="A9" s="120"/>
      <c r="B9" s="121"/>
      <c r="C9" s="121"/>
      <c r="D9" s="121"/>
      <c r="E9" s="121"/>
      <c r="F9" s="121"/>
      <c r="G9" s="121"/>
      <c r="H9" s="121"/>
      <c r="I9" s="124"/>
    </row>
    <row r="10" customFormat="false" ht="17" hidden="false" customHeight="false" outlineLevel="0" collapsed="false">
      <c r="A10" s="80"/>
      <c r="B10" s="128" t="s">
        <v>16</v>
      </c>
      <c r="C10" s="129"/>
      <c r="D10" s="129"/>
      <c r="E10" s="129"/>
      <c r="F10" s="129"/>
      <c r="G10" s="129"/>
      <c r="H10" s="129"/>
      <c r="I10" s="81"/>
    </row>
    <row r="11" customFormat="false" ht="12" hidden="false" customHeight="false" outlineLevel="0" collapsed="false">
      <c r="A11" s="120"/>
      <c r="B11" s="121"/>
      <c r="C11" s="130"/>
      <c r="D11" s="121"/>
      <c r="E11" s="131"/>
      <c r="F11" s="121"/>
      <c r="G11" s="121"/>
      <c r="H11" s="132"/>
      <c r="I11" s="124"/>
    </row>
    <row r="12" customFormat="false" ht="12" hidden="false" customHeight="false" outlineLevel="0" collapsed="false">
      <c r="A12" s="120"/>
      <c r="B12" s="133" t="s">
        <v>58</v>
      </c>
      <c r="C12" s="130" t="n">
        <f aca="false">C4-'Tax Data'!C3</f>
        <v>32500</v>
      </c>
      <c r="D12" s="121"/>
      <c r="E12" s="131"/>
      <c r="F12" s="121"/>
      <c r="G12" s="122"/>
      <c r="H12" s="121"/>
      <c r="I12" s="124"/>
    </row>
    <row r="13" customFormat="false" ht="12" hidden="false" customHeight="false" outlineLevel="0" collapsed="false">
      <c r="A13" s="120"/>
      <c r="B13" s="133"/>
      <c r="C13" s="130"/>
      <c r="D13" s="121"/>
      <c r="E13" s="131"/>
      <c r="F13" s="121"/>
      <c r="G13" s="121"/>
      <c r="H13" s="121"/>
      <c r="I13" s="124"/>
    </row>
    <row r="14" customFormat="false" ht="12" hidden="false" customHeight="false" outlineLevel="0" collapsed="false">
      <c r="A14" s="120"/>
      <c r="B14" s="121"/>
      <c r="C14" s="121"/>
      <c r="D14" s="121"/>
      <c r="E14" s="131"/>
      <c r="F14" s="121"/>
      <c r="G14" s="121"/>
      <c r="H14" s="121"/>
      <c r="I14" s="124"/>
    </row>
    <row r="15" customFormat="false" ht="12" hidden="false" customHeight="false" outlineLevel="0" collapsed="false">
      <c r="A15" s="120"/>
      <c r="B15" s="121"/>
      <c r="C15" s="123" t="s">
        <v>14</v>
      </c>
      <c r="D15" s="134" t="s">
        <v>52</v>
      </c>
      <c r="E15" s="131"/>
      <c r="F15" s="133"/>
      <c r="G15" s="133"/>
      <c r="H15" s="133"/>
      <c r="I15" s="135"/>
    </row>
    <row r="16" customFormat="false" ht="12" hidden="false" customHeight="false" outlineLevel="0" collapsed="false">
      <c r="A16" s="120"/>
      <c r="B16" s="136" t="str">
        <f aca="false">'Tax Data'!B7*100&amp;"% Rate"</f>
        <v>20% Rate</v>
      </c>
      <c r="C16" s="122" t="n">
        <f aca="false">IF(C12&gt;0,IF(C12&gt;='Tax Data'!E7,'Tax Data'!E7*'Tax Data'!B7,C12*'Tax Data'!B7),0)</f>
        <v>6373</v>
      </c>
      <c r="D16" s="130" t="n">
        <f aca="false">IF((C12-'Tax Data'!E7)&gt;0,C12-'Tax Data'!E7,0)</f>
        <v>635</v>
      </c>
      <c r="E16" s="131"/>
      <c r="F16" s="130"/>
      <c r="G16" s="130"/>
      <c r="H16" s="130"/>
      <c r="I16" s="137"/>
    </row>
    <row r="17" customFormat="false" ht="12" hidden="false" customHeight="false" outlineLevel="0" collapsed="false">
      <c r="A17" s="120"/>
      <c r="B17" s="136" t="str">
        <f aca="false">'Tax Data'!B8*100&amp;"% Rate"</f>
        <v>40% Rate</v>
      </c>
      <c r="C17" s="122" t="n">
        <f aca="false">IF(D16&gt;0,IF(D16&gt;='Tax Data'!E8,'Tax Data'!E8*'Tax Data'!B8,D16*'Tax Data'!B8),0)</f>
        <v>254</v>
      </c>
      <c r="D17" s="130" t="n">
        <f aca="false">IF((D16-'Tax Data'!E8)&gt;0,D16-'Tax Data'!E8,0)</f>
        <v>0</v>
      </c>
      <c r="E17" s="131"/>
      <c r="F17" s="130"/>
      <c r="G17" s="130"/>
      <c r="H17" s="130"/>
      <c r="I17" s="137"/>
    </row>
    <row r="18" customFormat="false" ht="12" hidden="false" customHeight="false" outlineLevel="0" collapsed="false">
      <c r="A18" s="120"/>
      <c r="B18" s="136" t="str">
        <f aca="false">'Tax Data'!B9*100&amp;"% Rate"</f>
        <v>45% Rate</v>
      </c>
      <c r="C18" s="122" t="n">
        <f aca="false">IF(D17&gt;0,IF(D17&gt;='Tax Data'!E9,'Tax Data'!E9*'Tax Data'!B9,D17*'Tax Data'!B9),0)</f>
        <v>0</v>
      </c>
      <c r="D18" s="130" t="n">
        <f aca="false">IF((D17-'Tax Data'!E9)&gt;0,D17-'Tax Data'!E9,0)</f>
        <v>0</v>
      </c>
      <c r="E18" s="131"/>
      <c r="F18" s="130"/>
      <c r="G18" s="130"/>
      <c r="H18" s="130"/>
      <c r="I18" s="137"/>
    </row>
    <row r="19" customFormat="false" ht="12" hidden="false" customHeight="false" outlineLevel="0" collapsed="false">
      <c r="A19" s="120"/>
      <c r="B19" s="121"/>
      <c r="C19" s="121"/>
      <c r="D19" s="121"/>
      <c r="E19" s="131"/>
      <c r="F19" s="121"/>
      <c r="G19" s="121"/>
      <c r="H19" s="121"/>
      <c r="I19" s="124"/>
    </row>
    <row r="20" customFormat="false" ht="12" hidden="false" customHeight="false" outlineLevel="0" collapsed="false">
      <c r="A20" s="120"/>
      <c r="B20" s="134" t="s">
        <v>59</v>
      </c>
      <c r="C20" s="138" t="n">
        <f aca="false">SUM(C16:C18)</f>
        <v>6627</v>
      </c>
      <c r="D20" s="121"/>
      <c r="E20" s="131"/>
      <c r="F20" s="121"/>
      <c r="G20" s="121"/>
      <c r="H20" s="121"/>
      <c r="I20" s="124"/>
    </row>
    <row r="21" customFormat="false" ht="12" hidden="false" customHeight="false" outlineLevel="0" collapsed="false">
      <c r="A21" s="120"/>
      <c r="B21" s="121"/>
      <c r="C21" s="121"/>
      <c r="D21" s="121"/>
      <c r="E21" s="131"/>
      <c r="F21" s="121"/>
      <c r="G21" s="121"/>
      <c r="H21" s="121"/>
      <c r="I21" s="124"/>
    </row>
    <row r="22" customFormat="false" ht="17" hidden="false" customHeight="false" outlineLevel="0" collapsed="false">
      <c r="A22" s="139"/>
      <c r="B22" s="140" t="s">
        <v>66</v>
      </c>
      <c r="C22" s="141"/>
      <c r="D22" s="141"/>
      <c r="E22" s="141"/>
      <c r="F22" s="141"/>
      <c r="G22" s="141"/>
      <c r="H22" s="141"/>
      <c r="I22" s="142"/>
    </row>
    <row r="23" customFormat="false" ht="12" hidden="false" customHeight="false" outlineLevel="0" collapsed="false">
      <c r="A23" s="120"/>
      <c r="B23" s="121"/>
      <c r="C23" s="121"/>
      <c r="D23" s="121"/>
      <c r="E23" s="131"/>
      <c r="F23" s="121"/>
      <c r="G23" s="121"/>
      <c r="H23" s="121"/>
      <c r="I23" s="124"/>
    </row>
    <row r="24" customFormat="false" ht="12" hidden="false" customHeight="false" outlineLevel="0" collapsed="false">
      <c r="A24" s="120"/>
      <c r="B24" s="121" t="s">
        <v>67</v>
      </c>
      <c r="C24" s="122" t="n">
        <f aca="false">C4</f>
        <v>42500</v>
      </c>
      <c r="D24" s="121"/>
      <c r="E24" s="131"/>
      <c r="F24" s="121"/>
      <c r="G24" s="121"/>
      <c r="H24" s="121"/>
      <c r="I24" s="124"/>
    </row>
    <row r="25" customFormat="false" ht="12" hidden="false" customHeight="false" outlineLevel="0" collapsed="false">
      <c r="A25" s="120"/>
      <c r="B25" s="121"/>
      <c r="C25" s="121"/>
      <c r="D25" s="121"/>
      <c r="E25" s="131"/>
      <c r="F25" s="121"/>
      <c r="G25" s="121"/>
      <c r="H25" s="121"/>
      <c r="I25" s="124"/>
    </row>
    <row r="26" customFormat="false" ht="12" hidden="false" customHeight="false" outlineLevel="0" collapsed="false">
      <c r="A26" s="120"/>
      <c r="B26" s="121"/>
      <c r="C26" s="123" t="s">
        <v>68</v>
      </c>
      <c r="D26" s="134" t="s">
        <v>52</v>
      </c>
      <c r="E26" s="131"/>
      <c r="F26" s="121"/>
      <c r="G26" s="121"/>
      <c r="H26" s="121"/>
      <c r="I26" s="124"/>
    </row>
    <row r="27" customFormat="false" ht="12" hidden="false" customHeight="false" outlineLevel="0" collapsed="false">
      <c r="A27" s="120"/>
      <c r="B27" s="136" t="str">
        <f aca="false">'Tax Data'!B36*100&amp;"% Rate"</f>
        <v>0% Rate</v>
      </c>
      <c r="C27" s="122" t="n">
        <f aca="false">IF(C24&gt;='Tax Data'!C36,IF(C24&gt;='Tax Data'!E36,'Tax Data'!E36*'Tax Data'!B36,C24*'Tax Data'!B36),0)</f>
        <v>0</v>
      </c>
      <c r="D27" s="130" t="n">
        <f aca="false">IF((C24-'Tax Data'!E36)&gt;0,C24-'Tax Data'!E36,0)</f>
        <v>34545</v>
      </c>
      <c r="E27" s="131"/>
      <c r="F27" s="121"/>
      <c r="G27" s="121"/>
      <c r="H27" s="121"/>
      <c r="I27" s="124"/>
    </row>
    <row r="28" customFormat="false" ht="12" hidden="false" customHeight="false" outlineLevel="0" collapsed="false">
      <c r="A28" s="120"/>
      <c r="B28" s="136" t="str">
        <f aca="false">'Tax Data'!B37*100&amp;"% Rate"</f>
        <v>9% Rate</v>
      </c>
      <c r="C28" s="122" t="n">
        <f aca="false">IF(D27&gt;0,IF(D27&gt;='Tax Data'!E37,'Tax Data'!E37*'Tax Data'!B37,D27*'Tax Data'!B37),0)</f>
        <v>3051.81</v>
      </c>
      <c r="D28" s="130" t="n">
        <f aca="false">IF((D27-'Tax Data'!E37)&gt;0,D27-'Tax Data'!E37,0)</f>
        <v>636</v>
      </c>
      <c r="E28" s="131"/>
      <c r="F28" s="121"/>
      <c r="G28" s="121"/>
      <c r="H28" s="121"/>
      <c r="I28" s="124"/>
    </row>
    <row r="29" customFormat="false" ht="12" hidden="false" customHeight="false" outlineLevel="0" collapsed="false">
      <c r="A29" s="120"/>
      <c r="B29" s="136" t="str">
        <f aca="false">'Tax Data'!B38*100&amp;"% Rate"</f>
        <v>2% Rate</v>
      </c>
      <c r="C29" s="122" t="n">
        <f aca="false">IF(D28&gt;0,IF(D28&gt;='Tax Data'!E38,'Tax Data'!E38*'Tax Data'!B38,D28*'Tax Data'!B38),0)</f>
        <v>12.72</v>
      </c>
      <c r="D29" s="130" t="n">
        <f aca="false">IF((D28-'Tax Data'!E30)&gt;0,D28-'Tax Data'!E38,0)</f>
        <v>0</v>
      </c>
      <c r="E29" s="131"/>
      <c r="F29" s="121"/>
      <c r="G29" s="121"/>
      <c r="H29" s="121"/>
      <c r="I29" s="124"/>
    </row>
    <row r="30" customFormat="false" ht="12" hidden="false" customHeight="false" outlineLevel="0" collapsed="false">
      <c r="A30" s="120"/>
      <c r="B30" s="121"/>
      <c r="C30" s="121"/>
      <c r="D30" s="121"/>
      <c r="E30" s="131"/>
      <c r="F30" s="121"/>
      <c r="G30" s="121"/>
      <c r="H30" s="121"/>
      <c r="I30" s="124"/>
    </row>
    <row r="31" customFormat="false" ht="12" hidden="false" customHeight="false" outlineLevel="0" collapsed="false">
      <c r="A31" s="120"/>
      <c r="B31" s="123" t="s">
        <v>73</v>
      </c>
      <c r="C31" s="143" t="n">
        <f aca="false">-C27+C28+C29</f>
        <v>3064.53</v>
      </c>
      <c r="D31" s="121"/>
      <c r="E31" s="131"/>
      <c r="F31" s="121"/>
      <c r="G31" s="121"/>
      <c r="H31" s="121"/>
      <c r="I31" s="124"/>
    </row>
    <row r="32" customFormat="false" ht="13" hidden="false" customHeight="false" outlineLevel="0" collapsed="false">
      <c r="A32" s="144"/>
      <c r="B32" s="145"/>
      <c r="C32" s="146"/>
      <c r="D32" s="147"/>
      <c r="E32" s="148"/>
      <c r="F32" s="147"/>
      <c r="G32" s="147"/>
      <c r="H32" s="147"/>
      <c r="I32" s="149"/>
    </row>
    <row r="34" customFormat="false" ht="12" hidden="false" customHeight="false" outlineLevel="0" collapsed="false">
      <c r="A34" s="117" t="s">
        <v>74</v>
      </c>
      <c r="B34" s="118"/>
      <c r="C34" s="118"/>
      <c r="D34" s="118"/>
      <c r="E34" s="118"/>
      <c r="F34" s="118"/>
      <c r="G34" s="118"/>
      <c r="H34" s="118"/>
      <c r="I34" s="119"/>
    </row>
    <row r="35" customFormat="false" ht="12" hidden="false" customHeight="false" outlineLevel="0" collapsed="false">
      <c r="A35" s="120"/>
      <c r="B35" s="121" t="s">
        <v>72</v>
      </c>
      <c r="C35" s="150" t="n">
        <f aca="false">C4*'Data Entry Page'!C8</f>
        <v>85000</v>
      </c>
      <c r="D35" s="150"/>
      <c r="E35" s="150"/>
      <c r="F35" s="151" t="s">
        <v>33</v>
      </c>
      <c r="G35" s="151"/>
      <c r="H35" s="150" t="n">
        <f aca="false">C35-C36-C37-C38</f>
        <v>65330.94</v>
      </c>
      <c r="I35" s="152"/>
    </row>
    <row r="36" customFormat="false" ht="12" hidden="false" customHeight="false" outlineLevel="0" collapsed="false">
      <c r="A36" s="120"/>
      <c r="B36" s="121" t="s">
        <v>63</v>
      </c>
      <c r="C36" s="150" t="n">
        <f aca="false">C5*'Data Entry Page'!C8</f>
        <v>286</v>
      </c>
      <c r="D36" s="150"/>
      <c r="E36" s="150"/>
      <c r="F36" s="151" t="s">
        <v>64</v>
      </c>
      <c r="G36" s="151"/>
      <c r="H36" s="150" t="n">
        <f aca="false">C36+C37+C38</f>
        <v>19669.06</v>
      </c>
      <c r="I36" s="152"/>
    </row>
    <row r="37" customFormat="false" ht="12" hidden="false" customHeight="false" outlineLevel="0" collapsed="false">
      <c r="A37" s="120"/>
      <c r="B37" s="121" t="s">
        <v>65</v>
      </c>
      <c r="C37" s="150" t="n">
        <f aca="false">C6*'Data Entry Page'!C8</f>
        <v>6129.06</v>
      </c>
      <c r="D37" s="150"/>
      <c r="E37" s="150"/>
      <c r="F37" s="151" t="s">
        <v>36</v>
      </c>
      <c r="G37" s="151"/>
      <c r="H37" s="127" t="n">
        <f aca="false">H36/C35</f>
        <v>0.231400705882353</v>
      </c>
      <c r="I37" s="153"/>
    </row>
    <row r="38" customFormat="false" ht="12" hidden="false" customHeight="false" outlineLevel="0" collapsed="false">
      <c r="A38" s="120"/>
      <c r="B38" s="121" t="s">
        <v>16</v>
      </c>
      <c r="C38" s="150" t="n">
        <f aca="false">C7*'Data Entry Page'!C8</f>
        <v>13254</v>
      </c>
      <c r="D38" s="150"/>
      <c r="E38" s="150"/>
      <c r="F38" s="150"/>
      <c r="G38" s="150"/>
      <c r="H38" s="150"/>
      <c r="I38" s="152"/>
    </row>
    <row r="39" customFormat="false" ht="12" hidden="false" customHeight="false" outlineLevel="0" collapsed="false">
      <c r="A39" s="120"/>
      <c r="B39" s="121"/>
      <c r="C39" s="150"/>
      <c r="D39" s="150"/>
      <c r="E39" s="150"/>
      <c r="F39" s="150"/>
      <c r="G39" s="150"/>
      <c r="H39" s="150"/>
      <c r="I39" s="152"/>
    </row>
    <row r="40" customFormat="false" ht="12" hidden="false" customHeight="false" outlineLevel="0" collapsed="false">
      <c r="A40" s="120"/>
      <c r="B40" s="121"/>
      <c r="C40" s="150"/>
      <c r="D40" s="150"/>
      <c r="E40" s="150"/>
      <c r="F40" s="150"/>
      <c r="G40" s="150"/>
      <c r="H40" s="150"/>
      <c r="I40" s="152"/>
    </row>
    <row r="41" customFormat="false" ht="17" hidden="false" customHeight="false" outlineLevel="0" collapsed="false">
      <c r="A41" s="154"/>
      <c r="B41" s="128" t="s">
        <v>16</v>
      </c>
      <c r="C41" s="155"/>
      <c r="D41" s="155"/>
      <c r="E41" s="155"/>
      <c r="F41" s="155"/>
      <c r="G41" s="155"/>
      <c r="H41" s="155"/>
      <c r="I41" s="156"/>
    </row>
    <row r="42" customFormat="false" ht="12" hidden="false" customHeight="false" outlineLevel="0" collapsed="false">
      <c r="A42" s="120"/>
      <c r="B42" s="121"/>
      <c r="C42" s="150"/>
      <c r="D42" s="150"/>
      <c r="E42" s="157"/>
      <c r="F42" s="150"/>
      <c r="G42" s="150"/>
      <c r="H42" s="150"/>
      <c r="I42" s="152"/>
    </row>
    <row r="43" customFormat="false" ht="12" hidden="false" customHeight="false" outlineLevel="0" collapsed="false">
      <c r="A43" s="120"/>
      <c r="B43" s="121" t="s">
        <v>58</v>
      </c>
      <c r="C43" s="150" t="n">
        <f aca="false">C12*'Data Entry Page'!C8</f>
        <v>65000</v>
      </c>
      <c r="D43" s="150"/>
      <c r="E43" s="157"/>
      <c r="F43" s="150"/>
      <c r="G43" s="150"/>
      <c r="H43" s="150"/>
      <c r="I43" s="152"/>
    </row>
    <row r="44" customFormat="false" ht="12" hidden="false" customHeight="false" outlineLevel="0" collapsed="false">
      <c r="A44" s="120"/>
      <c r="B44" s="121"/>
      <c r="C44" s="150"/>
      <c r="D44" s="150"/>
      <c r="E44" s="157"/>
      <c r="F44" s="150"/>
      <c r="G44" s="150"/>
      <c r="H44" s="150"/>
      <c r="I44" s="152"/>
    </row>
    <row r="45" customFormat="false" ht="12" hidden="false" customHeight="false" outlineLevel="0" collapsed="false">
      <c r="A45" s="120"/>
      <c r="B45" s="121"/>
      <c r="C45" s="150"/>
      <c r="D45" s="150"/>
      <c r="E45" s="157"/>
      <c r="F45" s="150"/>
      <c r="G45" s="150"/>
      <c r="H45" s="150"/>
      <c r="I45" s="152"/>
    </row>
    <row r="46" customFormat="false" ht="12" hidden="false" customHeight="false" outlineLevel="0" collapsed="false">
      <c r="A46" s="120"/>
      <c r="B46" s="121"/>
      <c r="C46" s="151" t="s">
        <v>14</v>
      </c>
      <c r="D46" s="151"/>
      <c r="E46" s="157"/>
      <c r="F46" s="150"/>
      <c r="G46" s="150"/>
      <c r="H46" s="150"/>
      <c r="I46" s="152"/>
    </row>
    <row r="47" customFormat="false" ht="12" hidden="false" customHeight="false" outlineLevel="0" collapsed="false">
      <c r="A47" s="120"/>
      <c r="B47" s="121" t="s">
        <v>75</v>
      </c>
      <c r="C47" s="150" t="n">
        <f aca="false">C16*'Data Entry Page'!C8</f>
        <v>12746</v>
      </c>
      <c r="D47" s="150"/>
      <c r="E47" s="157"/>
      <c r="F47" s="150"/>
      <c r="G47" s="150"/>
      <c r="H47" s="150"/>
      <c r="I47" s="152"/>
    </row>
    <row r="48" customFormat="false" ht="12" hidden="false" customHeight="false" outlineLevel="0" collapsed="false">
      <c r="A48" s="120"/>
      <c r="B48" s="121" t="s">
        <v>76</v>
      </c>
      <c r="C48" s="150" t="n">
        <f aca="false">C17*'Data Entry Page'!C8</f>
        <v>508</v>
      </c>
      <c r="D48" s="150"/>
      <c r="E48" s="157"/>
      <c r="F48" s="150"/>
      <c r="G48" s="150"/>
      <c r="H48" s="150"/>
      <c r="I48" s="152"/>
    </row>
    <row r="49" customFormat="false" ht="12" hidden="false" customHeight="false" outlineLevel="0" collapsed="false">
      <c r="A49" s="120"/>
      <c r="B49" s="121" t="s">
        <v>77</v>
      </c>
      <c r="C49" s="150" t="n">
        <f aca="false">C18*'Data Entry Page'!C8</f>
        <v>0</v>
      </c>
      <c r="D49" s="150"/>
      <c r="E49" s="157"/>
      <c r="F49" s="150"/>
      <c r="G49" s="150"/>
      <c r="H49" s="150"/>
      <c r="I49" s="152"/>
    </row>
    <row r="50" customFormat="false" ht="12" hidden="false" customHeight="false" outlineLevel="0" collapsed="false">
      <c r="A50" s="120"/>
      <c r="B50" s="121"/>
      <c r="C50" s="150"/>
      <c r="D50" s="150"/>
      <c r="E50" s="157"/>
      <c r="F50" s="150"/>
      <c r="G50" s="150"/>
      <c r="H50" s="150"/>
      <c r="I50" s="152"/>
    </row>
    <row r="51" customFormat="false" ht="12" hidden="false" customHeight="false" outlineLevel="0" collapsed="false">
      <c r="A51" s="120"/>
      <c r="B51" s="121" t="s">
        <v>59</v>
      </c>
      <c r="C51" s="150" t="n">
        <f aca="false">C20*'Data Entry Page'!C8</f>
        <v>13254</v>
      </c>
      <c r="D51" s="150"/>
      <c r="E51" s="157"/>
      <c r="F51" s="150"/>
      <c r="G51" s="150"/>
      <c r="H51" s="150"/>
      <c r="I51" s="152"/>
    </row>
    <row r="52" customFormat="false" ht="12" hidden="false" customHeight="false" outlineLevel="0" collapsed="false">
      <c r="A52" s="120"/>
      <c r="B52" s="121"/>
      <c r="C52" s="150"/>
      <c r="D52" s="150"/>
      <c r="E52" s="157"/>
      <c r="F52" s="150"/>
      <c r="G52" s="150"/>
      <c r="H52" s="150"/>
      <c r="I52" s="152"/>
    </row>
    <row r="53" customFormat="false" ht="17" hidden="false" customHeight="false" outlineLevel="0" collapsed="false">
      <c r="A53" s="139"/>
      <c r="B53" s="140" t="s">
        <v>66</v>
      </c>
      <c r="C53" s="158"/>
      <c r="D53" s="158"/>
      <c r="E53" s="158"/>
      <c r="F53" s="158"/>
      <c r="G53" s="158"/>
      <c r="H53" s="158"/>
      <c r="I53" s="159"/>
    </row>
    <row r="54" customFormat="false" ht="12" hidden="false" customHeight="false" outlineLevel="0" collapsed="false">
      <c r="A54" s="120"/>
      <c r="B54" s="121"/>
      <c r="C54" s="150"/>
      <c r="D54" s="150"/>
      <c r="E54" s="157"/>
      <c r="F54" s="150"/>
      <c r="G54" s="150"/>
      <c r="H54" s="150"/>
      <c r="I54" s="152"/>
    </row>
    <row r="55" customFormat="false" ht="12" hidden="false" customHeight="false" outlineLevel="0" collapsed="false">
      <c r="A55" s="120"/>
      <c r="B55" s="121" t="s">
        <v>67</v>
      </c>
      <c r="C55" s="150" t="n">
        <f aca="false">C24*C58</f>
        <v>0</v>
      </c>
      <c r="D55" s="150"/>
      <c r="E55" s="157"/>
      <c r="F55" s="150"/>
      <c r="G55" s="150"/>
      <c r="H55" s="150"/>
      <c r="I55" s="152"/>
    </row>
    <row r="56" customFormat="false" ht="12" hidden="false" customHeight="false" outlineLevel="0" collapsed="false">
      <c r="A56" s="120"/>
      <c r="B56" s="121"/>
      <c r="C56" s="150"/>
      <c r="D56" s="150"/>
      <c r="E56" s="157"/>
      <c r="F56" s="150"/>
      <c r="G56" s="150"/>
      <c r="H56" s="150"/>
      <c r="I56" s="152"/>
    </row>
    <row r="57" customFormat="false" ht="12" hidden="false" customHeight="false" outlineLevel="0" collapsed="false">
      <c r="A57" s="120"/>
      <c r="B57" s="121"/>
      <c r="C57" s="151" t="s">
        <v>68</v>
      </c>
      <c r="D57" s="151"/>
      <c r="E57" s="157"/>
      <c r="F57" s="150"/>
      <c r="G57" s="150"/>
      <c r="H57" s="150"/>
      <c r="I57" s="152"/>
    </row>
    <row r="58" customFormat="false" ht="12" hidden="false" customHeight="false" outlineLevel="0" collapsed="false">
      <c r="A58" s="120"/>
      <c r="B58" s="121" t="s">
        <v>78</v>
      </c>
      <c r="C58" s="150" t="n">
        <f aca="false">C27*'Data Entry Page'!C8</f>
        <v>0</v>
      </c>
      <c r="D58" s="150"/>
      <c r="E58" s="157"/>
      <c r="F58" s="150"/>
      <c r="G58" s="150"/>
      <c r="H58" s="150"/>
      <c r="I58" s="152"/>
    </row>
    <row r="59" customFormat="false" ht="12" hidden="false" customHeight="false" outlineLevel="0" collapsed="false">
      <c r="A59" s="120"/>
      <c r="B59" s="121" t="s">
        <v>79</v>
      </c>
      <c r="C59" s="150" t="n">
        <f aca="false">C28*'Data Entry Page'!C8</f>
        <v>6103.62</v>
      </c>
      <c r="D59" s="150"/>
      <c r="E59" s="157"/>
      <c r="F59" s="150"/>
      <c r="G59" s="150"/>
      <c r="H59" s="150"/>
      <c r="I59" s="152"/>
    </row>
    <row r="60" customFormat="false" ht="12" hidden="false" customHeight="false" outlineLevel="0" collapsed="false">
      <c r="A60" s="120"/>
      <c r="B60" s="121" t="s">
        <v>80</v>
      </c>
      <c r="C60" s="150" t="n">
        <f aca="false">'UK Partnership'!C29*'Data Entry Page'!C8</f>
        <v>25.44</v>
      </c>
      <c r="D60" s="150"/>
      <c r="E60" s="157"/>
      <c r="F60" s="150"/>
      <c r="G60" s="150"/>
      <c r="H60" s="150"/>
      <c r="I60" s="152"/>
    </row>
    <row r="61" customFormat="false" ht="12" hidden="false" customHeight="false" outlineLevel="0" collapsed="false">
      <c r="A61" s="120"/>
      <c r="B61" s="121"/>
      <c r="C61" s="150"/>
      <c r="D61" s="150"/>
      <c r="E61" s="157"/>
      <c r="F61" s="150"/>
      <c r="G61" s="150"/>
      <c r="H61" s="150"/>
      <c r="I61" s="152"/>
    </row>
    <row r="62" customFormat="false" ht="12" hidden="false" customHeight="false" outlineLevel="0" collapsed="false">
      <c r="A62" s="120"/>
      <c r="B62" s="123" t="s">
        <v>81</v>
      </c>
      <c r="C62" s="151" t="n">
        <f aca="false">C31*'Data Entry Page'!C8</f>
        <v>6129.06</v>
      </c>
      <c r="D62" s="150"/>
      <c r="E62" s="157"/>
      <c r="F62" s="150"/>
      <c r="G62" s="150"/>
      <c r="H62" s="150"/>
      <c r="I62" s="152"/>
    </row>
    <row r="63" customFormat="false" ht="12" hidden="false" customHeight="false" outlineLevel="0" collapsed="false">
      <c r="A63" s="120"/>
      <c r="B63" s="121"/>
      <c r="C63" s="150"/>
      <c r="D63" s="150"/>
      <c r="E63" s="157"/>
      <c r="F63" s="150"/>
      <c r="G63" s="150"/>
      <c r="H63" s="150"/>
      <c r="I63" s="152"/>
    </row>
    <row r="64" customFormat="false" ht="13" hidden="false" customHeight="false" outlineLevel="0" collapsed="false">
      <c r="A64" s="144"/>
      <c r="B64" s="147"/>
      <c r="C64" s="160"/>
      <c r="D64" s="160"/>
      <c r="E64" s="161"/>
      <c r="F64" s="160"/>
      <c r="G64" s="160"/>
      <c r="H64" s="160"/>
      <c r="I64" s="16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I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27" activeCellId="0" sqref="M27"/>
    </sheetView>
  </sheetViews>
  <sheetFormatPr defaultRowHeight="12"/>
  <cols>
    <col collapsed="false" hidden="false" max="1" min="1" style="0" width="26.8265306122449"/>
    <col collapsed="false" hidden="false" max="2" min="2" style="0" width="8.8265306122449"/>
    <col collapsed="false" hidden="false" max="3" min="3" style="163" width="15.6581632653061"/>
    <col collapsed="false" hidden="false" max="4" min="4" style="0" width="15.6581632653061"/>
    <col collapsed="false" hidden="false" max="5" min="5" style="0" width="16.6683673469388"/>
    <col collapsed="false" hidden="false" max="11" min="6" style="0" width="8.8265306122449"/>
    <col collapsed="false" hidden="false" max="12" min="12" style="0" width="15.4948979591837"/>
    <col collapsed="false" hidden="false" max="15" min="13" style="0" width="8.8265306122449"/>
    <col collapsed="false" hidden="false" max="17" min="16" style="0" width="9.8265306122449"/>
    <col collapsed="false" hidden="false" max="1025" min="18" style="0" width="8.8265306122449"/>
  </cols>
  <sheetData>
    <row r="1" customFormat="false" ht="12" hidden="false" customHeight="false" outlineLevel="0" collapsed="false">
      <c r="C1" s="0"/>
    </row>
    <row r="3" customFormat="false" ht="12" hidden="false" customHeight="false" outlineLevel="0" collapsed="false">
      <c r="A3" s="0" t="s">
        <v>82</v>
      </c>
      <c r="C3" s="164" t="n">
        <v>10000</v>
      </c>
    </row>
    <row r="5" customFormat="false" ht="12" hidden="false" customHeight="false" outlineLevel="0" collapsed="false">
      <c r="A5" s="5" t="s">
        <v>16</v>
      </c>
      <c r="C5" s="0"/>
    </row>
    <row r="6" customFormat="false" ht="12" hidden="false" customHeight="false" outlineLevel="0" collapsed="false">
      <c r="A6" s="165"/>
      <c r="B6" s="166" t="s">
        <v>83</v>
      </c>
      <c r="C6" s="166" t="s">
        <v>84</v>
      </c>
      <c r="D6" s="166" t="s">
        <v>85</v>
      </c>
      <c r="E6" s="166" t="s">
        <v>86</v>
      </c>
      <c r="F6" s="165"/>
    </row>
    <row r="7" customFormat="false" ht="12" hidden="false" customHeight="false" outlineLevel="0" collapsed="false">
      <c r="A7" s="165"/>
      <c r="B7" s="167" t="n">
        <v>0.2</v>
      </c>
      <c r="C7" s="168" t="n">
        <v>0</v>
      </c>
      <c r="D7" s="169" t="n">
        <v>31864</v>
      </c>
      <c r="E7" s="168" t="n">
        <f aca="false">D7-C7+1</f>
        <v>31865</v>
      </c>
      <c r="F7" s="165"/>
    </row>
    <row r="8" customFormat="false" ht="12" hidden="false" customHeight="false" outlineLevel="0" collapsed="false">
      <c r="A8" s="165"/>
      <c r="B8" s="167" t="n">
        <v>0.4</v>
      </c>
      <c r="C8" s="168" t="n">
        <f aca="false">D7+1</f>
        <v>31865</v>
      </c>
      <c r="D8" s="169" t="n">
        <v>149999</v>
      </c>
      <c r="E8" s="168" t="n">
        <f aca="false">D8-C8+1</f>
        <v>118135</v>
      </c>
      <c r="F8" s="165"/>
    </row>
    <row r="9" customFormat="false" ht="12" hidden="false" customHeight="false" outlineLevel="0" collapsed="false">
      <c r="A9" s="165"/>
      <c r="B9" s="167" t="n">
        <v>0.45</v>
      </c>
      <c r="C9" s="168" t="n">
        <f aca="false">D8+1</f>
        <v>150000</v>
      </c>
      <c r="D9" s="169" t="n">
        <v>99999999</v>
      </c>
      <c r="E9" s="168" t="n">
        <f aca="false">D9-C9+1</f>
        <v>99850000</v>
      </c>
      <c r="F9" s="170"/>
      <c r="G9" s="171"/>
      <c r="I9" s="171"/>
    </row>
    <row r="10" customFormat="false" ht="12" hidden="false" customHeight="false" outlineLevel="0" collapsed="false">
      <c r="A10" s="165"/>
      <c r="B10" s="167"/>
      <c r="C10" s="168"/>
      <c r="D10" s="169"/>
      <c r="E10" s="172"/>
      <c r="F10" s="170"/>
      <c r="G10" s="171"/>
      <c r="I10" s="171"/>
    </row>
    <row r="11" customFormat="false" ht="12" hidden="false" customHeight="false" outlineLevel="0" collapsed="false">
      <c r="A11" s="165" t="s">
        <v>87</v>
      </c>
      <c r="B11" s="167"/>
      <c r="C11" s="168"/>
      <c r="D11" s="169"/>
      <c r="E11" s="172"/>
      <c r="F11" s="170"/>
      <c r="G11" s="171"/>
      <c r="I11" s="171"/>
    </row>
    <row r="12" customFormat="false" ht="12" hidden="false" customHeight="false" outlineLevel="0" collapsed="false">
      <c r="A12" s="165"/>
      <c r="B12" s="5" t="s">
        <v>83</v>
      </c>
      <c r="C12" s="5" t="s">
        <v>84</v>
      </c>
      <c r="D12" s="5" t="s">
        <v>85</v>
      </c>
      <c r="E12" s="5" t="s">
        <v>86</v>
      </c>
      <c r="F12" s="170"/>
      <c r="G12" s="171"/>
      <c r="I12" s="171"/>
    </row>
    <row r="13" customFormat="false" ht="12" hidden="false" customHeight="false" outlineLevel="0" collapsed="false">
      <c r="A13" s="165"/>
      <c r="B13" s="173" t="n">
        <f aca="false">0.1-0.1</f>
        <v>0</v>
      </c>
      <c r="C13" s="96" t="n">
        <v>0</v>
      </c>
      <c r="D13" s="96" t="n">
        <v>31865</v>
      </c>
      <c r="E13" s="174" t="n">
        <f aca="false">D13-C13</f>
        <v>31865</v>
      </c>
      <c r="F13" s="175"/>
      <c r="G13" s="176"/>
      <c r="I13" s="171"/>
    </row>
    <row r="14" customFormat="false" ht="12" hidden="false" customHeight="false" outlineLevel="0" collapsed="false">
      <c r="A14" s="165"/>
      <c r="B14" s="173" t="n">
        <f aca="false">0.325-0.1</f>
        <v>0.225</v>
      </c>
      <c r="C14" s="174" t="n">
        <f aca="false">IF(D13&gt;=1,D13+1,D13)</f>
        <v>31866</v>
      </c>
      <c r="D14" s="96" t="n">
        <v>150000</v>
      </c>
      <c r="E14" s="174" t="n">
        <f aca="false">D14-C14+1</f>
        <v>118135</v>
      </c>
      <c r="F14" s="175"/>
      <c r="G14" s="176"/>
      <c r="I14" s="171"/>
    </row>
    <row r="15" customFormat="false" ht="12" hidden="false" customHeight="false" outlineLevel="0" collapsed="false">
      <c r="A15" s="165"/>
      <c r="B15" s="173" t="n">
        <f aca="false">0.375-0.1</f>
        <v>0.275</v>
      </c>
      <c r="C15" s="174" t="n">
        <f aca="false">D14+1</f>
        <v>150001</v>
      </c>
      <c r="D15" s="96" t="n">
        <v>99999999</v>
      </c>
      <c r="E15" s="174" t="n">
        <f aca="false">D15-C15+1</f>
        <v>99849999</v>
      </c>
      <c r="F15" s="175"/>
      <c r="G15" s="176"/>
      <c r="I15" s="171"/>
    </row>
    <row r="16" customFormat="false" ht="12" hidden="false" customHeight="false" outlineLevel="0" collapsed="false">
      <c r="A16" s="165"/>
      <c r="B16" s="167"/>
      <c r="C16" s="168"/>
      <c r="D16" s="169"/>
      <c r="E16" s="172"/>
      <c r="F16" s="170"/>
      <c r="G16" s="171"/>
      <c r="I16" s="171"/>
    </row>
    <row r="17" customFormat="false" ht="12" hidden="false" customHeight="false" outlineLevel="0" collapsed="false">
      <c r="A17" s="5" t="s">
        <v>88</v>
      </c>
      <c r="C17" s="0"/>
      <c r="F17" s="171"/>
      <c r="G17" s="171"/>
      <c r="H17" s="171"/>
    </row>
    <row r="18" customFormat="false" ht="12" hidden="false" customHeight="false" outlineLevel="0" collapsed="false">
      <c r="A18" s="5"/>
      <c r="C18" s="0"/>
      <c r="F18" s="171"/>
      <c r="G18" s="171"/>
      <c r="H18" s="171"/>
    </row>
    <row r="19" customFormat="false" ht="12" hidden="false" customHeight="false" outlineLevel="0" collapsed="false">
      <c r="A19" s="5" t="s">
        <v>89</v>
      </c>
      <c r="C19" s="0"/>
      <c r="F19" s="171"/>
      <c r="G19" s="171"/>
      <c r="H19" s="171"/>
    </row>
    <row r="20" customFormat="false" ht="12" hidden="false" customHeight="false" outlineLevel="0" collapsed="false">
      <c r="A20" s="86" t="s">
        <v>90</v>
      </c>
      <c r="C20" s="0"/>
      <c r="F20" s="171"/>
      <c r="G20" s="171"/>
      <c r="H20" s="171"/>
    </row>
    <row r="21" customFormat="false" ht="12" hidden="false" customHeight="false" outlineLevel="0" collapsed="false">
      <c r="A21" s="5"/>
      <c r="B21" s="5" t="s">
        <v>83</v>
      </c>
      <c r="C21" s="5" t="s">
        <v>84</v>
      </c>
      <c r="D21" s="5" t="s">
        <v>85</v>
      </c>
      <c r="E21" s="5" t="s">
        <v>86</v>
      </c>
      <c r="G21" s="164"/>
      <c r="H21" s="177"/>
      <c r="I21" s="115"/>
    </row>
    <row r="22" customFormat="false" ht="12" hidden="false" customHeight="false" outlineLevel="0" collapsed="false">
      <c r="B22" s="171"/>
      <c r="C22" s="178"/>
      <c r="E22" s="164"/>
      <c r="G22" s="163"/>
      <c r="H22" s="177"/>
      <c r="I22" s="115"/>
    </row>
    <row r="23" customFormat="false" ht="12" hidden="false" customHeight="false" outlineLevel="0" collapsed="false">
      <c r="A23" s="0" t="s">
        <v>91</v>
      </c>
      <c r="B23" s="115" t="n">
        <v>0</v>
      </c>
      <c r="C23" s="164" t="n">
        <v>0</v>
      </c>
      <c r="D23" s="0" t="n">
        <v>7955</v>
      </c>
      <c r="E23" s="164" t="n">
        <f aca="false">D23-C23</f>
        <v>7955</v>
      </c>
      <c r="G23" s="163"/>
      <c r="H23" s="177"/>
      <c r="I23" s="115"/>
    </row>
    <row r="24" customFormat="false" ht="12" hidden="false" customHeight="false" outlineLevel="0" collapsed="false">
      <c r="B24" s="115" t="n">
        <v>0.138</v>
      </c>
      <c r="C24" s="164" t="n">
        <v>7956</v>
      </c>
      <c r="D24" s="0" t="n">
        <v>41865</v>
      </c>
      <c r="E24" s="164" t="n">
        <f aca="false">D24-C24</f>
        <v>33909</v>
      </c>
      <c r="G24" s="163"/>
      <c r="H24" s="177"/>
      <c r="I24" s="115"/>
    </row>
    <row r="25" customFormat="false" ht="12" hidden="false" customHeight="false" outlineLevel="0" collapsed="false">
      <c r="A25" s="0" t="s">
        <v>92</v>
      </c>
      <c r="B25" s="115" t="n">
        <v>0.138</v>
      </c>
      <c r="C25" s="164" t="n">
        <v>41866</v>
      </c>
      <c r="D25" s="0" t="n">
        <v>99999999</v>
      </c>
      <c r="E25" s="164" t="n">
        <f aca="false">D25-C25</f>
        <v>99958133</v>
      </c>
      <c r="G25" s="163"/>
      <c r="H25" s="177"/>
      <c r="I25" s="115"/>
    </row>
    <row r="26" customFormat="false" ht="12" hidden="false" customHeight="false" outlineLevel="0" collapsed="false">
      <c r="B26" s="115"/>
      <c r="C26" s="164"/>
      <c r="G26" s="163"/>
      <c r="H26" s="177"/>
      <c r="I26" s="115"/>
    </row>
    <row r="27" customFormat="false" ht="12" hidden="false" customHeight="false" outlineLevel="0" collapsed="false">
      <c r="A27" s="86" t="s">
        <v>93</v>
      </c>
      <c r="B27" s="115"/>
      <c r="C27" s="164"/>
      <c r="E27" s="164"/>
      <c r="G27" s="163"/>
      <c r="H27" s="177"/>
      <c r="I27" s="115"/>
    </row>
    <row r="28" customFormat="false" ht="12" hidden="false" customHeight="false" outlineLevel="0" collapsed="false">
      <c r="A28" s="0" t="s">
        <v>91</v>
      </c>
      <c r="B28" s="115" t="n">
        <v>0</v>
      </c>
      <c r="C28" s="164" t="n">
        <v>0</v>
      </c>
      <c r="D28" s="0" t="n">
        <v>7955</v>
      </c>
      <c r="E28" s="164" t="n">
        <f aca="false">D28-C28</f>
        <v>7955</v>
      </c>
      <c r="F28" s="164"/>
    </row>
    <row r="29" customFormat="false" ht="12" hidden="false" customHeight="false" outlineLevel="0" collapsed="false">
      <c r="B29" s="115" t="n">
        <v>0.12</v>
      </c>
      <c r="C29" s="164" t="n">
        <v>7956</v>
      </c>
      <c r="D29" s="0" t="n">
        <v>41865</v>
      </c>
      <c r="E29" s="164" t="n">
        <f aca="false">D29-C29</f>
        <v>33909</v>
      </c>
    </row>
    <row r="30" customFormat="false" ht="12" hidden="false" customHeight="false" outlineLevel="0" collapsed="false">
      <c r="A30" s="0" t="s">
        <v>92</v>
      </c>
      <c r="B30" s="115" t="n">
        <v>0.02</v>
      </c>
      <c r="C30" s="164" t="n">
        <v>41866</v>
      </c>
      <c r="D30" s="0" t="n">
        <v>99999999</v>
      </c>
      <c r="E30" s="164" t="n">
        <f aca="false">D30-C30</f>
        <v>99958133</v>
      </c>
      <c r="F30" s="164"/>
    </row>
    <row r="31" customFormat="false" ht="12" hidden="false" customHeight="false" outlineLevel="0" collapsed="false">
      <c r="B31" s="115"/>
      <c r="C31" s="164"/>
      <c r="E31" s="115"/>
      <c r="F31" s="164"/>
    </row>
    <row r="32" customFormat="false" ht="12" hidden="false" customHeight="false" outlineLevel="0" collapsed="false">
      <c r="A32" s="5" t="s">
        <v>18</v>
      </c>
      <c r="B32" s="115"/>
      <c r="C32" s="164"/>
      <c r="E32" s="164"/>
      <c r="F32" s="164"/>
    </row>
    <row r="33" customFormat="false" ht="12" hidden="false" customHeight="false" outlineLevel="0" collapsed="false">
      <c r="A33" s="0" t="s">
        <v>94</v>
      </c>
      <c r="B33" s="115"/>
      <c r="C33" s="164"/>
      <c r="E33" s="179" t="n">
        <v>2.75</v>
      </c>
      <c r="F33" s="164"/>
    </row>
    <row r="34" customFormat="false" ht="12" hidden="false" customHeight="false" outlineLevel="0" collapsed="false">
      <c r="B34" s="115"/>
      <c r="C34" s="164"/>
      <c r="E34" s="164"/>
      <c r="F34" s="164"/>
    </row>
    <row r="35" customFormat="false" ht="12" hidden="false" customHeight="false" outlineLevel="0" collapsed="false">
      <c r="A35" s="5" t="s">
        <v>19</v>
      </c>
      <c r="C35" s="164"/>
      <c r="D35" s="164"/>
      <c r="E35" s="164"/>
      <c r="F35" s="164"/>
    </row>
    <row r="36" customFormat="false" ht="12" hidden="false" customHeight="false" outlineLevel="0" collapsed="false">
      <c r="A36" s="116"/>
      <c r="B36" s="180" t="n">
        <v>0</v>
      </c>
      <c r="C36" s="164" t="n">
        <v>0</v>
      </c>
      <c r="D36" s="164" t="n">
        <v>7955</v>
      </c>
      <c r="E36" s="164" t="n">
        <f aca="false">D36-C36</f>
        <v>7955</v>
      </c>
      <c r="F36" s="164"/>
    </row>
    <row r="37" customFormat="false" ht="12" hidden="false" customHeight="false" outlineLevel="0" collapsed="false">
      <c r="A37" s="0" t="s">
        <v>22</v>
      </c>
      <c r="B37" s="180" t="n">
        <v>0.09</v>
      </c>
      <c r="C37" s="163" t="n">
        <v>7956</v>
      </c>
      <c r="D37" s="0" t="n">
        <v>41865</v>
      </c>
      <c r="E37" s="164" t="n">
        <f aca="false">D37-C37</f>
        <v>33909</v>
      </c>
      <c r="F37" s="164"/>
    </row>
    <row r="38" customFormat="false" ht="12" hidden="false" customHeight="false" outlineLevel="0" collapsed="false">
      <c r="A38" s="0" t="s">
        <v>22</v>
      </c>
      <c r="B38" s="180" t="n">
        <v>0.02</v>
      </c>
      <c r="C38" s="164" t="n">
        <v>41866</v>
      </c>
      <c r="D38" s="164" t="n">
        <v>99999999</v>
      </c>
      <c r="E38" s="164" t="n">
        <f aca="false">D38-C38</f>
        <v>99958133</v>
      </c>
      <c r="F38" s="164"/>
    </row>
    <row r="39" customFormat="false" ht="12" hidden="false" customHeight="false" outlineLevel="0" collapsed="false">
      <c r="C39" s="164"/>
      <c r="D39" s="164"/>
      <c r="E39" s="164"/>
      <c r="F39" s="164"/>
    </row>
    <row r="40" customFormat="false" ht="12" hidden="false" customHeight="false" outlineLevel="0" collapsed="false">
      <c r="A40" s="5" t="s">
        <v>15</v>
      </c>
      <c r="C40" s="164"/>
      <c r="D40" s="164"/>
      <c r="E40" s="164"/>
      <c r="F40" s="163"/>
    </row>
    <row r="41" customFormat="false" ht="12" hidden="false" customHeight="false" outlineLevel="0" collapsed="false">
      <c r="A41" s="5"/>
      <c r="B41" s="5" t="s">
        <v>83</v>
      </c>
      <c r="C41" s="5" t="s">
        <v>84</v>
      </c>
      <c r="D41" s="5" t="s">
        <v>85</v>
      </c>
      <c r="E41" s="5" t="s">
        <v>86</v>
      </c>
      <c r="G41" s="164"/>
      <c r="H41" s="177"/>
      <c r="I41" s="115"/>
    </row>
    <row r="42" customFormat="false" ht="12" hidden="false" customHeight="false" outlineLevel="0" collapsed="false">
      <c r="A42" s="5"/>
      <c r="B42" s="5"/>
      <c r="C42" s="5"/>
      <c r="D42" s="5"/>
      <c r="E42" s="5"/>
      <c r="G42" s="164"/>
      <c r="H42" s="177"/>
      <c r="I42" s="115"/>
    </row>
    <row r="43" customFormat="false" ht="12" hidden="false" customHeight="false" outlineLevel="0" collapsed="false">
      <c r="A43" s="0" t="s">
        <v>95</v>
      </c>
      <c r="B43" s="115" t="n">
        <v>0.2</v>
      </c>
      <c r="C43" s="164" t="n">
        <v>0</v>
      </c>
      <c r="D43" s="0" t="n">
        <v>300000</v>
      </c>
      <c r="E43" s="164" t="n">
        <f aca="false">D43-C43</f>
        <v>300000</v>
      </c>
      <c r="F43" s="163"/>
    </row>
    <row r="44" customFormat="false" ht="12" hidden="false" customHeight="false" outlineLevel="0" collapsed="false">
      <c r="A44" s="0" t="s">
        <v>96</v>
      </c>
      <c r="B44" s="115" t="n">
        <v>0.2125</v>
      </c>
      <c r="C44" s="164" t="n">
        <v>300001</v>
      </c>
      <c r="D44" s="0" t="n">
        <v>1200000</v>
      </c>
      <c r="E44" s="164" t="n">
        <f aca="false">D44-C44</f>
        <v>899999</v>
      </c>
      <c r="F44" s="163"/>
    </row>
    <row r="45" customFormat="false" ht="12" hidden="false" customHeight="false" outlineLevel="0" collapsed="false">
      <c r="A45" s="0" t="s">
        <v>50</v>
      </c>
      <c r="B45" s="115" t="n">
        <v>0.21</v>
      </c>
      <c r="C45" s="164" t="n">
        <v>1200001</v>
      </c>
      <c r="D45" s="0" t="n">
        <v>1500000</v>
      </c>
      <c r="E45" s="164" t="n">
        <f aca="false">D45-C45</f>
        <v>299999</v>
      </c>
      <c r="F45" s="163"/>
    </row>
    <row r="46" customFormat="false" ht="12" hidden="false" customHeight="false" outlineLevel="0" collapsed="false">
      <c r="A46" s="0" t="s">
        <v>97</v>
      </c>
      <c r="B46" s="115" t="n">
        <v>0.0025</v>
      </c>
      <c r="E46" s="163"/>
      <c r="F46" s="163"/>
    </row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2"/>
  <cols>
    <col collapsed="false" hidden="false" max="1" min="1" style="0" width="10.5"/>
    <col collapsed="false" hidden="false" max="1025" min="2" style="0" width="8.8265306122449"/>
  </cols>
  <sheetData>
    <row r="1" customFormat="false" ht="12" hidden="false" customHeight="false" outlineLevel="0" collapsed="false">
      <c r="B1" s="0" t="s">
        <v>11</v>
      </c>
      <c r="C1" s="0" t="s">
        <v>2</v>
      </c>
    </row>
    <row r="2" customFormat="false" ht="12" hidden="false" customHeight="false" outlineLevel="0" collapsed="false">
      <c r="A2" s="0" t="s">
        <v>11</v>
      </c>
      <c r="C2" s="0" t="n">
        <v>1</v>
      </c>
    </row>
    <row r="3" customFormat="false" ht="12" hidden="false" customHeight="false" outlineLevel="0" collapsed="false">
      <c r="A3" s="0" t="s">
        <v>2</v>
      </c>
      <c r="C3" s="0" t="n">
        <v>2</v>
      </c>
    </row>
    <row r="4" customFormat="false" ht="12" hidden="false" customHeight="false" outlineLevel="0" collapsed="false">
      <c r="C4" s="0" t="n">
        <v>3</v>
      </c>
    </row>
    <row r="5" customFormat="false" ht="12" hidden="false" customHeight="false" outlineLevel="0" collapsed="false">
      <c r="C5" s="0" t="n">
        <v>4</v>
      </c>
    </row>
    <row r="6" customFormat="false" ht="12" hidden="false" customHeight="false" outlineLevel="0" collapsed="false">
      <c r="C6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8954</TotalTime>
  <Application>LibreOffice/4.3.0.4$Windows_x86 LibreOffice_project/62ad5818884a2fc2e5780dd45466868d41009ec0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2014-05-13T15:03:37Z</dcterms:created>
  <dc:creator>Adrian Parsons</dc:creator>
  <dc:language>en-PH</dc:language>
  <cp:lastPrinted>2014-09-29T13:26:30Z</cp:lastPrinted>
  <dcterms:modified xsi:type="dcterms:W3CDTF">2014-11-25T12:47:12Z</dcterms:modified>
  <cp:revision>5</cp:revision>
</cp:coreProperties>
</file>