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firstSheet="1" activeTab="3"/>
  </bookViews>
  <sheets>
    <sheet name="__FDSCACHE__" sheetId="7" state="veryHidden" r:id="rId1"/>
    <sheet name="Net Back" sheetId="12" r:id="rId2"/>
    <sheet name="Production" sheetId="9" r:id="rId3"/>
    <sheet name="Reserves" sheetId="15" r:id="rId4"/>
    <sheet name="Acreage" sheetId="11" r:id="rId5"/>
    <sheet name="Pricing_Liquidity_Market Cap" sheetId="14" r:id="rId6"/>
    <sheet name="Production_Hedge" sheetId="18" r:id="rId7"/>
    <sheet name="Mean Oil Estimates" sheetId="17" r:id="rId8"/>
    <sheet name="Inputs" sheetId="6" r:id="rId9"/>
    <sheet name="Master" sheetId="1" r:id="rId10"/>
    <sheet name="Sheet1" sheetId="19" r:id="rId11"/>
  </sheets>
  <externalReferences>
    <externalReference r:id="rId12"/>
  </externalReferences>
  <definedNames>
    <definedName name="__FDS_HYPERLINK_TOGGLE_STATE__" hidden="1">"ON"</definedName>
    <definedName name="__FDS_UNIQUE_RANGE_ID_GENERATOR_COUNTER" hidden="1">12</definedName>
    <definedName name="_1__FDSAUDITLINK__" hidden="1">{"fdsup://Directions/FactSet Auditing Viewer?action=AUDIT_VALUE&amp;DB=129&amp;ID1=38259P50&amp;VALUEID=02001&amp;SDATE=2009&amp;PERIODTYPE=ANN_STD&amp;window=popup_no_bar&amp;width=385&amp;height=120&amp;START_MAXIMIZED=FALSE&amp;creator=factset&amp;display_string=Audit"}</definedName>
    <definedName name="_10__FDSAUDITLINK__" hidden="1">{"fdsup://Directions/FactSet Auditing Viewer?action=AUDIT_VALUE&amp;DB=129&amp;ID1=98433210&amp;VALUEID=01001&amp;SDATE=2009&amp;PERIODTYPE=ANN_STD&amp;window=popup_no_bar&amp;width=385&amp;height=120&amp;START_MAXIMIZED=FALSE&amp;creator=factset&amp;display_string=Audit"}</definedName>
    <definedName name="_100__FDSAUDITLINK__" hidden="1">{"fdsup://IBCentral/FAT Viewer?action=UPDATE&amp;creator=factset&amp;DOC_NAME=fat:reuters_annual_source_window.fat&amp;display_string=Audit&amp;DYN_ARGS=TRUE&amp;VAR:ID1=98433210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annual_source_window.fat&amp;display_string=Audit&amp;DYN_ARGS=TRUE&amp;VAR:ID1=98433210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1__FDSAUDITLINK__" hidden="1">{"fdsup://Directions/FactSet Auditing Viewer?action=AUDIT_VALUE&amp;DB=129&amp;ID1=98433210&amp;VALUEID=01001&amp;SDATE=2009&amp;PERIODTYPE=ANN_STD&amp;window=popup_no_bar&amp;width=385&amp;height=120&amp;START_MAXIMIZED=FALSE&amp;creator=factset&amp;display_string=Audit"}</definedName>
    <definedName name="_110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annual_source_window.fat&amp;display_string=Audit&amp;DYN_ARGS=TRUE&amp;VAR:ID1=00763M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annual_source_window.fat&amp;display_string=Audit&amp;DYN_ARGS=TRUE&amp;VAR:ID1=00282410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annual_source_window.fat&amp;display_string=Audit&amp;DYN_ARGS=TRUE&amp;VAR:ID1=00763M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17__FDSAUDITLINK__" hidden="1">{"fdsup://IBCentral/FAT Viewer?action=UPDATE&amp;creator=factset&amp;DOC_NAME=fat:reuters_annual_source_window.fat&amp;display_string=Audit&amp;DYN_ARGS=TRUE&amp;VAR:ID1=00763M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18__FDSAUDITLINK__" hidden="1">{"fdsup://IBCentral/FAT Viewer?action=UPDATE&amp;creator=factset&amp;DOC_NAME=fat:reuters_annual_source_window.fat&amp;display_string=Audit&amp;DYN_ARGS=TRUE&amp;VAR:ID1=00763M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annual_source_window.fat&amp;display_string=Audit&amp;DYN_ARGS=TRUE&amp;VAR:ID1=00763M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__FDSAUDITLINK__" hidden="1">{"fdsup://IBCentral/FAT Viewer?action=UPDATE&amp;creator=factset&amp;DOC_NAME=fat:reuters_annual_source_window.fat&amp;display_string=Audit&amp;DYN_ARGS=TRUE&amp;VAR:ID1=94974610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0__FDSAUDITLINK__" hidden="1">{"fdsup://IBCentral/FAT Viewer?action=UPDATE&amp;creator=factset&amp;DOC_NAME=fat:reuters_annual_source_window.fat&amp;display_string=Audit&amp;DYN_ARGS=TRUE&amp;VAR:ID1=00282410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annual_source_window.fat&amp;display_string=Audit&amp;DYN_ARGS=TRUE&amp;VAR:ID1=00282410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annual_source_window.fat&amp;display_string=Audit&amp;DYN_ARGS=TRUE&amp;VAR:ID1=59491810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25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6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annual_source_window.fat&amp;display_string=Audit&amp;DYN_ARGS=TRUE&amp;VAR:ID1=98433210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annual_source_window.fat&amp;display_string=Audit&amp;DYN_ARGS=TRUE&amp;VAR:ID1=98433210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3__FDSAUDITLINK__" hidden="1">{"fdsup://IBCentral/FAT Viewer?action=UPDATE&amp;creator=factset&amp;DOC_NAME=fat:reuters_annual_source_window.fat&amp;display_string=Audit&amp;DYN_ARGS=TRUE&amp;VAR:ID1=59018810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30__FDSAUDITLINK__" hidden="1">{"fdsup://IBCentral/FAT Viewer?action=UPDATE&amp;creator=factset&amp;DOC_NAME=fat:reuters_annual_source_window.fat&amp;display_string=Audit&amp;DYN_ARGS=TRUE&amp;VAR:ID1=30307510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annual_source_window.fat&amp;display_string=Audit&amp;DYN_ARGS=TRUE&amp;VAR:ID1=65248E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annual_source_window.fat&amp;display_string=Audit&amp;DYN_ARGS=TRUE&amp;VAR:ID1=30307510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annual_source_window.fat&amp;display_string=Audit&amp;DYN_ARGS=TRUE&amp;VAR:ID1=30307510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annual_source_window.fat&amp;display_string=Audit&amp;DYN_ARGS=TRUE&amp;VAR:ID1=65248E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annual_source_window.fat&amp;display_string=Audit&amp;DYN_ARGS=TRUE&amp;VAR:ID1=65248E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annual_source_window.fat&amp;display_string=Audit&amp;DYN_ARGS=TRUE&amp;VAR:ID1=11012210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annual_source_window.fat&amp;display_string=Audit&amp;DYN_ARGS=TRUE&amp;VAR:ID1=74271810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4__FDSAUDITLINK__" hidden="1">{"fdsup://IBCentral/FAT Viewer?action=UPDATE&amp;creator=factset&amp;DOC_NAME=fat:reuters_annual_source_window.fat&amp;display_string=Audit&amp;DYN_ARGS=TRUE&amp;VAR:ID1=06050510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40__FDSAUDITLINK__" hidden="1">{"fdsup://IBCentral/FAT Viewer?action=UPDATE&amp;creator=factset&amp;DOC_NAME=fat:reuters_annual_source_window.fat&amp;display_string=Audit&amp;DYN_ARGS=TRUE&amp;VAR:ID1=11012210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annual_source_window.fat&amp;display_string=Audit&amp;DYN_ARGS=TRUE&amp;VAR:ID1=11012210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annual_source_window.fat&amp;display_string=Audit&amp;DYN_ARGS=TRUE&amp;VAR:ID1=11012210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annual_source_window.fat&amp;display_string=Audit&amp;DYN_ARGS=TRUE&amp;VAR:ID1=11012210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annual_source_window.fat&amp;display_string=Audit&amp;DYN_ARGS=TRUE&amp;VAR:ID1=11012210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annual_source_window.fat&amp;display_string=Audit&amp;DYN_ARGS=TRUE&amp;VAR:ID1=11012210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5__FDSAUDITLINK__" hidden="1">{"fdsup://IBCentral/FAT Viewer?action=UPDATE&amp;creator=factset&amp;DOC_NAME=fat:reuters_annual_source_window.fat&amp;display_string=Audit&amp;DYN_ARGS=TRUE&amp;VAR:ID1=59018810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50__FDSAUDITLINK__" hidden="1">{"fdsup://IBCentral/FAT Viewer?action=UPDATE&amp;creator=factset&amp;DOC_NAME=fat:reuters_annual_source_window.fat&amp;display_string=Audit&amp;DYN_ARGS=TRUE&amp;VAR:ID1=74271810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annual_source_window.fat&amp;display_string=Audit&amp;DYN_ARGS=TRUE&amp;VAR:ID1=11012210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annual_source_window.fat&amp;display_string=Audit&amp;DYN_ARGS=TRUE&amp;VAR:ID1=11012210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annual_source_window.fat&amp;display_string=Audit&amp;DYN_ARGS=TRUE&amp;VAR:ID1=11012210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annual_source_window.fat&amp;display_string=Audit&amp;DYN_ARGS=TRUE&amp;VAR:ID1=30307510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55__FDSAUDITLINK__" hidden="1">{"fdsup://IBCentral/FAT Viewer?action=UPDATE&amp;creator=factset&amp;DOC_NAME=fat:reuters_annual_source_window.fat&amp;display_string=Audit&amp;DYN_ARGS=TRUE&amp;VAR:ID1=88490310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56__FDSAUDITLINK__" hidden="1">{"fdsup://IBCentral/FAT Viewer?action=UPDATE&amp;creator=factset&amp;DOC_NAME=fat:reuters_annual_source_window.fat&amp;display_string=Audit&amp;DYN_ARGS=TRUE&amp;VAR:ID1=30307510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annual_source_window.fat&amp;display_string=Audit&amp;DYN_ARGS=TRUE&amp;VAR:ID1=30307510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59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6__FDSAUDITLINK__" hidden="1">{"fdsup://IBCentral/FAT Viewer?action=UPDATE&amp;creator=factset&amp;DOC_NAME=fat:reuters_annual_source_window.fat&amp;display_string=Audit&amp;DYN_ARGS=TRUE&amp;VAR:ID1=59018810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60__FDSAUDITLINK__" hidden="1">{"fdsup://IBCentral/FAT Viewer?action=UPDATE&amp;creator=factset&amp;DOC_NAME=fat:reuters_annual_source_window.fat&amp;display_string=Audit&amp;DYN_ARGS=TRUE&amp;VAR:ID1=88490310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61__FDSAUDITLINK__" hidden="1">{"fdsup://IBCentral/FAT Viewer?action=UPDATE&amp;creator=factset&amp;DOC_NAME=fat:reuters_annual_source_window.fat&amp;display_string=Audit&amp;DYN_ARGS=TRUE&amp;VAR:ID1=88490310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62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annual_source_window.fat&amp;display_string=Audit&amp;DYN_ARGS=TRUE&amp;VAR:ID1=74271810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annual_source_window.fat&amp;display_string=Audit&amp;DYN_ARGS=TRUE&amp;VAR:ID1=71708110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annual_source_window.fat&amp;display_string=Audit&amp;DYN_ARGS=TRUE&amp;VAR:ID1=71708110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67__FDSAUDITLINK__" hidden="1">{"fdsup://IBCentral/FAT Viewer?action=UPDATE&amp;creator=factset&amp;DOC_NAME=fat:reuters_annual_source_window.fat&amp;display_string=Audit&amp;DYN_ARGS=TRUE&amp;VAR:ID1=71708110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68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7__FDSAUDITLINK__" hidden="1">{"fdsup://IBCentral/FAT Viewer?action=UPDATE&amp;creator=factset&amp;DOC_NAME=fat:reuters_annual_source_window.fat&amp;display_string=Audit&amp;DYN_ARGS=TRUE&amp;VAR:ID1=59018810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70__FDSAUDITLINK__" hidden="1">{"fdsup://IBCentral/FAT Viewer?action=UPDATE&amp;creator=factset&amp;DOC_NAME=fat:reuters_annual_source_window.fat&amp;display_string=Audit&amp;DYN_ARGS=TRUE&amp;VAR:ID1=47816010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annual_source_window.fat&amp;display_string=Audit&amp;DYN_ARGS=TRUE&amp;VAR:ID1=17296710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annual_source_window.fat&amp;display_string=Audit&amp;DYN_ARGS=TRUE&amp;VAR:ID1=61744644&amp;VAR:RCODE=SCSI&amp;VAR:SDATE=20081199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75__FDSAUDITLINK__" hidden="1">{"fdsup://IBCentral/FAT Viewer?action=UPDATE&amp;creator=factset&amp;DOC_NAME=fat:reuters_annual_source_window.fat&amp;display_string=Audit&amp;DYN_ARGS=TRUE&amp;VAR:ID1=17296710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76__FDSAUDITLINK__" hidden="1">{"fdsup://IBCentral/FAT Viewer?action=UPDATE&amp;creator=factset&amp;DOC_NAME=fat:reuters_annual_source_window.fat&amp;display_string=Audit&amp;DYN_ARGS=TRUE&amp;VAR:ID1=17296710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annual_source_window.fat&amp;display_string=Audit&amp;DYN_ARGS=TRUE&amp;VAR:ID1=17296710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annual_source_window.fat&amp;display_string=Audit&amp;DYN_ARGS=TRUE&amp;VAR:ID1=17296710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annual_source_window.fat&amp;display_string=Audit&amp;DYN_ARGS=TRUE&amp;VAR:ID1=61744644&amp;VAR:RCODE=SALES&amp;VAR:SDATE=20081199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8__FDSAUDITLINK__" hidden="1">{"fdsup://IBCentral/FAT Viewer?action=UPDATE&amp;creator=factset&amp;DOC_NAME=fat:reuters_annual_source_window.fat&amp;display_string=Audit&amp;DYN_ARGS=TRUE&amp;VAR:ID1=06050510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80__FDSAUDITLINK__" hidden="1">{"fdsup://IBCentral/FAT Viewer?action=UPDATE&amp;creator=factset&amp;DOC_NAME=fat:reuters_annual_source_window.fat&amp;display_string=Audit&amp;DYN_ARGS=TRUE&amp;VAR:ID1=61744644&amp;VAR:RCODE=SALES&amp;VAR:SDATE=20081199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annual_source_window.fat&amp;display_string=Audit&amp;DYN_ARGS=TRUE&amp;VAR:ID1=17296710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82__FDSAUDITLINK__" hidden="1">{"fdsup://IBCentral/FAT Viewer?action=UPDATE&amp;creator=factset&amp;DOC_NAME=fat:reuters_annual_source_window.fat&amp;display_string=Audit&amp;DYN_ARGS=TRUE&amp;VAR:ID1=17296710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83__FDSAUDITLINK__" hidden="1">{"fdsup://IBCentral/FAT Viewer?action=UPDATE&amp;creator=factset&amp;DOC_NAME=fat:reuters_annual_source_window.fat&amp;display_string=Audit&amp;DYN_ARGS=TRUE&amp;VAR:ID1=17296710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84__FDSAUDITLINK__" hidden="1">{"fdsup://IBCentral/FAT Viewer?action=UPDATE&amp;creator=factset&amp;DOC_NAME=fat:reuters_annual_source_window.fat&amp;display_string=Audit&amp;DYN_ARGS=TRUE&amp;VAR:ID1=61744644&amp;VAR:RCODE=SCSI&amp;VAR:SDATE=20081199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85__FDSAUDITLINK__" hidden="1">{"fdsup://IBCentral/FAT Viewer?action=UPDATE&amp;creator=factset&amp;DOC_NAME=fat:reuters_annual_source_window.fat&amp;display_string=Audit&amp;DYN_ARGS=TRUE&amp;VAR:ID1=61744644&amp;VAR:RCODE=SALES&amp;VAR:SDATE=20081199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annual_source_window.fat&amp;display_string=Audit&amp;DYN_ARGS=TRUE&amp;VAR:ID1=61744644&amp;VAR:RCODE=SALES&amp;VAR:SDATE=20081199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annual_source_window.fat&amp;display_string=Audit&amp;DYN_ARGS=TRUE&amp;VAR:ID1=61744644&amp;VAR:RCODE=FDSASTINTANG&amp;VAR:SDATE=20081199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annual_source_window.fat&amp;display_string=Audit&amp;DYN_ARGS=TRUE&amp;VAR:ID1=61744644&amp;VAR:RCODE=QTLE&amp;VAR:SDATE=20081199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annual_source_window.fat&amp;display_string=Audit&amp;DYN_ARGS=TRUE&amp;VAR:ID1=61744644&amp;VAR:RCODE=FDSASTINTANG&amp;VAR:SDATE=20081199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9__FDSAUDITLINK__" hidden="1">{"fdsup://IBCentral/FAT Viewer?action=UPDATE&amp;creator=factset&amp;DOC_NAME=fat:reuters_annual_source_window.fat&amp;display_string=Audit&amp;DYN_ARGS=TRUE&amp;VAR:ID1=30307510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90__FDSAUDITLINK__" hidden="1">{"fdsup://IBCentral/FAT Viewer?action=UPDATE&amp;creator=factset&amp;DOC_NAME=fat:reuters_annual_source_window.fat&amp;display_string=Audit&amp;DYN_ARGS=TRUE&amp;VAR:ID1=47816010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91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annual_source_window.fat&amp;display_string=Audit&amp;DYN_ARGS=TRUE&amp;VAR:ID1=74271810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annual_source_window.fat&amp;display_string=Audit&amp;DYN_ARGS=TRUE&amp;VAR:ID1=74271810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annual_source_window.fat&amp;display_string=Audit&amp;DYN_ARGS=TRUE&amp;VAR:ID1=74271810&amp;VAR:RCODE=FDSASTINTANG&amp;VAR:SDATE=20080699&amp;VAR:FREQ=Y&amp;VAR:RELITEM=&amp;VAR:CURRENCY=USD&amp;VAR:CURRSOURCE=","EXSHARE&amp;VAR:NATFREQ=ANNUAL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annual_source_window.fat&amp;display_string=Audit&amp;DYN_ARGS=TRUE&amp;VAR:ID1=74271810&amp;VAR:RCODE=QTLE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98__FDSAUDITLINK__" hidden="1">{"fdsup://IBCentral/FAT Viewer?action=UPDATE&amp;creator=factset&amp;DOC_NAME=fat:reuters_annual_source_window.fat&amp;display_string=Audit&amp;DYN_ARGS=TRUE&amp;VAR:ID1=71708110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199__FDSAUDITLINK__" hidden="1">{"fdsup://IBCentral/FAT Viewer?action=UPDATE&amp;creator=factset&amp;DOC_NAME=fat:reuters_annual_source_window.fat&amp;display_string=Audit&amp;DYN_ARGS=TRUE&amp;VAR:ID1=71708110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__FDSAUDITLINK__" hidden="1">{"fdsup://Directions/FactSet Auditing Viewer?action=AUDIT_VALUE&amp;DB=129&amp;ID1=59491810&amp;VALUEID=02001&amp;SDATE=2009&amp;PERIODTYPE=ANN_STD&amp;window=popup_no_bar&amp;width=385&amp;height=120&amp;START_MAXIMIZED=FALSE&amp;creator=factset&amp;display_string=Audit"}</definedName>
    <definedName name="_20__FDSAUDITLINK__" hidden="1">{"fdsup://IBCentral/FAT Viewer?action=UPDATE&amp;creator=factset&amp;DOC_NAME=fat:reuters_annual_source_window.fat&amp;display_string=Audit&amp;DYN_ARGS=TRUE&amp;VAR:ID1=88490310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00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01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annual_source_window.fat&amp;display_string=Audit&amp;DYN_ARGS=TRUE&amp;VAR:ID1=71708110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annual_source_window.fat&amp;display_string=Audit&amp;DYN_ARGS=TRUE&amp;VAR:ID1=61744644&amp;VAR:RCODE=SCSI&amp;VAR:SDATE=20081199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annual_source_window.fat&amp;display_string=Audit&amp;DYN_ARGS=TRUE&amp;VAR:ID1=61744644&amp;VAR:RCODE=SALES&amp;VAR:SDATE=20081199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annual_source_window.fat&amp;display_string=Audit&amp;DYN_ARGS=TRUE&amp;VAR:ID1=61744644&amp;VAR:RCODE=SALES&amp;VAR:SDATE=20081199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annual_source_window.fat&amp;display_string=Audit&amp;DYN_ARGS=TRUE&amp;VAR:ID1=17296710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annual_source_window.fat&amp;display_string=Audit&amp;DYN_ARGS=TRUE&amp;VAR:ID1=17296710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annual_source_window.fat&amp;display_string=Audit&amp;DYN_ARGS=TRUE&amp;VAR:ID1=17296710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annual_source_window.fat&amp;display_string=Audit&amp;DYN_ARGS=TRUE&amp;VAR:ID1=17296710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1__FDSAUDITLINK__" hidden="1">{"fdsup://IBCentral/FAT Viewer?action=UPDATE&amp;creator=factset&amp;DOC_NAME=fat:reuters_annual_source_window.fat&amp;display_string=Audit&amp;DYN_ARGS=TRUE&amp;VAR:ID1=30307510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210__FDSAUDITLINK__" hidden="1">{"fdsup://IBCentral/FAT Viewer?action=UPDATE&amp;creator=factset&amp;DOC_NAME=fat:reuters_annual_source_window.fat&amp;display_string=Audit&amp;DYN_ARGS=TRUE&amp;VAR:ID1=47816010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annual_source_window.fat&amp;display_string=Audit&amp;DYN_ARGS=TRUE&amp;VAR:ID1=71708110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14__FDSAUDITLINK__" hidden="1">{"fdsup://IBCentral/FAT Viewer?action=UPDATE&amp;creator=factset&amp;DOC_NAME=fat:reuters_annual_source_window.fat&amp;display_string=Audit&amp;DYN_ARGS=TRUE&amp;VAR:ID1=71708110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215__FDSAUDITLINK__" hidden="1">{"fdsup://IBCentral/FAT Viewer?action=UPDATE&amp;creator=factset&amp;DOC_NAME=fat:reuters_annual_source_window.fat&amp;display_string=Audit&amp;DYN_ARGS=TRUE&amp;VAR:ID1=71708110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17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18__FDSAUDITLINK__" hidden="1">{"fdsup://IBCentral/FAT Viewer?action=UPDATE&amp;creator=factset&amp;DOC_NAME=fat:reuters_annual_source_window.fat&amp;display_string=Audit&amp;DYN_ARGS=TRUE&amp;VAR:ID1=98433210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19__FDSAUDITLINK__" hidden="1">{"fdsup://IBCentral/FAT Viewer?action=UPDATE&amp;creator=factset&amp;DOC_NAME=fat:reuters_annual_source_window.fat&amp;display_string=Audit&amp;DYN_ARGS=TRUE&amp;VAR:ID1=59491810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2__FDSAUDITLINK__" hidden="1">{"fdsup://IBCentral/FAT Viewer?action=UPDATE&amp;creator=factset&amp;DOC_NAME=fat:reuters_annual_source_window.fat&amp;display_string=Audit&amp;DYN_ARGS=TRUE&amp;VAR:ID1=30307510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20__FDSAUDITLINK__" hidden="1">{"fdsup://IBCentral/FAT Viewer?action=UPDATE&amp;creator=factset&amp;DOC_NAME=fat:reuters_annual_source_window.fat&amp;display_string=Audit&amp;DYN_ARGS=TRUE&amp;VAR:ID1=98433210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221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22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26__FDSAUDITLINK__" hidden="1">{"fdsup://IBCentral/FAT Viewer?action=UPDATE&amp;creator=factset&amp;DOC_NAME=fat:reuters_annual_source_window.fat&amp;display_string=Audit&amp;DYN_ARGS=TRUE&amp;VAR:ID1=98433210&amp;VAR:RCODE=SCSI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27__FDSAUDITLINK__" hidden="1">{"fdsup://IBCentral/FAT Viewer?action=UPDATE&amp;creator=factset&amp;DOC_NAME=fat:reuters_annual_source_window.fat&amp;display_string=Audit&amp;DYN_ARGS=TRUE&amp;VAR:ID1=59491810&amp;VAR:RCODE=SCSI&amp;VAR:SDATE=20080699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annual_source_window.fat&amp;display_string=Audit&amp;DYN_ARGS=TRUE&amp;VAR:ID1=98433210&amp;VAR:RCODE=FDSASTINTANG&amp;VAR:SDATE=20071299&amp;VAR:FREQ=Y&amp;VAR:RELITEM=&amp;VAR:CURRENCY=LOCAL&amp;VAR:CURRSOURC","E=EXSHARE&amp;VAR:NATFREQ=ANNUAL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3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30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31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34__FDSAUDITLINK__" hidden="1">{"fdsup://IBCentral/FAT Viewer?action=UPDATE&amp;creator=factset&amp;DOC_NAME=fat:reuters_annual_source_window.fat&amp;display_string=Audit&amp;DYN_ARGS=TRUE&amp;VAR:ID1=71708110&amp;VAR:RCODE=SCSI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35__FDSAUDITLINK__" hidden="1">{"fdsup://IBCentral/FAT Viewer?action=UPDATE&amp;creator=factset&amp;DOC_NAME=fat:reuters_annual_source_window.fat&amp;display_string=Audit&amp;DYN_ARGS=TRUE&amp;VAR:ID1=47816010&amp;VAR:RCODE=SCSI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36__FDSAUDITLINK__" hidden="1">{"fdsup://IBCentral/FAT Viewer?action=UPDATE&amp;creator=factset&amp;DOC_NAME=fat:reuters_annual_source_window.fat&amp;display_string=Audit&amp;DYN_ARGS=TRUE&amp;VAR:ID1=71708110&amp;VAR:RCODE=FDSASTINTANG&amp;VAR:SDATE=20071299&amp;VAR:FREQ=Y&amp;VAR:RELITEM=&amp;VAR:CURRENCY=LOCAL&amp;VAR:CURRSOURC","E=EXSHARE&amp;VAR:NATFREQ=ANNUAL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annual_source_window.fat&amp;display_string=Audit&amp;DYN_ARGS=TRUE&amp;VAR:ID1=71708110&amp;VAR:RCODE=QTLE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4__FDSAUDITLINK__" hidden="1">{"fdsup://IBCentral/FAT Viewer?action=UPDATE&amp;creator=factset&amp;DOC_NAME=fat:reuters_annual_source_window.fat&amp;display_string=Audit&amp;DYN_ARGS=TRUE&amp;VAR:ID1=88490310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40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41__FDSAUDITLINK__" hidden="1">{"fdsup://IBCentral/FAT Viewer?action=UPDATE&amp;creator=factset&amp;DOC_NAME=fat:reuters_annual_source_window.fat&amp;display_string=Audit&amp;DYN_ARGS=TRUE&amp;VAR:ID1=47816010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annual_source_window.fat&amp;display_string=Audit&amp;DYN_ARGS=TRUE&amp;VAR:ID1=30307510&amp;VAR:RCODE=SCSI&amp;VAR:SDATE=20080899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annual_source_window.fat&amp;display_string=Audit&amp;DYN_ARGS=TRUE&amp;VAR:ID1=65248E10&amp;VAR:RCODE=SCSI&amp;VAR:SDATE=20080699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annual_source_window.fat&amp;display_string=Audit&amp;DYN_ARGS=TRUE&amp;VAR:ID1=30307510&amp;VAR:RCODE=FDSASTINTANG&amp;VAR:SDATE=20080899&amp;VAR:FREQ=Y&amp;VAR:RELITEM=&amp;VAR:CURRENCY=LOCAL&amp;VAR:CURRSOURC","E=EXSHARE&amp;VAR:NATFREQ=ANNUAL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annual_source_window.fat&amp;display_string=Audit&amp;DYN_ARGS=TRUE&amp;VAR:ID1=30307510&amp;VAR:RCODE=QTLE&amp;VAR:SDATE=20080899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46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47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annual_source_window.fat&amp;display_string=Audit&amp;DYN_ARGS=TRUE&amp;VAR:ID1=65248E10&amp;VAR:RCODE=SALES&amp;VAR:SDATE=20080699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annual_source_window.fat&amp;display_string=Audit&amp;DYN_ARGS=TRUE&amp;VAR:ID1=65248E10&amp;VAR:RCODE=SALES&amp;VAR:SDATE=20080699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5__FDSAUDITLINK__" hidden="1">{"fdsup://IBCentral/FAT Viewer?action=UPDATE&amp;creator=factset&amp;DOC_NAME=fat:reuters_annual_source_window.fat&amp;display_string=Audit&amp;DYN_ARGS=TRUE&amp;VAR:ID1=30307510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50__FDSAUDITLINK__" hidden="1">{"fdsup://IBCentral/FAT Viewer?action=UPDATE&amp;creator=factset&amp;DOC_NAME=fat:reuters_annual_source_window.fat&amp;display_string=Audit&amp;DYN_ARGS=TRUE&amp;VAR:ID1=00763M10&amp;VAR:RCODE=SCSI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51__FDSAUDITLINK__" hidden="1">{"fdsup://IBCentral/FAT Viewer?action=UPDATE&amp;creator=factset&amp;DOC_NAME=fat:reuters_annual_source_window.fat&amp;display_string=Audit&amp;DYN_ARGS=TRUE&amp;VAR:ID1=00282410&amp;VAR:RCODE=SCSI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52__FDSAUDITLINK__" hidden="1">{"fdsup://IBCentral/FAT Viewer?action=UPDATE&amp;creator=factset&amp;DOC_NAME=fat:reuters_annual_source_window.fat&amp;display_string=Audit&amp;DYN_ARGS=TRUE&amp;VAR:ID1=00763M10&amp;VAR:RCODE=FDSASTINTANG&amp;VAR:SDATE=20071299&amp;VAR:FREQ=Y&amp;VAR:RELITEM=&amp;VAR:CURRENCY=LOCAL&amp;VAR:CURRSOURC","E=EXSHARE&amp;VAR:NATFREQ=ANNUAL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annual_source_window.fat&amp;display_string=Audit&amp;DYN_ARGS=TRUE&amp;VAR:ID1=00763M10&amp;VAR:RCODE=QTLE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annual_source_window.fat&amp;display_string=Audit&amp;DYN_ARGS=TRUE&amp;VAR:ID1=00763M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annual_source_window.fat&amp;display_string=Audit&amp;DYN_ARGS=TRUE&amp;VAR:ID1=00763M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annual_source_window.fat&amp;display_string=Audit&amp;DYN_ARGS=TRUE&amp;VAR:ID1=00282410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57__FDSAUDITLINK__" hidden="1">{"fdsup://IBCentral/FAT Viewer?action=UPDATE&amp;creator=factset&amp;DOC_NAME=fat:reuters_annual_source_window.fat&amp;display_string=Audit&amp;DYN_ARGS=TRUE&amp;VAR:ID1=00282410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58__FDSAUDITLINK__" hidden="1">{"fdsup://IBCentral/FAT Viewer?action=UPDATE&amp;creator=factset&amp;DOC_NAME=fat:reuters_annual_source_window.fat&amp;display_string=Audit&amp;DYN_ARGS=TRUE&amp;VAR:ID1=71708110&amp;VAR:RCODE=SCSI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59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6__FDSAUDITLINK__" hidden="1">{"fdsup://IBCentral/FAT Viewer?action=UPDATE&amp;creator=factset&amp;DOC_NAME=fat:reuters_annual_source_window.fat&amp;display_string=Audit&amp;DYN_ARGS=TRUE&amp;VAR:ID1=30307510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260__FDSAUDITLINK__" hidden="1">{"fdsup://IBCentral/FAT Viewer?action=UPDATE&amp;creator=factset&amp;DOC_NAME=fat:reuters_annual_source_window.fat&amp;display_string=Audit&amp;DYN_ARGS=TRUE&amp;VAR:ID1=71708110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61__FDSAUDITLINK__" hidden="1">{"fdsup://IBCentral/FAT Viewer?action=UPDATE&amp;creator=factset&amp;DOC_NAME=fat:reuters_annual_source_window.fat&amp;display_string=Audit&amp;DYN_ARGS=TRUE&amp;VAR:ID1=98302410&amp;VAR:RCODE=SCSI&amp;VAR:SDATE=20081299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annual_source_window.fat&amp;display_string=Audit&amp;DYN_ARGS=TRUE&amp;VAR:ID1=71708110&amp;VAR:RCODE=SCSI&amp;VAR:SDATE=20081299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63__FDSAUDITLINK__" hidden="1">{"fdsup://IBCentral/FAT Viewer?action=UPDATE&amp;creator=factset&amp;DOC_NAME=fat:reuters_annual_shs_src_window.fat&amp;display_string=Audit&amp;DYN_ARGS=TRUE&amp;VAR:ID1=98302410&amp;VAR:RCODE=FDSSHSOUTDEPS&amp;VAR:SDATE=20081299&amp;VAR:FREQ=Y&amp;VAR:RELITEM=RP&amp;VAR:CURRENCY=&amp;VAR:CURRSOURCE","=EXSHARE&amp;VAR:NATFREQ=ANNUAL&amp;VAR:RFIELD=FINALIZED&amp;VAR:DB_TYPE=&amp;VAR:UNITS=M&amp;window=popup&amp;width=450&amp;height=300&amp;START_MAXIMIZED=FALSE"}</definedName>
    <definedName name="_264__FDSAUDITLINK__" hidden="1">{"fdsup://IBCentral/FAT Viewer?action=UPDATE&amp;creator=factset&amp;DOC_NAME=fat:reuters_annual_shs_src_window.fat&amp;display_string=Audit&amp;DYN_ARGS=TRUE&amp;VAR:ID1=71708110&amp;VAR:RCODE=FDSSHSOUTDEPS&amp;VAR:SDATE=20081299&amp;VAR:FREQ=Y&amp;VAR:RELITEM=RP&amp;VAR:CURRENCY=&amp;VAR:CURRSOURCE","=EXSHARE&amp;VAR:NATFREQ=ANNUAL&amp;VAR:RFIELD=FINALIZED&amp;VAR:DB_TYPE=&amp;VAR:UNITS=M&amp;window=popup&amp;width=450&amp;height=300&amp;START_MAXIMIZED=FALSE"}</definedName>
    <definedName name="_265__FDSAUDITLINK__" hidden="1">{"fdsup://IBCentral/FAT Viewer?action=UPDATE&amp;creator=factset&amp;DOC_NAME=fat:reuters_annual_source_window.fat&amp;display_string=Audit&amp;DYN_ARGS=TRUE&amp;VAR:ID1=98302410&amp;VAR:RCODE=FDSASTINTANG&amp;VAR:SDATE=20081299&amp;VAR:FREQ=Y&amp;VAR:RELITEM=&amp;VAR:CURRENCY=LOCAL&amp;VAR:CURRSOURC","E=EXSHARE&amp;VAR:NATFREQ=ANNUAL&amp;VAR:RFIELD=FINALIZED&amp;VAR:DB_TYPE=&amp;VAR:UNITS=M&amp;window=popup&amp;width=450&amp;height=300&amp;START_MAXIMIZED=FALSE"}</definedName>
    <definedName name="_266__FDSAUDITLINK__" hidden="1">{"fdsup://IBCentral/FAT Viewer?action=UPDATE&amp;creator=factset&amp;DOC_NAME=fat:reuters_annual_source_window.fat&amp;display_string=Audit&amp;DYN_ARGS=TRUE&amp;VAR:ID1=98302410&amp;VAR:RCODE=QTLE&amp;VAR:SDATE=20081299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67__FDSAUDITLINK__" hidden="1">{"fdsup://IBCentral/FAT Viewer?action=UPDATE&amp;creator=factset&amp;DOC_NAME=fat:reuters_annual_source_window.fat&amp;display_string=Audit&amp;DYN_ARGS=TRUE&amp;VAR:ID1=98302410&amp;VAR:RCODE=SALES&amp;VAR:SDATE=20081299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annual_source_window.fat&amp;display_string=Audit&amp;DYN_ARGS=TRUE&amp;VAR:ID1=98302410&amp;VAR:RCODE=SALES&amp;VAR:SDATE=20081299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annual_source_window.fat&amp;display_string=Audit&amp;DYN_ARGS=TRUE&amp;VAR:ID1=71708110&amp;VAR:RCODE=SALES&amp;VAR:SDATE=20081299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7__FDSAUDITLINK__" hidden="1">{"fdsup://IBCentral/FAT Viewer?action=UPDATE&amp;creator=factset&amp;DOC_NAME=fat:reuters_annual_source_window.fat&amp;display_string=Audit&amp;DYN_ARGS=TRUE&amp;VAR:ID1=30307510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270__FDSAUDITLINK__" hidden="1">{"fdsup://IBCentral/FAT Viewer?action=UPDATE&amp;creator=factset&amp;DOC_NAME=fat:reuters_annual_source_window.fat&amp;display_string=Audit&amp;DYN_ARGS=TRUE&amp;VAR:ID1=71708110&amp;VAR:RCODE=SALES&amp;VAR:SDATE=20081299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71__FDSAUDITLINK__" hidden="1">{"fdsup://IBCentral/FAT Viewer?action=UPDATE&amp;creator=factset&amp;DOC_NAME=fat:reuters_annual_source_window.fat&amp;display_string=Audit&amp;DYN_ARGS=TRUE&amp;VAR:ID1=59491810&amp;VAR:RCODE=SCSI&amp;VAR:SDATE=20080699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annual_source_window.fat&amp;display_string=Audit&amp;DYN_ARGS=TRUE&amp;VAR:ID1=98433210&amp;VAR:RCODE=SCSI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annual_source_window.fat&amp;display_string=Audit&amp;DYN_ARGS=TRUE&amp;VAR:ID1=98433210&amp;VAR:RCODE=FDSASTINTANG&amp;VAR:SDATE=20071299&amp;VAR:FREQ=Y&amp;VAR:RELITEM=&amp;VAR:CURRENCY=LOCAL&amp;VAR:CURRSOURC","E=EXSHARE&amp;VAR:NATFREQ=ANNUAL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LOCAL&amp;VAR:CURRSOURCE=EXSH","ARE&amp;VAR:NATFREQ=ANNUAL&amp;VAR:RFIELD=FINALIZED&amp;VAR:DB_TYPE=&amp;VAR:UNITS=M&amp;window=popup&amp;width=450&amp;height=300&amp;START_MAXIMIZED=FALSE"}</definedName>
    <definedName name="_277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78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LOCAL&amp;VAR:CURRSOURCE=EXS","HARE&amp;VAR:NATFREQ=ANNUAL&amp;VAR:RFIELD=FINALIZED&amp;VAR:DB_TYPE=&amp;VAR:UNITS=M&amp;window=popup&amp;width=450&amp;height=300&amp;START_MAXIMIZED=FALSE"}</definedName>
    <definedName name="_279__FDSAUDITLINK__" hidden="1">{"fdsup://IBCentral/FAT Viewer?action=UPDATE&amp;creator=factset&amp;DOC_NAME=fat:reuters_annual_shs_src_window.fat&amp;display_string=Audit&amp;DYN_ARGS=TRUE&amp;VAR:ID1=98433210&amp;VAR:RCODE=FDSSHSOUTDEPS&amp;VAR:SDATE=20071299&amp;VAR:FREQ=Y&amp;VAR:RELITEM=RP&amp;VAR:CURRENCY=&amp;VAR:CURRSOURCE","=EXSHARE&amp;VAR:NATFREQ=ANNUAL&amp;VAR:RFIELD=FINALIZED&amp;VAR:DB_TYPE=&amp;VAR:UNITS=M&amp;window=popup&amp;width=450&amp;height=300&amp;START_MAXIMIZED=FALSE"}</definedName>
    <definedName name="_28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280__FDSAUDITLINK__" hidden="1">{"fdsup://IBCentral/FAT Viewer?action=UPDATE&amp;creator=factset&amp;DOC_NAME=fat:reuters_annual_shs_src_window.fat&amp;display_string=Audit&amp;DYN_ARGS=TRUE&amp;VAR:ID1=59491810&amp;VAR:RCODE=FDSSHSOUTDEPS&amp;VAR:SDATE=20080699&amp;VAR:FREQ=Y&amp;VAR:RELITEM=RP&amp;VAR:CURRENCY=&amp;VAR:CURRSOURCE","=EXSHARE&amp;VAR:NATFREQ=ANNUAL&amp;VAR:RFIELD=FINALIZED&amp;VAR:DB_TYPE=&amp;VAR:UNITS=M&amp;window=popup&amp;width=450&amp;height=300&amp;START_MAXIMIZED=FALSE"}</definedName>
    <definedName name="_29__FDSAUDITLINK__" hidden="1">{"fdsup://IBCentral/FAT Viewer?action=UPDATE&amp;creator=factset&amp;DOC_NAME=fat:reuters_annual_source_window.fat&amp;display_string=Audit&amp;DYN_ARGS=TRUE&amp;VAR:ID1=87612E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3__FDSAUDITLINK__" hidden="1">{"fdsup://Directions/FactSet Auditing Viewer?action=AUDIT_VALUE&amp;DB=129&amp;ID1=38259P50&amp;VALUEID=02649&amp;SDATE=2009&amp;PERIODTYPE=ANN_STD&amp;window=popup_no_bar&amp;width=385&amp;height=120&amp;START_MAXIMIZED=FALSE&amp;creator=factset&amp;display_string=Audit"}</definedName>
    <definedName name="_30__FDSAUDITLINK__" hidden="1">{"fdsup://IBCentral/FAT Viewer?action=UPDATE&amp;creator=factset&amp;DOC_NAME=fat:reuters_annual_source_window.fat&amp;display_string=Audit&amp;DYN_ARGS=TRUE&amp;VAR:ID1=93114210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31__FDSAUDITLINK__" hidden="1">{"fdsup://IBCentral/FAT Viewer?action=UPDATE&amp;creator=factset&amp;DOC_NAME=fat:reuters_annual_source_window.fat&amp;display_string=Audit&amp;DYN_ARGS=TRUE&amp;VAR:ID1=87612E10&amp;VAR:RCODE=FDSASTINTANG&amp;VAR:SDATE=20080199&amp;VAR:FREQ=Y&amp;VAR:RELITEM=&amp;VAR:CURRENCY=USD&amp;VAR:CURRSOURCE=","EXSHARE&amp;VAR:NATFREQ=ANNUAL&amp;VAR:RFIELD=FINALIZED&amp;VAR:DB_TYPE=&amp;VAR:UNITS=M&amp;window=popup&amp;width=450&amp;height=300&amp;START_MAXIMIZED=FALSE"}</definedName>
    <definedName name="_32__FDSAUDITLINK__" hidden="1">{"fdsup://IBCentral/FAT Viewer?action=UPDATE&amp;creator=factset&amp;DOC_NAME=fat:reuters_annual_source_window.fat&amp;display_string=Audit&amp;DYN_ARGS=TRUE&amp;VAR:ID1=87612E10&amp;VAR:RCODE=QTLE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33__FDSAUDITLINK__" hidden="1">{"fdsup://IBCentral/FAT Viewer?action=UPDATE&amp;creator=factset&amp;DOC_NAME=fat:reuters_annual_source_window.fat&amp;display_string=Audit&amp;DYN_ARGS=TRUE&amp;VAR:ID1=87612E10&amp;VAR:RCODE=SALES&amp;VAR:SDATE=20080199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34__FDSAUDITLINK__" hidden="1">{"fdsup://IBCentral/FAT Viewer?action=UPDATE&amp;creator=factset&amp;DOC_NAME=fat:reuters_annual_source_window.fat&amp;display_string=Audit&amp;DYN_ARGS=TRUE&amp;VAR:ID1=93114210&amp;VAR:RCODE=SALES&amp;VAR:SDATE=20080199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35__FDSAUDITLINK__" hidden="1">{"fdsup://IBCentral/FAT Viewer?action=UPDATE&amp;creator=factset&amp;DOC_NAME=fat:reuters_annual_source_window.fat&amp;display_string=Audit&amp;DYN_ARGS=TRUE&amp;VAR:ID1=87612E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36__FDSAUDITLINK__" hidden="1">{"fdsup://IBCentral/FAT Viewer?action=UPDATE&amp;creator=factset&amp;DOC_NAME=fat:reuters_annual_source_window.fat&amp;display_string=Audit&amp;DYN_ARGS=TRUE&amp;VAR:ID1=93114210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37__FDSAUDITLINK__" hidden="1">{"fdsup://IBCentral/FAT Viewer?action=UPDATE&amp;creator=factset&amp;DOC_NAME=fat:reuters_annual_source_window.fat&amp;display_string=Audit&amp;DYN_ARGS=TRUE&amp;VAR:ID1=87612E10&amp;VAR:RCODE=FDSASTINTANG&amp;VAR:SDATE=20080199&amp;VAR:FREQ=Y&amp;VAR:RELITEM=&amp;VAR:CURRENCY=USD&amp;VAR:CURRSOURCE=","EXSHARE&amp;VAR:NATFREQ=ANNUAL&amp;VAR:RFIELD=FINALIZED&amp;VAR:DB_TYPE=&amp;VAR:UNITS=M&amp;window=popup&amp;width=450&amp;height=300&amp;START_MAXIMIZED=FALSE"}</definedName>
    <definedName name="_38__FDSAUDITLINK__" hidden="1">{"fdsup://IBCentral/FAT Viewer?action=UPDATE&amp;creator=factset&amp;DOC_NAME=fat:reuters_annual_source_window.fat&amp;display_string=Audit&amp;DYN_ARGS=TRUE&amp;VAR:ID1=87612E10&amp;VAR:RCODE=QTLE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39__FDSAUDITLINK__" hidden="1">{"fdsup://IBCentral/FAT Viewer?action=UPDATE&amp;creator=factset&amp;DOC_NAME=fat:reuters_annual_source_window.fat&amp;display_string=Audit&amp;DYN_ARGS=TRUE&amp;VAR:ID1=87612E10&amp;VAR:RCODE=SALES&amp;VAR:SDATE=20080199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4__FDSAUDITLINK__" hidden="1">{"fdsup://Directions/FactSet Auditing Viewer?action=AUDIT_VALUE&amp;DB=129&amp;ID1=38259P50&amp;VALUEID=01001&amp;SDATE=2009&amp;PERIODTYPE=ANN_STD&amp;window=popup_no_bar&amp;width=385&amp;height=120&amp;START_MAXIMIZED=FALSE&amp;creator=factset&amp;display_string=Audit"}</definedName>
    <definedName name="_40__FDSAUDITLINK__" hidden="1">{"fdsup://IBCentral/FAT Viewer?action=UPDATE&amp;creator=factset&amp;DOC_NAME=fat:reuters_annual_source_window.fat&amp;display_string=Audit&amp;DYN_ARGS=TRUE&amp;VAR:ID1=93114210&amp;VAR:RCODE=SALES&amp;VAR:SDATE=20080199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41__FDSAUDITLINK__" hidden="1">{"fdsup://IBCentral/FAT Viewer?action=UPDATE&amp;creator=factset&amp;DOC_NAME=fat:reuters_annual_source_window.fat&amp;display_string=Audit&amp;DYN_ARGS=TRUE&amp;VAR:ID1=22160K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42__FDSAUDITLINK__" hidden="1">{"fdsup://IBCentral/FAT Viewer?action=UPDATE&amp;creator=factset&amp;DOC_NAME=fat:reuters_annual_source_window.fat&amp;display_string=Audit&amp;DYN_ARGS=TRUE&amp;VAR:ID1=22160K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43__FDSAUDITLINK__" hidden="1">{"fdsup://IBCentral/FAT Viewer?action=UPDATE&amp;creator=factset&amp;DOC_NAME=fat:reuters_annual_source_window.fat&amp;display_string=Audit&amp;DYN_ARGS=TRUE&amp;VAR:ID1=22160K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44__FDSAUDITLINK__" hidden="1">{"fdsup://IBCentral/FAT Viewer?action=UPDATE&amp;creator=factset&amp;DOC_NAME=fat:reuters_annual_source_window.fat&amp;display_string=Audit&amp;DYN_ARGS=TRUE&amp;VAR:ID1=22160K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45__FDSAUDITLINK__" hidden="1">{"fdsup://IBCentral/FAT Viewer?action=UPDATE&amp;creator=factset&amp;DOC_NAME=fat:reuters_annual_source_window.fat&amp;display_string=Audit&amp;DYN_ARGS=TRUE&amp;VAR:ID1=22160K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46__FDSAUDITLINK__" hidden="1">{"fdsup://IBCentral/FAT Viewer?action=UPDATE&amp;creator=factset&amp;DOC_NAME=fat:reuters_annual_source_window.fat&amp;display_string=Audit&amp;DYN_ARGS=TRUE&amp;VAR:ID1=22160K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47__FDSAUDITLINK__" hidden="1">{"fdsup://IBCentral/FAT Viewer?action=UPDATE&amp;creator=factset&amp;DOC_NAME=fat:reuters_annual_source_window.fat&amp;display_string=Audit&amp;DYN_ARGS=TRUE&amp;VAR:ID1=22160K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48__FDSAUDITLINK__" hidden="1">{"fdsup://IBCentral/FAT Viewer?action=UPDATE&amp;creator=factset&amp;DOC_NAME=fat:reuters_annual_source_window.fat&amp;display_string=Audit&amp;DYN_ARGS=TRUE&amp;VAR:ID1=22160K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49__FDSAUDITLINK__" hidden="1">{"fdsup://IBCentral/FAT Viewer?action=UPDATE&amp;creator=factset&amp;DOC_NAME=fat:reuters_annual_source_window.fat&amp;display_string=Audit&amp;DYN_ARGS=TRUE&amp;VAR:ID1=93114210&amp;VAR:RCODE=SALES&amp;VAR:SDATE=20080199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5__FDSAUDITLINK__" hidden="1">{"fdsup://Directions/FactSet Auditing Viewer?action=AUDIT_VALUE&amp;DB=129&amp;ID1=38259P50&amp;VALUEID=01001&amp;SDATE=2009&amp;PERIODTYPE=ANN_STD&amp;window=popup_no_bar&amp;width=385&amp;height=120&amp;START_MAXIMIZED=FALSE&amp;creator=factset&amp;display_string=Audit"}</definedName>
    <definedName name="_50__FDSAUDITLINK__" hidden="1">{"fdsup://IBCentral/FAT Viewer?action=UPDATE&amp;creator=factset&amp;DOC_NAME=fat:reuters_annual_source_window.fat&amp;display_string=Audit&amp;DYN_ARGS=TRUE&amp;VAR:ID1=22160K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annual_source_window.fat&amp;display_string=Audit&amp;DYN_ARGS=TRUE&amp;VAR:ID1=93114210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52__FDSAUDITLINK__" hidden="1">{"fdsup://IBCentral/FAT Viewer?action=UPDATE&amp;creator=factset&amp;DOC_NAME=fat:reuters_annual_source_window.fat&amp;display_string=Audit&amp;DYN_ARGS=TRUE&amp;VAR:ID1=93114210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53__FDSAUDITLINK__" hidden="1">{"fdsup://IBCentral/FAT Viewer?action=UPDATE&amp;creator=factset&amp;DOC_NAME=fat:reuters_annual_source_window.fat&amp;display_string=Audit&amp;DYN_ARGS=TRUE&amp;VAR:ID1=22160K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54__FDSAUDITLINK__" hidden="1">{"fdsup://IBCentral/FAT Viewer?action=UPDATE&amp;creator=factset&amp;DOC_NAME=fat:reuters_annual_source_window.fat&amp;display_string=Audit&amp;DYN_ARGS=TRUE&amp;VAR:ID1=93114210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55__FDSAUDITLINK__" hidden="1">{"fdsup://IBCentral/FAT Viewer?action=UPDATE&amp;creator=factset&amp;DOC_NAME=fat:reuters_annual_source_window.fat&amp;display_string=Audit&amp;DYN_ARGS=TRUE&amp;VAR:ID1=22160K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56__FDSAUDITLINK__" hidden="1">{"fdsup://IBCentral/FAT Viewer?action=UPDATE&amp;creator=factset&amp;DOC_NAME=fat:reuters_annual_source_window.fat&amp;display_string=Audit&amp;DYN_ARGS=TRUE&amp;VAR:ID1=22160K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57__FDSAUDITLINK__" hidden="1">{"fdsup://IBCentral/FAT Viewer?action=UPDATE&amp;creator=factset&amp;DOC_NAME=fat:reuters_annual_source_window.fat&amp;display_string=Audit&amp;DYN_ARGS=TRUE&amp;VAR:ID1=22160K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58__FDSAUDITLINK__" hidden="1">{"fdsup://IBCentral/FAT Viewer?action=UPDATE&amp;creator=factset&amp;DOC_NAME=fat:reuters_annual_source_window.fat&amp;display_string=Audit&amp;DYN_ARGS=TRUE&amp;VAR:ID1=93114210&amp;VAR:RCODE=SALES&amp;VAR:SDATE=20080199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59__FDSAUDITLINK__" hidden="1">{"fdsup://IBCentral/FAT Viewer?action=UPDATE&amp;creator=factset&amp;DOC_NAME=fat:reuters_annual_source_window.fat&amp;display_string=Audit&amp;DYN_ARGS=TRUE&amp;VAR:ID1=93114210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6__FDSAUDITLINK__" hidden="1">{"fdsup://Directions/FactSet Auditing Viewer?action=AUDIT_VALUE&amp;DB=129&amp;ID1=59491810&amp;VALUEID=01001&amp;SDATE=2009&amp;PERIODTYPE=ANN_STD&amp;window=popup_no_bar&amp;width=385&amp;height=120&amp;START_MAXIMIZED=FALSE&amp;creator=factset&amp;display_string=Audit"}</definedName>
    <definedName name="_60__FDSAUDITLINK__" hidden="1">{"fdsup://IBCentral/FAT Viewer?action=UPDATE&amp;creator=factset&amp;DOC_NAME=fat:reuters_annual_source_window.fat&amp;display_string=Audit&amp;DYN_ARGS=TRUE&amp;VAR:ID1=22160K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61__FDSAUDITLINK__" hidden="1">{"fdsup://IBCentral/FAT Viewer?action=UPDATE&amp;creator=factset&amp;DOC_NAME=fat:reuters_annual_source_window.fat&amp;display_string=Audit&amp;DYN_ARGS=TRUE&amp;VAR:ID1=22160K10&amp;VAR:RCODE=FDSASTINTANG&amp;VAR:SDATE=20080899&amp;VAR:FREQ=Y&amp;VAR:RELITEM=&amp;VAR:CURRENCY=USD&amp;VAR:CURRSOURCE=","EXSHARE&amp;VAR:NATFREQ=ANNUAL&amp;VAR:RFIELD=FINALIZED&amp;VAR:DB_TYPE=&amp;VAR:UNITS=M&amp;window=popup&amp;width=450&amp;height=300&amp;START_MAXIMIZED=FALSE"}</definedName>
    <definedName name="_62__FDSAUDITLINK__" hidden="1">{"fdsup://IBCentral/FAT Viewer?action=UPDATE&amp;creator=factset&amp;DOC_NAME=fat:reuters_annual_source_window.fat&amp;display_string=Audit&amp;DYN_ARGS=TRUE&amp;VAR:ID1=22160K10&amp;VAR:RCODE=QTLE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63__FDSAUDITLINK__" hidden="1">{"fdsup://IBCentral/FAT Viewer?action=UPDATE&amp;creator=factset&amp;DOC_NAME=fat:reuters_annual_source_window.fat&amp;display_string=Audit&amp;DYN_ARGS=TRUE&amp;VAR:ID1=87612E10&amp;VAR:RCODE=SCSI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annual_source_window.fat&amp;display_string=Audit&amp;DYN_ARGS=TRUE&amp;VAR:ID1=87612E10&amp;VAR:RCODE=FDSASTINTANG&amp;VAR:SDATE=20080199&amp;VAR:FREQ=Y&amp;VAR:RELITEM=&amp;VAR:CURRENCY=USD&amp;VAR:CURRSOURCE=","EXSHARE&amp;VAR:NATFREQ=ANNUAL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annual_source_window.fat&amp;display_string=Audit&amp;DYN_ARGS=TRUE&amp;VAR:ID1=87612E10&amp;VAR:RCODE=QTLE&amp;VAR:SDATE=20080199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annual_source_window.fat&amp;display_string=Audit&amp;DYN_ARGS=TRUE&amp;VAR:ID1=87612E10&amp;VAR:RCODE=SALES&amp;VAR:SDATE=20080199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annual_source_window.fat&amp;display_string=Audit&amp;DYN_ARGS=TRUE&amp;VAR:ID1=98433210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annual_source_window.fat&amp;display_string=Audit&amp;DYN_ARGS=TRUE&amp;VAR:ID1=59491810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69__FDSAUDITLINK__" hidden="1">{"fdsup://IBCentral/FAT Viewer?action=UPDATE&amp;creator=factset&amp;DOC_NAME=fat:reuters_annual_source_window.fat&amp;display_string=Audit&amp;DYN_ARGS=TRUE&amp;VAR:ID1=98433210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7__FDSAUDITLINK__" hidden="1">{"fdsup://Directions/FactSet Auditing Viewer?action=AUDIT_VALUE&amp;DB=129&amp;ID1=59491810&amp;VALUEID=01001&amp;SDATE=2009&amp;PERIODTYPE=ANN_STD&amp;window=popup_no_bar&amp;width=385&amp;height=120&amp;START_MAXIMIZED=FALSE&amp;creator=factset&amp;display_string=Audit"}</definedName>
    <definedName name="_70__FDSAUDITLINK__" hidden="1">{"fdsup://IBCentral/FAT Viewer?action=UPDATE&amp;creator=factset&amp;DOC_NAME=fat:reuters_annual_source_window.fat&amp;display_string=Audit&amp;DYN_ARGS=TRUE&amp;VAR:ID1=98433210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annual_source_window.fat&amp;display_string=Audit&amp;DYN_ARGS=TRUE&amp;VAR:ID1=59018810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annual_source_window.fat&amp;display_string=Audit&amp;DYN_ARGS=TRUE&amp;VAR:ID1=06050510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annual_source_window.fat&amp;display_string=Audit&amp;DYN_ARGS=TRUE&amp;VAR:ID1=59018810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annual_source_window.fat&amp;display_string=Audit&amp;DYN_ARGS=TRUE&amp;VAR:ID1=59018810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annual_source_window.fat&amp;display_string=Audit&amp;DYN_ARGS=TRUE&amp;VAR:ID1=59018810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8__FDSAUDITLINK__" hidden="1">{"fdsup://Directions/FactSet Auditing Viewer?action=AUDIT_VALUE&amp;DB=129&amp;ID1=98433210&amp;VALUEID=02001&amp;SDATE=2009&amp;PERIODTYPE=ANN_STD&amp;window=popup_no_bar&amp;width=385&amp;height=120&amp;START_MAXIMIZED=FALSE&amp;creator=factset&amp;display_string=Audit"}</definedName>
    <definedName name="_80__FDSAUDITLINK__" hidden="1">{"fdsup://IBCentral/FAT Viewer?action=UPDATE&amp;creator=factset&amp;DOC_NAME=fat:reuters_annual_source_window.fat&amp;display_string=Audit&amp;DYN_ARGS=TRUE&amp;VAR:ID1=06050510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81__FDSAUDITLINK__" hidden="1">{"fdsup://IBCentral/FAT Viewer?action=UPDATE&amp;creator=factset&amp;DOC_NAME=fat:reuters_annual_source_window.fat&amp;display_string=Audit&amp;DYN_ARGS=TRUE&amp;VAR:ID1=92990310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82__FDSAUDITLINK__" hidden="1">{"fdsup://IBCentral/FAT Viewer?action=UPDATE&amp;creator=factset&amp;DOC_NAME=fat:reuters_annual_source_window.fat&amp;display_string=Audit&amp;DYN_ARGS=TRUE&amp;VAR:ID1=94974610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annual_source_window.fat&amp;display_string=Audit&amp;DYN_ARGS=TRUE&amp;VAR:ID1=92990310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annual_source_window.fat&amp;display_string=Audit&amp;DYN_ARGS=TRUE&amp;VAR:ID1=92990310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annual_source_window.fat&amp;display_string=Audit&amp;DYN_ARGS=TRUE&amp;VAR:ID1=92990310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annual_source_window.fat&amp;display_string=Audit&amp;DYN_ARGS=TRUE&amp;VAR:ID1=94974610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87__FDSAUDITLINK__" hidden="1">{"fdsup://IBCentral/FAT Viewer?action=UPDATE&amp;creator=factset&amp;DOC_NAME=fat:reuters_annual_source_window.fat&amp;display_string=Audit&amp;DYN_ARGS=TRUE&amp;VAR:ID1=61770010&amp;VAR:RCODE=SCSI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88__FDSAUDITLINK__" hidden="1">{"fdsup://IBCentral/FAT Viewer?action=UPDATE&amp;creator=factset&amp;DOC_NAME=fat:reuters_annual_source_window.fat&amp;display_string=Audit&amp;DYN_ARGS=TRUE&amp;VAR:ID1=30307510&amp;VAR:RCODE=SCSI&amp;VAR:SDATE=20080899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89__FDSAUDITLINK__" hidden="1">{"fdsup://IBCentral/FAT Viewer?action=UPDATE&amp;creator=factset&amp;DOC_NAME=fat:reuters_annual_source_window.fat&amp;display_string=Audit&amp;DYN_ARGS=TRUE&amp;VAR:ID1=61770010&amp;VAR:RCODE=FDSASTINTANG&amp;VAR:SDATE=20071299&amp;VAR:FREQ=Y&amp;VAR:RELITEM=&amp;VAR:CURRENCY=USD&amp;VAR:CURRSOURCE=","EXSHARE&amp;VAR:NATFREQ=ANNUAL&amp;VAR:RFIELD=FINALIZED&amp;VAR:DB_TYPE=&amp;VAR:UNITS=M&amp;window=popup&amp;width=450&amp;height=300&amp;START_MAXIMIZED=FALSE"}</definedName>
    <definedName name="_9__FDSAUDITLINK__" hidden="1">{"fdsup://Directions/FactSet Auditing Viewer?action=AUDIT_VALUE&amp;DB=129&amp;ID1=98433210&amp;VALUEID=02649&amp;SDATE=2009&amp;PERIODTYPE=ANN_STD&amp;window=popup_no_bar&amp;width=385&amp;height=120&amp;START_MAXIMIZED=FALSE&amp;creator=factset&amp;display_string=Audit"}</definedName>
    <definedName name="_90__FDSAUDITLINK__" hidden="1">{"fdsup://IBCentral/FAT Viewer?action=UPDATE&amp;creator=factset&amp;DOC_NAME=fat:reuters_annual_source_window.fat&amp;display_string=Audit&amp;DYN_ARGS=TRUE&amp;VAR:ID1=61770010&amp;VAR:RCODE=QTLE&amp;VAR:SDATE=20071299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91__FDSAUDITLINK__" hidden="1">{"fdsup://IBCentral/FAT Viewer?action=UPDATE&amp;creator=factset&amp;DOC_NAME=fat:reuters_annual_source_window.fat&amp;display_string=Audit&amp;DYN_ARGS=TRUE&amp;VAR:ID1=61770010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annual_source_window.fat&amp;display_string=Audit&amp;DYN_ARGS=TRUE&amp;VAR:ID1=61770010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annual_source_window.fat&amp;display_string=Audit&amp;DYN_ARGS=TRUE&amp;VAR:ID1=30307510&amp;VAR:RCODE=SALES&amp;VAR:SDATE=20080899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annual_source_window.fat&amp;display_string=Audit&amp;DYN_ARGS=TRUE&amp;VAR:ID1=59491810&amp;VAR:RCODE=SALES&amp;VAR:SDATE=20080699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annual_source_window.fat&amp;display_string=Audit&amp;DYN_ARGS=TRUE&amp;VAR:ID1=59491810&amp;VAR:RCODE=SCSI&amp;VAR:SDATE=20080699&amp;VAR:FREQ=Y&amp;VAR:RELITEM=RP&amp;VAR:CURRENCY=USD&amp;VAR:CURRSOURCE=EXSHAR","E&amp;VAR:NATFREQ=ANNUAL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annual_source_window.fat&amp;display_string=Audit&amp;DYN_ARGS=TRUE&amp;VAR:ID1=98433210&amp;VAR:RCODE=SALES&amp;VAR:SDATE=20071299&amp;VAR:FREQ=Y&amp;VAR:RELITEM=RP&amp;VAR:CURRENCY=USD&amp;VAR:CURRSOURCE=EXSHA","RE&amp;VAR:NATFREQ=ANNUAL&amp;VAR:RFIELD=FINALIZED&amp;VAR:DB_TYPE=&amp;VAR:UNITS=M&amp;window=popup&amp;width=450&amp;height=300&amp;START_MAXIMIZED=FALSE"}</definedName>
    <definedName name="_xlnm._FilterDatabase" localSheetId="4" hidden="1">Acreage!$A$1:$B$29</definedName>
    <definedName name="_xlnm._FilterDatabase" localSheetId="9" hidden="1">Master!$A$1:$AQ$35</definedName>
    <definedName name="_xlnm._FilterDatabase" localSheetId="7" hidden="1">'Mean Oil Estimates'!$A$1:$K$29</definedName>
    <definedName name="_xlnm._FilterDatabase" localSheetId="1" hidden="1">'Net Back'!$A$1:$M$33</definedName>
    <definedName name="_xlnm._FilterDatabase" localSheetId="5" hidden="1">'Pricing_Liquidity_Market Cap'!$A$1:$M$33</definedName>
    <definedName name="_xlnm._FilterDatabase" localSheetId="2" hidden="1">Production!$A$1:$F$29</definedName>
    <definedName name="_xlnm._FilterDatabase" localSheetId="3" hidden="1">Reserves!$A$1:$M$33</definedName>
    <definedName name="Acquirer">[1]AccDil!$G$2</definedName>
    <definedName name="Current_Quarter">Inputs!$C$21</definedName>
    <definedName name="Date">Inputs!$B$6</definedName>
    <definedName name="Date_Formal">Inputs!$B$7</definedName>
    <definedName name="Date_Full">Inputs!$B$8</definedName>
    <definedName name="Day">Inputs!$C$2</definedName>
    <definedName name="List_Day">Inputs!$XEY$2:$XEY$32</definedName>
    <definedName name="List_Month">Inputs!$XEX$2:$XEX$13</definedName>
    <definedName name="List_Year">Inputs!$XEZ$2:$XEZ$4</definedName>
    <definedName name="Month">Inputs!$B$2</definedName>
    <definedName name="Prev_Quarter">Inputs!$C$22</definedName>
    <definedName name="Recently_Completed_Quarter" localSheetId="7">Inputs!#REF!</definedName>
    <definedName name="Recently_Completed_Quarter">Inputs!#REF!</definedName>
    <definedName name="Target">[1]AccDil!$K$2</definedName>
    <definedName name="Year">Inputs!$D$2</definedName>
  </definedNames>
  <calcPr calcId="145621"/>
</workbook>
</file>

<file path=xl/calcChain.xml><?xml version="1.0" encoding="utf-8"?>
<calcChain xmlns="http://schemas.openxmlformats.org/spreadsheetml/2006/main">
  <c r="C33" i="17" l="1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B2" i="17"/>
  <c r="C2" i="17"/>
  <c r="D2" i="17" a="1"/>
  <c r="D2" i="17"/>
  <c r="E2" i="17"/>
  <c r="F2" i="17"/>
  <c r="G2" i="17"/>
  <c r="H2" i="17" a="1"/>
  <c r="H2" i="17"/>
  <c r="I2" i="17"/>
  <c r="J2" i="17"/>
  <c r="K2" i="17"/>
  <c r="B3" i="17"/>
  <c r="D3" i="17" a="1"/>
  <c r="D3" i="17"/>
  <c r="E3" i="17"/>
  <c r="F3" i="17"/>
  <c r="G3" i="17"/>
  <c r="H3" i="17" a="1"/>
  <c r="H3" i="17"/>
  <c r="I3" i="17"/>
  <c r="J3" i="17"/>
  <c r="K3" i="17"/>
  <c r="B4" i="17"/>
  <c r="D4" i="17" a="1"/>
  <c r="D4" i="17"/>
  <c r="E4" i="17"/>
  <c r="F4" i="17"/>
  <c r="G4" i="17"/>
  <c r="H4" i="17" a="1"/>
  <c r="H4" i="17"/>
  <c r="I4" i="17"/>
  <c r="J4" i="17"/>
  <c r="K4" i="17"/>
  <c r="B5" i="17"/>
  <c r="D5" i="17" a="1"/>
  <c r="D5" i="17"/>
  <c r="E5" i="17"/>
  <c r="F5" i="17"/>
  <c r="G5" i="17"/>
  <c r="H5" i="17" a="1"/>
  <c r="H5" i="17"/>
  <c r="I5" i="17"/>
  <c r="J5" i="17"/>
  <c r="K5" i="17"/>
  <c r="B6" i="17"/>
  <c r="D6" i="17" a="1"/>
  <c r="D6" i="17"/>
  <c r="E6" i="17"/>
  <c r="F6" i="17"/>
  <c r="G6" i="17"/>
  <c r="H6" i="17" a="1"/>
  <c r="H6" i="17"/>
  <c r="I6" i="17"/>
  <c r="J6" i="17"/>
  <c r="K6" i="17"/>
  <c r="B7" i="17"/>
  <c r="D7" i="17" a="1"/>
  <c r="D7" i="17"/>
  <c r="E7" i="17"/>
  <c r="F7" i="17"/>
  <c r="G7" i="17"/>
  <c r="H7" i="17" a="1"/>
  <c r="H7" i="17"/>
  <c r="I7" i="17"/>
  <c r="J7" i="17"/>
  <c r="K7" i="17"/>
  <c r="B8" i="17"/>
  <c r="D8" i="17" a="1"/>
  <c r="D8" i="17"/>
  <c r="E8" i="17"/>
  <c r="F8" i="17"/>
  <c r="G8" i="17"/>
  <c r="H8" i="17" a="1"/>
  <c r="H8" i="17"/>
  <c r="I8" i="17"/>
  <c r="J8" i="17"/>
  <c r="K8" i="17"/>
  <c r="B9" i="17"/>
  <c r="D9" i="17" a="1"/>
  <c r="D9" i="17"/>
  <c r="E9" i="17"/>
  <c r="F9" i="17"/>
  <c r="G9" i="17"/>
  <c r="H9" i="17" a="1"/>
  <c r="H9" i="17"/>
  <c r="I9" i="17"/>
  <c r="J9" i="17"/>
  <c r="K9" i="17"/>
  <c r="B10" i="17"/>
  <c r="D10" i="17" a="1"/>
  <c r="D10" i="17"/>
  <c r="E10" i="17"/>
  <c r="F10" i="17"/>
  <c r="G10" i="17"/>
  <c r="H10" i="17" a="1"/>
  <c r="H10" i="17"/>
  <c r="I10" i="17"/>
  <c r="J10" i="17"/>
  <c r="K10" i="17"/>
  <c r="B11" i="17"/>
  <c r="D11" i="17" a="1"/>
  <c r="D11" i="17"/>
  <c r="E11" i="17"/>
  <c r="F11" i="17"/>
  <c r="G11" i="17"/>
  <c r="H11" i="17" a="1"/>
  <c r="H11" i="17"/>
  <c r="I11" i="17"/>
  <c r="J11" i="17"/>
  <c r="K11" i="17"/>
  <c r="B12" i="17"/>
  <c r="D12" i="17" a="1"/>
  <c r="D12" i="17"/>
  <c r="E12" i="17"/>
  <c r="F12" i="17"/>
  <c r="G12" i="17"/>
  <c r="H12" i="17" a="1"/>
  <c r="H12" i="17"/>
  <c r="I12" i="17"/>
  <c r="J12" i="17"/>
  <c r="K12" i="17"/>
  <c r="B13" i="17"/>
  <c r="D13" i="17" a="1"/>
  <c r="D13" i="17"/>
  <c r="E13" i="17"/>
  <c r="F13" i="17"/>
  <c r="G13" i="17"/>
  <c r="H13" i="17" a="1"/>
  <c r="H13" i="17"/>
  <c r="I13" i="17"/>
  <c r="J13" i="17"/>
  <c r="K13" i="17"/>
  <c r="B14" i="17"/>
  <c r="D14" i="17" a="1"/>
  <c r="D14" i="17"/>
  <c r="E14" i="17"/>
  <c r="F14" i="17"/>
  <c r="G14" i="17"/>
  <c r="H14" i="17" a="1"/>
  <c r="H14" i="17"/>
  <c r="I14" i="17"/>
  <c r="J14" i="17"/>
  <c r="K14" i="17"/>
  <c r="B15" i="17"/>
  <c r="D15" i="17" a="1"/>
  <c r="D15" i="17"/>
  <c r="E15" i="17"/>
  <c r="F15" i="17"/>
  <c r="G15" i="17"/>
  <c r="H15" i="17" a="1"/>
  <c r="H15" i="17"/>
  <c r="I15" i="17"/>
  <c r="J15" i="17"/>
  <c r="K15" i="17"/>
  <c r="B16" i="17"/>
  <c r="D16" i="17" a="1"/>
  <c r="D16" i="17"/>
  <c r="E16" i="17"/>
  <c r="F16" i="17"/>
  <c r="G16" i="17"/>
  <c r="H16" i="17" a="1"/>
  <c r="H16" i="17"/>
  <c r="I16" i="17"/>
  <c r="J16" i="17"/>
  <c r="K16" i="17"/>
  <c r="B17" i="17"/>
  <c r="D17" i="17" a="1"/>
  <c r="D17" i="17"/>
  <c r="E17" i="17"/>
  <c r="F17" i="17"/>
  <c r="G17" i="17"/>
  <c r="H17" i="17" a="1"/>
  <c r="H17" i="17"/>
  <c r="I17" i="17"/>
  <c r="J17" i="17"/>
  <c r="K17" i="17"/>
  <c r="B18" i="17"/>
  <c r="D18" i="17" a="1"/>
  <c r="D18" i="17"/>
  <c r="E18" i="17"/>
  <c r="F18" i="17"/>
  <c r="G18" i="17"/>
  <c r="H18" i="17" a="1"/>
  <c r="H18" i="17"/>
  <c r="I18" i="17"/>
  <c r="J18" i="17"/>
  <c r="K18" i="17"/>
  <c r="B19" i="17"/>
  <c r="D19" i="17" a="1"/>
  <c r="D19" i="17"/>
  <c r="E19" i="17"/>
  <c r="F19" i="17"/>
  <c r="G19" i="17"/>
  <c r="H19" i="17" a="1"/>
  <c r="H19" i="17"/>
  <c r="I19" i="17"/>
  <c r="J19" i="17"/>
  <c r="K19" i="17"/>
  <c r="B20" i="17"/>
  <c r="D20" i="17" a="1"/>
  <c r="D20" i="17"/>
  <c r="E20" i="17"/>
  <c r="F20" i="17"/>
  <c r="G20" i="17"/>
  <c r="H20" i="17" a="1"/>
  <c r="H20" i="17"/>
  <c r="I20" i="17"/>
  <c r="J20" i="17"/>
  <c r="K20" i="17"/>
  <c r="B21" i="17"/>
  <c r="D21" i="17" a="1"/>
  <c r="D21" i="17"/>
  <c r="E21" i="17"/>
  <c r="F21" i="17"/>
  <c r="G21" i="17"/>
  <c r="H21" i="17" a="1"/>
  <c r="H21" i="17"/>
  <c r="I21" i="17"/>
  <c r="J21" i="17"/>
  <c r="K21" i="17"/>
  <c r="B22" i="17"/>
  <c r="D22" i="17" a="1"/>
  <c r="D22" i="17"/>
  <c r="E22" i="17"/>
  <c r="F22" i="17"/>
  <c r="G22" i="17"/>
  <c r="H22" i="17" a="1"/>
  <c r="H22" i="17"/>
  <c r="I22" i="17"/>
  <c r="J22" i="17"/>
  <c r="K22" i="17"/>
  <c r="B23" i="17"/>
  <c r="D23" i="17" a="1"/>
  <c r="D23" i="17"/>
  <c r="E23" i="17"/>
  <c r="F23" i="17"/>
  <c r="G23" i="17"/>
  <c r="H23" i="17" a="1"/>
  <c r="H23" i="17"/>
  <c r="I23" i="17"/>
  <c r="J23" i="17"/>
  <c r="K23" i="17"/>
  <c r="B24" i="17"/>
  <c r="D24" i="17" a="1"/>
  <c r="D24" i="17"/>
  <c r="E24" i="17"/>
  <c r="F24" i="17"/>
  <c r="G24" i="17"/>
  <c r="H24" i="17" a="1"/>
  <c r="H24" i="17"/>
  <c r="I24" i="17"/>
  <c r="J24" i="17"/>
  <c r="K24" i="17"/>
  <c r="B25" i="17"/>
  <c r="D25" i="17" a="1"/>
  <c r="D25" i="17"/>
  <c r="E25" i="17"/>
  <c r="F25" i="17"/>
  <c r="G25" i="17"/>
  <c r="H25" i="17" a="1"/>
  <c r="H25" i="17"/>
  <c r="I25" i="17"/>
  <c r="J25" i="17"/>
  <c r="K25" i="17"/>
  <c r="B26" i="17"/>
  <c r="D26" i="17" a="1"/>
  <c r="D26" i="17"/>
  <c r="E26" i="17"/>
  <c r="F26" i="17"/>
  <c r="G26" i="17"/>
  <c r="H26" i="17" a="1"/>
  <c r="H26" i="17"/>
  <c r="I26" i="17"/>
  <c r="J26" i="17"/>
  <c r="K26" i="17"/>
  <c r="B27" i="17"/>
  <c r="D27" i="17" a="1"/>
  <c r="D27" i="17"/>
  <c r="E27" i="17"/>
  <c r="F27" i="17"/>
  <c r="G27" i="17"/>
  <c r="H27" i="17" a="1"/>
  <c r="H27" i="17"/>
  <c r="I27" i="17"/>
  <c r="J27" i="17"/>
  <c r="K27" i="17"/>
  <c r="B28" i="17"/>
  <c r="D28" i="17" a="1"/>
  <c r="D28" i="17"/>
  <c r="E28" i="17"/>
  <c r="F28" i="17"/>
  <c r="G28" i="17"/>
  <c r="H28" i="17" a="1"/>
  <c r="H28" i="17"/>
  <c r="I28" i="17"/>
  <c r="J28" i="17"/>
  <c r="K28" i="17"/>
  <c r="B29" i="17"/>
  <c r="D29" i="17" a="1"/>
  <c r="D29" i="17"/>
  <c r="E29" i="17"/>
  <c r="F29" i="17"/>
  <c r="G29" i="17"/>
  <c r="H29" i="17" a="1"/>
  <c r="H29" i="17"/>
  <c r="I29" i="17"/>
  <c r="J29" i="17"/>
  <c r="K29" i="17"/>
  <c r="B30" i="17"/>
  <c r="D30" i="17" a="1"/>
  <c r="D30" i="17"/>
  <c r="E30" i="17"/>
  <c r="F30" i="17"/>
  <c r="G30" i="17"/>
  <c r="H30" i="17" a="1"/>
  <c r="H30" i="17"/>
  <c r="I30" i="17"/>
  <c r="J30" i="17"/>
  <c r="K30" i="17"/>
  <c r="B31" i="17"/>
  <c r="D31" i="17" a="1"/>
  <c r="D31" i="17"/>
  <c r="E31" i="17"/>
  <c r="F31" i="17"/>
  <c r="G31" i="17"/>
  <c r="H31" i="17" a="1"/>
  <c r="H31" i="17"/>
  <c r="I31" i="17"/>
  <c r="J31" i="17"/>
  <c r="K31" i="17"/>
  <c r="B32" i="17"/>
  <c r="D32" i="17" a="1"/>
  <c r="D32" i="17"/>
  <c r="E32" i="17"/>
  <c r="F32" i="17"/>
  <c r="G32" i="17"/>
  <c r="H32" i="17" a="1"/>
  <c r="H32" i="17"/>
  <c r="I32" i="17"/>
  <c r="J32" i="17"/>
  <c r="K32" i="17"/>
  <c r="B33" i="17"/>
  <c r="D33" i="17" a="1"/>
  <c r="D33" i="17"/>
  <c r="E33" i="17"/>
  <c r="F33" i="17"/>
  <c r="G33" i="17"/>
  <c r="H33" i="17" a="1"/>
  <c r="H33" i="17"/>
  <c r="I33" i="17"/>
  <c r="J33" i="17"/>
  <c r="K33" i="17"/>
  <c r="C37" i="1" l="1"/>
  <c r="B2" i="1"/>
  <c r="C2" i="1"/>
  <c r="D2" i="1"/>
  <c r="E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N2" i="1"/>
  <c r="O2" i="1"/>
  <c r="P2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S2" i="1"/>
  <c r="T2" i="1"/>
  <c r="U2" i="1"/>
  <c r="V2" i="1"/>
  <c r="S3" i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X2" i="1"/>
  <c r="Y2" i="1"/>
  <c r="Z2" i="1"/>
  <c r="AA2" i="1"/>
  <c r="X3" i="1"/>
  <c r="Y3" i="1"/>
  <c r="Z3" i="1"/>
  <c r="AA3" i="1"/>
  <c r="X4" i="1"/>
  <c r="Y4" i="1"/>
  <c r="Z4" i="1"/>
  <c r="AA4" i="1"/>
  <c r="X5" i="1"/>
  <c r="Y5" i="1"/>
  <c r="Z5" i="1"/>
  <c r="AA5" i="1"/>
  <c r="X6" i="1"/>
  <c r="Y6" i="1"/>
  <c r="Z6" i="1"/>
  <c r="AA6" i="1"/>
  <c r="X7" i="1"/>
  <c r="Y7" i="1"/>
  <c r="Z7" i="1"/>
  <c r="AA7" i="1"/>
  <c r="X8" i="1"/>
  <c r="Y8" i="1"/>
  <c r="Z8" i="1"/>
  <c r="AA8" i="1"/>
  <c r="X9" i="1"/>
  <c r="Y9" i="1"/>
  <c r="Z9" i="1"/>
  <c r="AA9" i="1"/>
  <c r="X10" i="1"/>
  <c r="Y10" i="1"/>
  <c r="Z10" i="1"/>
  <c r="AA10" i="1"/>
  <c r="X11" i="1"/>
  <c r="Y11" i="1"/>
  <c r="Z11" i="1"/>
  <c r="AA11" i="1"/>
  <c r="X12" i="1"/>
  <c r="Y12" i="1"/>
  <c r="Z12" i="1"/>
  <c r="AA12" i="1"/>
  <c r="X13" i="1"/>
  <c r="Y13" i="1"/>
  <c r="Z13" i="1"/>
  <c r="AA13" i="1"/>
  <c r="X14" i="1"/>
  <c r="Y14" i="1"/>
  <c r="Z14" i="1"/>
  <c r="AA14" i="1"/>
  <c r="X15" i="1"/>
  <c r="Y15" i="1"/>
  <c r="Z15" i="1"/>
  <c r="AA15" i="1"/>
  <c r="X16" i="1"/>
  <c r="Y16" i="1"/>
  <c r="Z16" i="1"/>
  <c r="AA16" i="1"/>
  <c r="X17" i="1"/>
  <c r="Y17" i="1"/>
  <c r="Z17" i="1"/>
  <c r="AA17" i="1"/>
  <c r="X18" i="1"/>
  <c r="Y18" i="1"/>
  <c r="Z18" i="1"/>
  <c r="AA18" i="1"/>
  <c r="X19" i="1"/>
  <c r="Y19" i="1"/>
  <c r="Z19" i="1"/>
  <c r="AA19" i="1"/>
  <c r="X20" i="1"/>
  <c r="Y20" i="1"/>
  <c r="Z20" i="1"/>
  <c r="AA20" i="1"/>
  <c r="X21" i="1"/>
  <c r="Y21" i="1"/>
  <c r="Z21" i="1"/>
  <c r="AA21" i="1"/>
  <c r="X22" i="1"/>
  <c r="Y22" i="1"/>
  <c r="Z22" i="1"/>
  <c r="AA22" i="1"/>
  <c r="X23" i="1"/>
  <c r="Y23" i="1"/>
  <c r="Z23" i="1"/>
  <c r="AA23" i="1"/>
  <c r="X24" i="1"/>
  <c r="Y24" i="1"/>
  <c r="Z24" i="1"/>
  <c r="AA24" i="1"/>
  <c r="X25" i="1"/>
  <c r="Y25" i="1"/>
  <c r="Z25" i="1"/>
  <c r="AA25" i="1"/>
  <c r="X26" i="1"/>
  <c r="Y26" i="1"/>
  <c r="Z26" i="1"/>
  <c r="AA26" i="1"/>
  <c r="X27" i="1"/>
  <c r="Y27" i="1"/>
  <c r="Z27" i="1"/>
  <c r="AA27" i="1"/>
  <c r="X28" i="1"/>
  <c r="Y28" i="1"/>
  <c r="Z28" i="1"/>
  <c r="AA28" i="1"/>
  <c r="X29" i="1"/>
  <c r="Y29" i="1"/>
  <c r="Z29" i="1"/>
  <c r="AA29" i="1"/>
  <c r="X30" i="1"/>
  <c r="Y30" i="1"/>
  <c r="Z30" i="1"/>
  <c r="AA30" i="1"/>
  <c r="X31" i="1"/>
  <c r="Y31" i="1"/>
  <c r="Z31" i="1"/>
  <c r="AA31" i="1"/>
  <c r="X32" i="1"/>
  <c r="Y32" i="1"/>
  <c r="Z32" i="1"/>
  <c r="AA32" i="1"/>
  <c r="X33" i="1"/>
  <c r="Y33" i="1"/>
  <c r="Z33" i="1"/>
  <c r="AA33" i="1"/>
  <c r="X34" i="1"/>
  <c r="Y34" i="1"/>
  <c r="Z34" i="1"/>
  <c r="AA34" i="1"/>
  <c r="X35" i="1"/>
  <c r="Y35" i="1"/>
  <c r="Z35" i="1"/>
  <c r="AA35" i="1"/>
  <c r="AC2" i="1"/>
  <c r="AD2" i="1"/>
  <c r="AE2" i="1"/>
  <c r="AC3" i="1"/>
  <c r="AD3" i="1"/>
  <c r="AE3" i="1"/>
  <c r="AC4" i="1"/>
  <c r="AD4" i="1"/>
  <c r="AE4" i="1"/>
  <c r="AC5" i="1"/>
  <c r="AD5" i="1"/>
  <c r="AE5" i="1"/>
  <c r="AC6" i="1"/>
  <c r="AD6" i="1"/>
  <c r="AE6" i="1"/>
  <c r="AC7" i="1"/>
  <c r="AD7" i="1"/>
  <c r="AE7" i="1"/>
  <c r="AC8" i="1"/>
  <c r="AD8" i="1"/>
  <c r="AE8" i="1"/>
  <c r="AC9" i="1"/>
  <c r="AD9" i="1"/>
  <c r="AE9" i="1"/>
  <c r="AC10" i="1"/>
  <c r="AD10" i="1"/>
  <c r="AE10" i="1"/>
  <c r="AC11" i="1"/>
  <c r="AD11" i="1"/>
  <c r="AE11" i="1"/>
  <c r="AC12" i="1"/>
  <c r="AD12" i="1"/>
  <c r="AE12" i="1"/>
  <c r="AC13" i="1"/>
  <c r="AD13" i="1"/>
  <c r="AE13" i="1"/>
  <c r="AC14" i="1"/>
  <c r="AD14" i="1"/>
  <c r="AE14" i="1"/>
  <c r="AC15" i="1"/>
  <c r="AD15" i="1"/>
  <c r="AE15" i="1"/>
  <c r="AC16" i="1"/>
  <c r="AD16" i="1"/>
  <c r="AE16" i="1"/>
  <c r="AC17" i="1"/>
  <c r="AD17" i="1"/>
  <c r="AE17" i="1"/>
  <c r="AC18" i="1"/>
  <c r="AD18" i="1"/>
  <c r="AE18" i="1"/>
  <c r="AC19" i="1"/>
  <c r="AD19" i="1"/>
  <c r="AE19" i="1"/>
  <c r="AC20" i="1"/>
  <c r="AD20" i="1"/>
  <c r="AE20" i="1"/>
  <c r="AC21" i="1"/>
  <c r="AD21" i="1"/>
  <c r="AE21" i="1"/>
  <c r="AC22" i="1"/>
  <c r="AD22" i="1"/>
  <c r="AE22" i="1"/>
  <c r="AC23" i="1"/>
  <c r="AD23" i="1"/>
  <c r="AE23" i="1"/>
  <c r="AC24" i="1"/>
  <c r="AD24" i="1"/>
  <c r="AE24" i="1"/>
  <c r="AC25" i="1"/>
  <c r="AD25" i="1"/>
  <c r="AE25" i="1"/>
  <c r="AC26" i="1"/>
  <c r="AD26" i="1"/>
  <c r="AE26" i="1"/>
  <c r="AC27" i="1"/>
  <c r="AD27" i="1"/>
  <c r="AE27" i="1"/>
  <c r="AC28" i="1"/>
  <c r="AD28" i="1"/>
  <c r="AE28" i="1"/>
  <c r="AC29" i="1"/>
  <c r="AD29" i="1"/>
  <c r="AE29" i="1"/>
  <c r="AC30" i="1"/>
  <c r="AD30" i="1"/>
  <c r="AE30" i="1"/>
  <c r="AC31" i="1"/>
  <c r="AD31" i="1"/>
  <c r="AE31" i="1"/>
  <c r="AC32" i="1"/>
  <c r="AD32" i="1"/>
  <c r="AE32" i="1"/>
  <c r="AC33" i="1"/>
  <c r="AD33" i="1"/>
  <c r="AE33" i="1"/>
  <c r="AC34" i="1"/>
  <c r="AD34" i="1"/>
  <c r="AE34" i="1"/>
  <c r="AC35" i="1"/>
  <c r="AD35" i="1"/>
  <c r="AE35" i="1"/>
  <c r="AG2" i="1"/>
  <c r="AH2" i="1"/>
  <c r="AI2" i="1"/>
  <c r="AG3" i="1"/>
  <c r="AH3" i="1"/>
  <c r="AI3" i="1"/>
  <c r="AG4" i="1"/>
  <c r="AH4" i="1"/>
  <c r="AI4" i="1"/>
  <c r="AG5" i="1"/>
  <c r="AH5" i="1"/>
  <c r="AI5" i="1"/>
  <c r="AG6" i="1"/>
  <c r="AH6" i="1"/>
  <c r="AI6" i="1"/>
  <c r="AG7" i="1"/>
  <c r="AH7" i="1"/>
  <c r="AI7" i="1"/>
  <c r="AG8" i="1"/>
  <c r="AH8" i="1"/>
  <c r="AI8" i="1"/>
  <c r="AG9" i="1"/>
  <c r="AH9" i="1"/>
  <c r="AI9" i="1"/>
  <c r="AG10" i="1"/>
  <c r="AH10" i="1"/>
  <c r="AI10" i="1"/>
  <c r="AG11" i="1"/>
  <c r="AH11" i="1"/>
  <c r="AI11" i="1"/>
  <c r="AG12" i="1"/>
  <c r="AH12" i="1"/>
  <c r="AI12" i="1"/>
  <c r="AG13" i="1"/>
  <c r="AH13" i="1"/>
  <c r="AI13" i="1"/>
  <c r="AG14" i="1"/>
  <c r="AH14" i="1"/>
  <c r="AI14" i="1"/>
  <c r="AG15" i="1"/>
  <c r="AH15" i="1"/>
  <c r="AI15" i="1"/>
  <c r="AG16" i="1"/>
  <c r="AH16" i="1"/>
  <c r="AI16" i="1"/>
  <c r="AG17" i="1"/>
  <c r="AH17" i="1"/>
  <c r="AI17" i="1"/>
  <c r="AG18" i="1"/>
  <c r="AH18" i="1"/>
  <c r="AI18" i="1"/>
  <c r="AG19" i="1"/>
  <c r="AH19" i="1"/>
  <c r="AI19" i="1"/>
  <c r="AG20" i="1"/>
  <c r="AH20" i="1"/>
  <c r="AI20" i="1"/>
  <c r="AG21" i="1"/>
  <c r="AH21" i="1"/>
  <c r="AI21" i="1"/>
  <c r="AG22" i="1"/>
  <c r="AH22" i="1"/>
  <c r="AI22" i="1"/>
  <c r="AG23" i="1"/>
  <c r="AH23" i="1"/>
  <c r="AI23" i="1"/>
  <c r="AG24" i="1"/>
  <c r="AH24" i="1"/>
  <c r="AI24" i="1"/>
  <c r="AG25" i="1"/>
  <c r="AH25" i="1"/>
  <c r="AI25" i="1"/>
  <c r="AG26" i="1"/>
  <c r="AH26" i="1"/>
  <c r="AI26" i="1"/>
  <c r="AG27" i="1"/>
  <c r="AH27" i="1"/>
  <c r="AI27" i="1"/>
  <c r="AG28" i="1"/>
  <c r="AH28" i="1"/>
  <c r="AI28" i="1"/>
  <c r="AG29" i="1"/>
  <c r="AH29" i="1"/>
  <c r="AI29" i="1"/>
  <c r="AG30" i="1"/>
  <c r="AH30" i="1"/>
  <c r="AI30" i="1"/>
  <c r="AG31" i="1"/>
  <c r="AH31" i="1"/>
  <c r="AI31" i="1"/>
  <c r="AG32" i="1"/>
  <c r="AH32" i="1"/>
  <c r="AI32" i="1"/>
  <c r="AG33" i="1"/>
  <c r="AH33" i="1"/>
  <c r="AI33" i="1"/>
  <c r="AG34" i="1"/>
  <c r="AH34" i="1"/>
  <c r="AI34" i="1"/>
  <c r="AG35" i="1"/>
  <c r="AH35" i="1"/>
  <c r="AI35" i="1"/>
  <c r="AM2" i="1"/>
  <c r="AN2" i="1"/>
  <c r="AO2" i="1"/>
  <c r="AP2" i="1"/>
  <c r="AQ2" i="1"/>
  <c r="AM3" i="1"/>
  <c r="AN3" i="1"/>
  <c r="AO3" i="1"/>
  <c r="AP3" i="1"/>
  <c r="AQ3" i="1"/>
  <c r="AM4" i="1"/>
  <c r="AN4" i="1"/>
  <c r="AO4" i="1"/>
  <c r="AP4" i="1"/>
  <c r="AQ4" i="1"/>
  <c r="AM5" i="1"/>
  <c r="AN5" i="1"/>
  <c r="AO5" i="1"/>
  <c r="AP5" i="1"/>
  <c r="AQ5" i="1"/>
  <c r="AM6" i="1"/>
  <c r="AN6" i="1"/>
  <c r="AO6" i="1"/>
  <c r="AP6" i="1"/>
  <c r="AQ6" i="1"/>
  <c r="AM7" i="1"/>
  <c r="AN7" i="1"/>
  <c r="AO7" i="1"/>
  <c r="AP7" i="1"/>
  <c r="AQ7" i="1"/>
  <c r="AM8" i="1"/>
  <c r="AN8" i="1"/>
  <c r="AO8" i="1"/>
  <c r="AP8" i="1"/>
  <c r="AQ8" i="1"/>
  <c r="AM9" i="1"/>
  <c r="AN9" i="1"/>
  <c r="AO9" i="1"/>
  <c r="AP9" i="1"/>
  <c r="AQ9" i="1"/>
  <c r="AM10" i="1"/>
  <c r="AN10" i="1"/>
  <c r="AO10" i="1"/>
  <c r="AP10" i="1"/>
  <c r="AQ10" i="1"/>
  <c r="AM11" i="1"/>
  <c r="AN11" i="1"/>
  <c r="AO11" i="1"/>
  <c r="AP11" i="1"/>
  <c r="AQ11" i="1"/>
  <c r="AM12" i="1"/>
  <c r="AN12" i="1"/>
  <c r="AO12" i="1"/>
  <c r="AP12" i="1"/>
  <c r="AQ12" i="1"/>
  <c r="AM13" i="1"/>
  <c r="AN13" i="1"/>
  <c r="AO13" i="1"/>
  <c r="AP13" i="1"/>
  <c r="AQ13" i="1"/>
  <c r="AM14" i="1"/>
  <c r="AN14" i="1"/>
  <c r="AO14" i="1"/>
  <c r="AP14" i="1"/>
  <c r="AQ14" i="1"/>
  <c r="AM15" i="1"/>
  <c r="AN15" i="1"/>
  <c r="AO15" i="1"/>
  <c r="AP15" i="1"/>
  <c r="AQ15" i="1"/>
  <c r="AM16" i="1"/>
  <c r="AN16" i="1"/>
  <c r="AO16" i="1"/>
  <c r="AP16" i="1"/>
  <c r="AQ16" i="1"/>
  <c r="AM17" i="1"/>
  <c r="AN17" i="1"/>
  <c r="AO17" i="1"/>
  <c r="AP17" i="1"/>
  <c r="AQ17" i="1"/>
  <c r="AM18" i="1"/>
  <c r="AN18" i="1"/>
  <c r="AO18" i="1"/>
  <c r="AP18" i="1"/>
  <c r="AQ18" i="1"/>
  <c r="AM19" i="1"/>
  <c r="AN19" i="1"/>
  <c r="AO19" i="1"/>
  <c r="AP19" i="1"/>
  <c r="AQ19" i="1"/>
  <c r="AM20" i="1"/>
  <c r="AN20" i="1"/>
  <c r="AO20" i="1"/>
  <c r="AP20" i="1"/>
  <c r="AQ20" i="1"/>
  <c r="AM21" i="1"/>
  <c r="AN21" i="1"/>
  <c r="AO21" i="1"/>
  <c r="AP21" i="1"/>
  <c r="AQ21" i="1"/>
  <c r="AM22" i="1"/>
  <c r="AN22" i="1"/>
  <c r="AO22" i="1"/>
  <c r="AP22" i="1"/>
  <c r="AQ22" i="1"/>
  <c r="AM23" i="1"/>
  <c r="AN23" i="1"/>
  <c r="AO23" i="1"/>
  <c r="AP23" i="1"/>
  <c r="AQ23" i="1"/>
  <c r="AM24" i="1"/>
  <c r="AN24" i="1"/>
  <c r="AO24" i="1"/>
  <c r="AP24" i="1"/>
  <c r="AQ24" i="1"/>
  <c r="AM25" i="1"/>
  <c r="AN25" i="1"/>
  <c r="AO25" i="1"/>
  <c r="AP25" i="1"/>
  <c r="AQ25" i="1"/>
  <c r="AM26" i="1"/>
  <c r="AN26" i="1"/>
  <c r="AO26" i="1"/>
  <c r="AP26" i="1"/>
  <c r="AQ26" i="1"/>
  <c r="AM27" i="1"/>
  <c r="AN27" i="1"/>
  <c r="AO27" i="1"/>
  <c r="AP27" i="1"/>
  <c r="AQ27" i="1"/>
  <c r="AM28" i="1"/>
  <c r="AN28" i="1"/>
  <c r="AO28" i="1"/>
  <c r="AP28" i="1"/>
  <c r="AQ28" i="1"/>
  <c r="AM29" i="1"/>
  <c r="AN29" i="1"/>
  <c r="AO29" i="1"/>
  <c r="AP29" i="1"/>
  <c r="AQ29" i="1"/>
  <c r="AM30" i="1"/>
  <c r="AN30" i="1"/>
  <c r="AO30" i="1"/>
  <c r="AP30" i="1"/>
  <c r="AQ30" i="1"/>
  <c r="AM31" i="1"/>
  <c r="AN31" i="1"/>
  <c r="AO31" i="1"/>
  <c r="AP31" i="1"/>
  <c r="AQ31" i="1"/>
  <c r="AM32" i="1"/>
  <c r="AN32" i="1"/>
  <c r="AO32" i="1"/>
  <c r="AP32" i="1"/>
  <c r="AQ32" i="1"/>
  <c r="AM33" i="1"/>
  <c r="AN33" i="1"/>
  <c r="AO33" i="1"/>
  <c r="AP33" i="1"/>
  <c r="AQ33" i="1"/>
  <c r="AM34" i="1"/>
  <c r="AN34" i="1"/>
  <c r="AO34" i="1"/>
  <c r="AP34" i="1"/>
  <c r="AQ34" i="1"/>
  <c r="AM35" i="1"/>
  <c r="AN35" i="1"/>
  <c r="AO35" i="1"/>
  <c r="AP35" i="1"/>
  <c r="AQ35" i="1"/>
  <c r="I13" i="12" l="1"/>
  <c r="B2" i="12"/>
  <c r="C2" i="12"/>
  <c r="D2" i="12"/>
  <c r="E2" i="12"/>
  <c r="B3" i="12"/>
  <c r="C3" i="12"/>
  <c r="D3" i="12"/>
  <c r="E3" i="12"/>
  <c r="B4" i="12"/>
  <c r="C4" i="12"/>
  <c r="D4" i="12"/>
  <c r="E4" i="12"/>
  <c r="B5" i="12"/>
  <c r="C5" i="12"/>
  <c r="D5" i="12"/>
  <c r="E5" i="12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C2" i="9"/>
  <c r="E2" i="9"/>
  <c r="C4" i="9"/>
  <c r="E4" i="9"/>
  <c r="C9" i="9"/>
  <c r="E9" i="9"/>
  <c r="E14" i="9"/>
  <c r="C19" i="9"/>
  <c r="C20" i="9"/>
  <c r="E17" i="9"/>
  <c r="E18" i="9"/>
  <c r="E19" i="9"/>
  <c r="E20" i="9"/>
  <c r="C23" i="9"/>
  <c r="E23" i="9"/>
  <c r="E27" i="9"/>
  <c r="E29" i="9"/>
  <c r="C33" i="9"/>
  <c r="C34" i="9"/>
  <c r="E33" i="9"/>
  <c r="E34" i="9"/>
  <c r="I2" i="9"/>
  <c r="G4" i="9"/>
  <c r="I4" i="9"/>
  <c r="I14" i="9"/>
  <c r="I17" i="9"/>
  <c r="G19" i="9"/>
  <c r="G20" i="9"/>
  <c r="I19" i="9"/>
  <c r="I20" i="9"/>
  <c r="I26" i="9"/>
  <c r="I27" i="9"/>
  <c r="G33" i="9"/>
  <c r="G34" i="9"/>
  <c r="I33" i="9"/>
  <c r="I34" i="9"/>
  <c r="C20" i="6"/>
  <c r="C21" i="6"/>
  <c r="C22" i="6"/>
  <c r="B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2" i="14"/>
  <c r="C2" i="14"/>
  <c r="D2" i="14"/>
  <c r="B3" i="14"/>
  <c r="C3" i="14"/>
  <c r="D3" i="14"/>
  <c r="B4" i="14"/>
  <c r="C4" i="14"/>
  <c r="D4" i="14"/>
  <c r="B5" i="14"/>
  <c r="C5" i="14"/>
  <c r="D5" i="14"/>
  <c r="B6" i="14"/>
  <c r="C6" i="14"/>
  <c r="D6" i="14"/>
  <c r="B7" i="14"/>
  <c r="C7" i="14"/>
  <c r="D7" i="14"/>
  <c r="B8" i="14"/>
  <c r="C8" i="14"/>
  <c r="D8" i="14"/>
  <c r="B9" i="14"/>
  <c r="C9" i="14"/>
  <c r="D9" i="14"/>
  <c r="B10" i="14"/>
  <c r="C10" i="14"/>
  <c r="D10" i="14"/>
  <c r="B11" i="14"/>
  <c r="C11" i="14"/>
  <c r="D11" i="14"/>
  <c r="B12" i="14"/>
  <c r="C12" i="14"/>
  <c r="D12" i="14"/>
  <c r="B13" i="14"/>
  <c r="C13" i="14"/>
  <c r="D13" i="14"/>
  <c r="B14" i="14"/>
  <c r="C14" i="14"/>
  <c r="D14" i="14"/>
  <c r="B15" i="14"/>
  <c r="C15" i="14"/>
  <c r="D15" i="14"/>
  <c r="B16" i="14"/>
  <c r="C16" i="14"/>
  <c r="D16" i="14"/>
  <c r="B17" i="14"/>
  <c r="C17" i="14"/>
  <c r="D17" i="14"/>
  <c r="B18" i="14"/>
  <c r="C18" i="14"/>
  <c r="D18" i="14"/>
  <c r="B19" i="14"/>
  <c r="C19" i="14"/>
  <c r="D19" i="14"/>
  <c r="B20" i="14"/>
  <c r="C20" i="14"/>
  <c r="D20" i="14"/>
  <c r="B21" i="14"/>
  <c r="C21" i="14"/>
  <c r="D21" i="14"/>
  <c r="B22" i="14"/>
  <c r="C22" i="14"/>
  <c r="D22" i="14"/>
  <c r="B23" i="14"/>
  <c r="C23" i="14"/>
  <c r="D23" i="14"/>
  <c r="B24" i="14"/>
  <c r="C24" i="14"/>
  <c r="D24" i="14"/>
  <c r="B25" i="14"/>
  <c r="C25" i="14"/>
  <c r="D25" i="14"/>
  <c r="B26" i="14"/>
  <c r="C26" i="14"/>
  <c r="D26" i="14"/>
  <c r="B27" i="14"/>
  <c r="C27" i="14"/>
  <c r="D27" i="14"/>
  <c r="B28" i="14"/>
  <c r="C28" i="14"/>
  <c r="D28" i="14"/>
  <c r="B29" i="14"/>
  <c r="C29" i="14"/>
  <c r="D29" i="14"/>
  <c r="B30" i="14"/>
  <c r="C30" i="14"/>
  <c r="D30" i="14"/>
  <c r="B31" i="14"/>
  <c r="C31" i="14"/>
  <c r="D31" i="14"/>
  <c r="B32" i="14"/>
  <c r="C32" i="14"/>
  <c r="D32" i="14"/>
  <c r="B33" i="14"/>
  <c r="C33" i="14"/>
  <c r="D33" i="14"/>
  <c r="F2" i="14"/>
  <c r="G2" i="14"/>
  <c r="H2" i="14"/>
  <c r="I2" i="14"/>
  <c r="F3" i="14"/>
  <c r="G3" i="14"/>
  <c r="H3" i="14"/>
  <c r="I3" i="14"/>
  <c r="F4" i="14"/>
  <c r="G4" i="14"/>
  <c r="H4" i="14"/>
  <c r="I4" i="14"/>
  <c r="F5" i="14"/>
  <c r="G5" i="14"/>
  <c r="H5" i="14"/>
  <c r="I5" i="14"/>
  <c r="F6" i="14"/>
  <c r="G6" i="14"/>
  <c r="H6" i="14"/>
  <c r="I6" i="14"/>
  <c r="F7" i="14"/>
  <c r="G7" i="14"/>
  <c r="H7" i="14"/>
  <c r="I7" i="14"/>
  <c r="F8" i="14"/>
  <c r="G8" i="14"/>
  <c r="H8" i="14"/>
  <c r="I8" i="14"/>
  <c r="F9" i="14"/>
  <c r="G9" i="14"/>
  <c r="H9" i="14"/>
  <c r="I9" i="14"/>
  <c r="F10" i="14"/>
  <c r="G10" i="14"/>
  <c r="H10" i="14"/>
  <c r="I10" i="14"/>
  <c r="F11" i="14"/>
  <c r="G11" i="14"/>
  <c r="H11" i="14"/>
  <c r="I11" i="14"/>
  <c r="F12" i="14"/>
  <c r="G12" i="14"/>
  <c r="H12" i="14"/>
  <c r="I12" i="14"/>
  <c r="F13" i="14"/>
  <c r="G13" i="14"/>
  <c r="H13" i="14"/>
  <c r="I13" i="14"/>
  <c r="F14" i="14"/>
  <c r="G14" i="14"/>
  <c r="H14" i="14"/>
  <c r="I14" i="14"/>
  <c r="F15" i="14"/>
  <c r="G15" i="14"/>
  <c r="H15" i="14"/>
  <c r="I15" i="14"/>
  <c r="F16" i="14"/>
  <c r="G16" i="14"/>
  <c r="H16" i="14"/>
  <c r="I16" i="14"/>
  <c r="F17" i="14"/>
  <c r="G17" i="14"/>
  <c r="H17" i="14"/>
  <c r="I17" i="14"/>
  <c r="F18" i="14"/>
  <c r="G18" i="14"/>
  <c r="H18" i="14"/>
  <c r="I18" i="14"/>
  <c r="F19" i="14"/>
  <c r="G19" i="14"/>
  <c r="H19" i="14"/>
  <c r="I19" i="14"/>
  <c r="F20" i="14"/>
  <c r="G20" i="14"/>
  <c r="H20" i="14"/>
  <c r="I20" i="14"/>
  <c r="F21" i="14"/>
  <c r="G21" i="14"/>
  <c r="H21" i="14"/>
  <c r="I21" i="14"/>
  <c r="F22" i="14"/>
  <c r="G22" i="14"/>
  <c r="H22" i="14"/>
  <c r="I22" i="14"/>
  <c r="F23" i="14"/>
  <c r="G23" i="14"/>
  <c r="H23" i="14"/>
  <c r="I23" i="14"/>
  <c r="F24" i="14"/>
  <c r="G24" i="14"/>
  <c r="H24" i="14"/>
  <c r="I24" i="14"/>
  <c r="F25" i="14"/>
  <c r="G25" i="14"/>
  <c r="H25" i="14"/>
  <c r="I25" i="14"/>
  <c r="F26" i="14"/>
  <c r="G26" i="14"/>
  <c r="H26" i="14"/>
  <c r="I26" i="14"/>
  <c r="F27" i="14"/>
  <c r="G27" i="14"/>
  <c r="H27" i="14"/>
  <c r="I27" i="14"/>
  <c r="F28" i="14"/>
  <c r="G28" i="14"/>
  <c r="H28" i="14"/>
  <c r="I28" i="14"/>
  <c r="F29" i="14"/>
  <c r="G29" i="14"/>
  <c r="H29" i="14"/>
  <c r="I29" i="14"/>
  <c r="F30" i="14"/>
  <c r="G30" i="14"/>
  <c r="H30" i="14"/>
  <c r="I30" i="14"/>
  <c r="F31" i="14"/>
  <c r="G31" i="14"/>
  <c r="H31" i="14"/>
  <c r="I31" i="14"/>
  <c r="F32" i="14"/>
  <c r="G32" i="14"/>
  <c r="H32" i="14"/>
  <c r="I32" i="14"/>
  <c r="F33" i="14"/>
  <c r="G33" i="14"/>
  <c r="H33" i="14"/>
  <c r="I33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B2" i="11"/>
  <c r="C2" i="11"/>
  <c r="D2" i="11"/>
  <c r="B3" i="11"/>
  <c r="C3" i="11"/>
  <c r="D3" i="11"/>
  <c r="B4" i="11"/>
  <c r="C4" i="11"/>
  <c r="D4" i="11"/>
  <c r="B5" i="11"/>
  <c r="C5" i="11"/>
  <c r="D5" i="11"/>
  <c r="B6" i="11"/>
  <c r="C6" i="11"/>
  <c r="D6" i="11"/>
  <c r="B7" i="11"/>
  <c r="C7" i="11"/>
  <c r="D7" i="11"/>
  <c r="B8" i="11"/>
  <c r="C8" i="11"/>
  <c r="D8" i="11"/>
  <c r="B9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B21" i="11"/>
  <c r="C21" i="11"/>
  <c r="D21" i="11"/>
  <c r="B22" i="11"/>
  <c r="C22" i="11"/>
  <c r="D22" i="11"/>
  <c r="B23" i="11"/>
  <c r="C23" i="11"/>
  <c r="D23" i="11"/>
  <c r="B24" i="11"/>
  <c r="C24" i="11"/>
  <c r="D24" i="11"/>
  <c r="B25" i="11"/>
  <c r="C25" i="11"/>
  <c r="D25" i="11"/>
  <c r="B26" i="11"/>
  <c r="C26" i="11"/>
  <c r="D26" i="11"/>
  <c r="B27" i="11"/>
  <c r="C27" i="11"/>
  <c r="D27" i="11"/>
  <c r="B28" i="11"/>
  <c r="C28" i="11"/>
  <c r="D28" i="11"/>
  <c r="B29" i="11"/>
  <c r="C29" i="11"/>
  <c r="D29" i="11"/>
  <c r="B30" i="11"/>
  <c r="C30" i="11"/>
  <c r="D30" i="11"/>
  <c r="B31" i="11"/>
  <c r="C31" i="11"/>
  <c r="D31" i="11"/>
  <c r="B32" i="11"/>
  <c r="C32" i="11"/>
  <c r="D32" i="11"/>
  <c r="B33" i="11"/>
  <c r="C33" i="11"/>
  <c r="D33" i="11"/>
  <c r="B30" i="15"/>
  <c r="C30" i="15"/>
  <c r="D30" i="15"/>
  <c r="E30" i="15"/>
  <c r="B28" i="15"/>
  <c r="C28" i="15"/>
  <c r="D28" i="15"/>
  <c r="E28" i="15"/>
  <c r="B27" i="15"/>
  <c r="C27" i="15"/>
  <c r="D27" i="15"/>
  <c r="E27" i="15"/>
  <c r="B10" i="15"/>
  <c r="C10" i="15"/>
  <c r="D10" i="15"/>
  <c r="E10" i="15"/>
  <c r="B4" i="15"/>
  <c r="C4" i="15"/>
  <c r="D4" i="15"/>
  <c r="E4" i="15"/>
  <c r="B23" i="15"/>
  <c r="C23" i="15"/>
  <c r="D23" i="15"/>
  <c r="E23" i="15"/>
  <c r="B8" i="15"/>
  <c r="C8" i="15"/>
  <c r="D8" i="15"/>
  <c r="E8" i="15"/>
  <c r="B31" i="15"/>
  <c r="C31" i="15"/>
  <c r="D31" i="15"/>
  <c r="E31" i="15"/>
  <c r="B16" i="15"/>
  <c r="C16" i="15"/>
  <c r="D16" i="15"/>
  <c r="E16" i="15"/>
  <c r="B20" i="15"/>
  <c r="C20" i="15"/>
  <c r="D20" i="15"/>
  <c r="E20" i="15"/>
  <c r="B15" i="15"/>
  <c r="C15" i="15"/>
  <c r="D15" i="15"/>
  <c r="E15" i="15"/>
  <c r="B14" i="15"/>
  <c r="C14" i="15"/>
  <c r="D14" i="15"/>
  <c r="E14" i="15"/>
  <c r="B9" i="15"/>
  <c r="C9" i="15"/>
  <c r="D9" i="15"/>
  <c r="E9" i="15"/>
  <c r="B13" i="15"/>
  <c r="C13" i="15"/>
  <c r="D13" i="15"/>
  <c r="E13" i="15"/>
  <c r="B12" i="15"/>
  <c r="C12" i="15"/>
  <c r="D12" i="15"/>
  <c r="E12" i="15"/>
  <c r="B22" i="15"/>
  <c r="C22" i="15"/>
  <c r="D22" i="15"/>
  <c r="E22" i="15"/>
  <c r="B21" i="15"/>
  <c r="C21" i="15"/>
  <c r="D21" i="15"/>
  <c r="E21" i="15"/>
  <c r="B19" i="15"/>
  <c r="C19" i="15"/>
  <c r="D19" i="15"/>
  <c r="E19" i="15"/>
  <c r="B32" i="15"/>
  <c r="C32" i="15"/>
  <c r="D32" i="15"/>
  <c r="E32" i="15"/>
  <c r="B2" i="15"/>
  <c r="C2" i="15"/>
  <c r="D2" i="15"/>
  <c r="E2" i="15"/>
  <c r="B25" i="15"/>
  <c r="C25" i="15"/>
  <c r="D25" i="15"/>
  <c r="E25" i="15"/>
  <c r="B18" i="15"/>
  <c r="C18" i="15"/>
  <c r="D18" i="15"/>
  <c r="E18" i="15"/>
  <c r="B5" i="15"/>
  <c r="C5" i="15"/>
  <c r="D5" i="15"/>
  <c r="E5" i="15"/>
  <c r="B26" i="15"/>
  <c r="C26" i="15"/>
  <c r="D26" i="15"/>
  <c r="E26" i="15"/>
  <c r="B3" i="15"/>
  <c r="C3" i="15"/>
  <c r="D3" i="15"/>
  <c r="E3" i="15"/>
  <c r="B17" i="15"/>
  <c r="C17" i="15"/>
  <c r="D17" i="15"/>
  <c r="E17" i="15"/>
  <c r="B24" i="15"/>
  <c r="C24" i="15"/>
  <c r="D24" i="15"/>
  <c r="E24" i="15"/>
  <c r="B11" i="15"/>
  <c r="C11" i="15"/>
  <c r="D11" i="15"/>
  <c r="E11" i="15"/>
  <c r="B6" i="15"/>
  <c r="C6" i="15"/>
  <c r="D6" i="15"/>
  <c r="E6" i="15"/>
  <c r="B29" i="15"/>
  <c r="C29" i="15"/>
  <c r="D29" i="15"/>
  <c r="E29" i="15"/>
  <c r="B7" i="15"/>
  <c r="C7" i="15"/>
  <c r="D7" i="15"/>
  <c r="E7" i="15"/>
  <c r="B33" i="15"/>
  <c r="C33" i="15"/>
  <c r="D33" i="15"/>
  <c r="E33" i="15"/>
  <c r="G30" i="15"/>
  <c r="H30" i="15"/>
  <c r="I30" i="15"/>
  <c r="G28" i="15"/>
  <c r="H28" i="15"/>
  <c r="I28" i="15"/>
  <c r="G27" i="15"/>
  <c r="H27" i="15"/>
  <c r="I27" i="15"/>
  <c r="G10" i="15"/>
  <c r="H10" i="15"/>
  <c r="I10" i="15"/>
  <c r="G4" i="15"/>
  <c r="H4" i="15"/>
  <c r="I4" i="15"/>
  <c r="G23" i="15"/>
  <c r="H23" i="15"/>
  <c r="I23" i="15"/>
  <c r="G8" i="15"/>
  <c r="H8" i="15"/>
  <c r="I8" i="15"/>
  <c r="G31" i="15"/>
  <c r="H31" i="15"/>
  <c r="I31" i="15"/>
  <c r="G16" i="15"/>
  <c r="H16" i="15"/>
  <c r="I16" i="15"/>
  <c r="G20" i="15"/>
  <c r="H20" i="15"/>
  <c r="I20" i="15"/>
  <c r="G15" i="15"/>
  <c r="H15" i="15"/>
  <c r="I15" i="15"/>
  <c r="G14" i="15"/>
  <c r="H14" i="15"/>
  <c r="I14" i="15"/>
  <c r="G9" i="15"/>
  <c r="H9" i="15"/>
  <c r="I9" i="15"/>
  <c r="G13" i="15"/>
  <c r="H13" i="15"/>
  <c r="I13" i="15"/>
  <c r="G12" i="15"/>
  <c r="H12" i="15"/>
  <c r="I12" i="15"/>
  <c r="G22" i="15"/>
  <c r="H22" i="15"/>
  <c r="I22" i="15"/>
  <c r="G21" i="15"/>
  <c r="H21" i="15"/>
  <c r="I21" i="15"/>
  <c r="G19" i="15"/>
  <c r="H19" i="15"/>
  <c r="I19" i="15"/>
  <c r="G32" i="15"/>
  <c r="H32" i="15"/>
  <c r="I32" i="15"/>
  <c r="G2" i="15"/>
  <c r="H2" i="15"/>
  <c r="I2" i="15"/>
  <c r="G25" i="15"/>
  <c r="H25" i="15"/>
  <c r="I25" i="15"/>
  <c r="G18" i="15"/>
  <c r="H18" i="15"/>
  <c r="I18" i="15"/>
  <c r="G5" i="15"/>
  <c r="H5" i="15"/>
  <c r="I5" i="15"/>
  <c r="G26" i="15"/>
  <c r="H26" i="15"/>
  <c r="I26" i="15"/>
  <c r="G3" i="15"/>
  <c r="H3" i="15"/>
  <c r="I3" i="15"/>
  <c r="G17" i="15"/>
  <c r="H17" i="15"/>
  <c r="I17" i="15"/>
  <c r="G24" i="15"/>
  <c r="H24" i="15"/>
  <c r="I24" i="15"/>
  <c r="G11" i="15"/>
  <c r="H11" i="15"/>
  <c r="I11" i="15"/>
  <c r="G6" i="15"/>
  <c r="H6" i="15"/>
  <c r="I6" i="15"/>
  <c r="G29" i="15"/>
  <c r="H29" i="15"/>
  <c r="I29" i="15"/>
  <c r="G7" i="15"/>
  <c r="H7" i="15"/>
  <c r="I7" i="15"/>
  <c r="G33" i="15"/>
  <c r="H33" i="15"/>
  <c r="I33" i="15"/>
  <c r="M30" i="15"/>
  <c r="M28" i="15"/>
  <c r="M27" i="15"/>
  <c r="M10" i="15"/>
  <c r="M4" i="15"/>
  <c r="M23" i="15"/>
  <c r="M8" i="15"/>
  <c r="M31" i="15"/>
  <c r="M16" i="15"/>
  <c r="M20" i="15"/>
  <c r="M15" i="15"/>
  <c r="M14" i="15"/>
  <c r="M9" i="15"/>
  <c r="M13" i="15"/>
  <c r="M12" i="15"/>
  <c r="M22" i="15"/>
  <c r="M21" i="15"/>
  <c r="M19" i="15"/>
  <c r="M32" i="15"/>
  <c r="M2" i="15"/>
  <c r="M25" i="15"/>
  <c r="M18" i="15"/>
  <c r="M5" i="15"/>
  <c r="M26" i="15"/>
  <c r="M3" i="15"/>
  <c r="M17" i="15"/>
  <c r="M24" i="15"/>
  <c r="M11" i="15"/>
  <c r="M6" i="15"/>
  <c r="M29" i="15"/>
  <c r="M7" i="15"/>
  <c r="M33" i="15"/>
  <c r="B2" i="9"/>
  <c r="D2" i="9"/>
  <c r="B3" i="9"/>
  <c r="C3" i="9"/>
  <c r="D3" i="9"/>
  <c r="E3" i="9"/>
  <c r="B4" i="9"/>
  <c r="D4" i="9"/>
  <c r="B5" i="9"/>
  <c r="C5" i="9"/>
  <c r="D5" i="9"/>
  <c r="E5" i="9"/>
  <c r="B6" i="9"/>
  <c r="C6" i="9"/>
  <c r="D6" i="9"/>
  <c r="E6" i="9"/>
  <c r="B7" i="9"/>
  <c r="C7" i="9"/>
  <c r="D7" i="9"/>
  <c r="E7" i="9"/>
  <c r="B8" i="9"/>
  <c r="C8" i="9"/>
  <c r="D8" i="9"/>
  <c r="E8" i="9"/>
  <c r="B9" i="9"/>
  <c r="D9" i="9"/>
  <c r="B10" i="9"/>
  <c r="C10" i="9"/>
  <c r="D10" i="9"/>
  <c r="E10" i="9"/>
  <c r="B11" i="9"/>
  <c r="C11" i="9"/>
  <c r="D11" i="9"/>
  <c r="E11" i="9"/>
  <c r="B12" i="9"/>
  <c r="C12" i="9"/>
  <c r="D12" i="9"/>
  <c r="E12" i="9"/>
  <c r="B13" i="9"/>
  <c r="C13" i="9"/>
  <c r="D13" i="9"/>
  <c r="E13" i="9"/>
  <c r="B14" i="9"/>
  <c r="C14" i="9"/>
  <c r="D14" i="9"/>
  <c r="B15" i="9"/>
  <c r="C15" i="9"/>
  <c r="D15" i="9"/>
  <c r="E15" i="9"/>
  <c r="B16" i="9"/>
  <c r="C16" i="9"/>
  <c r="D16" i="9"/>
  <c r="E16" i="9"/>
  <c r="B17" i="9"/>
  <c r="C17" i="9"/>
  <c r="D17" i="9"/>
  <c r="B18" i="9"/>
  <c r="C18" i="9"/>
  <c r="D18" i="9"/>
  <c r="B19" i="9"/>
  <c r="D19" i="9"/>
  <c r="B20" i="9"/>
  <c r="D20" i="9"/>
  <c r="B21" i="9"/>
  <c r="C21" i="9"/>
  <c r="D21" i="9"/>
  <c r="E21" i="9"/>
  <c r="B22" i="9"/>
  <c r="C22" i="9"/>
  <c r="D22" i="9"/>
  <c r="E22" i="9"/>
  <c r="B23" i="9"/>
  <c r="D23" i="9"/>
  <c r="B24" i="9"/>
  <c r="C24" i="9"/>
  <c r="D24" i="9"/>
  <c r="E24" i="9"/>
  <c r="B25" i="9"/>
  <c r="C25" i="9"/>
  <c r="D25" i="9"/>
  <c r="E25" i="9"/>
  <c r="B26" i="9"/>
  <c r="C26" i="9"/>
  <c r="D26" i="9"/>
  <c r="E26" i="9"/>
  <c r="B27" i="9"/>
  <c r="C27" i="9"/>
  <c r="D27" i="9"/>
  <c r="B28" i="9"/>
  <c r="C28" i="9"/>
  <c r="D28" i="9"/>
  <c r="E28" i="9"/>
  <c r="B29" i="9"/>
  <c r="C29" i="9"/>
  <c r="D29" i="9"/>
  <c r="B30" i="9"/>
  <c r="C30" i="9"/>
  <c r="D30" i="9"/>
  <c r="E30" i="9"/>
  <c r="B31" i="9"/>
  <c r="C31" i="9"/>
  <c r="D31" i="9"/>
  <c r="E31" i="9"/>
  <c r="B32" i="9"/>
  <c r="C32" i="9"/>
  <c r="D32" i="9"/>
  <c r="E32" i="9"/>
  <c r="B33" i="9"/>
  <c r="D33" i="9"/>
  <c r="B34" i="9"/>
  <c r="D34" i="9"/>
  <c r="G2" i="9"/>
  <c r="H2" i="9"/>
  <c r="G3" i="9"/>
  <c r="H3" i="9"/>
  <c r="I3" i="9"/>
  <c r="H4" i="9"/>
  <c r="G5" i="9"/>
  <c r="H5" i="9"/>
  <c r="I5" i="9"/>
  <c r="G6" i="9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G15" i="9"/>
  <c r="H15" i="9"/>
  <c r="I15" i="9"/>
  <c r="G16" i="9"/>
  <c r="H16" i="9"/>
  <c r="I16" i="9"/>
  <c r="G17" i="9"/>
  <c r="H17" i="9"/>
  <c r="G18" i="9"/>
  <c r="H18" i="9"/>
  <c r="I18" i="9"/>
  <c r="H19" i="9"/>
  <c r="H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G27" i="9"/>
  <c r="H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H33" i="9"/>
  <c r="H34" i="9"/>
  <c r="F5" i="1" l="1"/>
  <c r="G5" i="1"/>
  <c r="AB5" i="1"/>
  <c r="W5" i="1"/>
  <c r="AF5" i="1"/>
  <c r="AJ5" i="1"/>
  <c r="Q5" i="1"/>
  <c r="F26" i="15"/>
  <c r="J26" i="15"/>
  <c r="F34" i="9"/>
  <c r="J34" i="9"/>
  <c r="K5" i="1"/>
  <c r="J5" i="1"/>
  <c r="I5" i="1"/>
  <c r="AK5" i="1"/>
  <c r="K26" i="15"/>
  <c r="H5" i="1" l="1"/>
  <c r="R5" i="1"/>
  <c r="K34" i="9"/>
  <c r="E34" i="18"/>
  <c r="D34" i="18"/>
  <c r="F34" i="18" s="1"/>
  <c r="D31" i="18"/>
  <c r="F30" i="18"/>
  <c r="E29" i="18"/>
  <c r="D28" i="18"/>
  <c r="F28" i="18" s="1"/>
  <c r="D21" i="18"/>
  <c r="D15" i="18"/>
  <c r="F15" i="18" s="1"/>
  <c r="D14" i="18"/>
  <c r="F14" i="18" s="1"/>
  <c r="E12" i="18"/>
  <c r="F11" i="18"/>
  <c r="F3" i="18"/>
  <c r="F4" i="18"/>
  <c r="F5" i="18"/>
  <c r="F6" i="18"/>
  <c r="F7" i="18"/>
  <c r="F8" i="18"/>
  <c r="F9" i="18"/>
  <c r="F10" i="18"/>
  <c r="F12" i="18"/>
  <c r="F13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9" i="18"/>
  <c r="F31" i="18"/>
  <c r="F32" i="18"/>
  <c r="F33" i="18"/>
  <c r="F35" i="18"/>
  <c r="E8" i="18"/>
  <c r="F2" i="18"/>
  <c r="E3" i="18"/>
  <c r="D2" i="18"/>
  <c r="AL5" i="1" l="1"/>
  <c r="M5" i="1"/>
  <c r="L5" i="1"/>
  <c r="L26" i="15"/>
  <c r="AF23" i="1"/>
  <c r="AJ23" i="1"/>
  <c r="AK23" i="1"/>
  <c r="Q23" i="1" l="1"/>
  <c r="F23" i="1"/>
  <c r="G23" i="1"/>
  <c r="AF30" i="1"/>
  <c r="AJ30" i="1"/>
  <c r="Q30" i="1"/>
  <c r="G30" i="1"/>
  <c r="F30" i="1"/>
  <c r="B6" i="6"/>
  <c r="AK30" i="1"/>
  <c r="K30" i="1"/>
  <c r="J30" i="1"/>
  <c r="I30" i="1"/>
  <c r="K23" i="1"/>
  <c r="J23" i="1"/>
  <c r="I23" i="1"/>
  <c r="R23" i="1" l="1"/>
  <c r="H23" i="1"/>
  <c r="L23" i="1" s="1"/>
  <c r="H30" i="1"/>
  <c r="W30" i="1"/>
  <c r="W23" i="1"/>
  <c r="AB30" i="1"/>
  <c r="AB23" i="1"/>
  <c r="AL23" i="1"/>
  <c r="R30" i="1"/>
  <c r="J29" i="15"/>
  <c r="F33" i="15"/>
  <c r="J7" i="15"/>
  <c r="E6" i="14"/>
  <c r="AF4" i="1"/>
  <c r="W6" i="1"/>
  <c r="F29" i="15"/>
  <c r="E31" i="14"/>
  <c r="J33" i="15"/>
  <c r="F7" i="15"/>
  <c r="J31" i="14"/>
  <c r="L31" i="14" s="1"/>
  <c r="J6" i="14"/>
  <c r="L6" i="14" s="1"/>
  <c r="J4" i="14"/>
  <c r="L4" i="14" s="1"/>
  <c r="E4" i="14"/>
  <c r="AJ33" i="1"/>
  <c r="AJ4" i="1"/>
  <c r="W4" i="1"/>
  <c r="AJ6" i="1"/>
  <c r="AF33" i="1"/>
  <c r="W33" i="1"/>
  <c r="AF6" i="1"/>
  <c r="AB33" i="1"/>
  <c r="AB6" i="1"/>
  <c r="AB4" i="1"/>
  <c r="AK4" i="1"/>
  <c r="AK6" i="1"/>
  <c r="AK33" i="1"/>
  <c r="K29" i="15"/>
  <c r="K33" i="15"/>
  <c r="K7" i="15"/>
  <c r="M23" i="1" l="1"/>
  <c r="M30" i="1"/>
  <c r="L30" i="1"/>
  <c r="AL30" i="1"/>
  <c r="F31" i="9"/>
  <c r="G33" i="1"/>
  <c r="F33" i="1"/>
  <c r="Q4" i="1"/>
  <c r="F6" i="12"/>
  <c r="G6" i="12"/>
  <c r="G6" i="1"/>
  <c r="F6" i="1"/>
  <c r="J31" i="9"/>
  <c r="Q33" i="1"/>
  <c r="J32" i="9"/>
  <c r="F33" i="9"/>
  <c r="G4" i="12"/>
  <c r="F4" i="12"/>
  <c r="G4" i="1"/>
  <c r="F4" i="1"/>
  <c r="Q6" i="1"/>
  <c r="G31" i="12"/>
  <c r="F31" i="12"/>
  <c r="J33" i="9"/>
  <c r="F32" i="9"/>
  <c r="K4" i="1"/>
  <c r="J4" i="1"/>
  <c r="I4" i="1"/>
  <c r="K33" i="1"/>
  <c r="J33" i="1"/>
  <c r="I33" i="1"/>
  <c r="K6" i="1"/>
  <c r="J6" i="1"/>
  <c r="I6" i="1"/>
  <c r="K6" i="12"/>
  <c r="J6" i="12"/>
  <c r="I6" i="12"/>
  <c r="K4" i="12"/>
  <c r="J4" i="12"/>
  <c r="I4" i="12"/>
  <c r="K31" i="12"/>
  <c r="J31" i="12"/>
  <c r="I31" i="12"/>
  <c r="L33" i="15" l="1"/>
  <c r="AL4" i="1"/>
  <c r="AL6" i="1"/>
  <c r="H6" i="12"/>
  <c r="M6" i="12" s="1"/>
  <c r="L29" i="15"/>
  <c r="L7" i="15"/>
  <c r="AL33" i="1"/>
  <c r="L6" i="12"/>
  <c r="R4" i="1"/>
  <c r="K33" i="9"/>
  <c r="R6" i="1"/>
  <c r="H4" i="1"/>
  <c r="H6" i="1"/>
  <c r="R33" i="1"/>
  <c r="H31" i="12"/>
  <c r="H33" i="1"/>
  <c r="K32" i="9"/>
  <c r="H4" i="12"/>
  <c r="K31" i="9"/>
  <c r="L31" i="12" l="1"/>
  <c r="M31" i="12"/>
  <c r="L4" i="12"/>
  <c r="M4" i="12"/>
  <c r="L6" i="1"/>
  <c r="M6" i="1"/>
  <c r="L33" i="1"/>
  <c r="M33" i="1"/>
  <c r="M4" i="1"/>
  <c r="L4" i="1"/>
  <c r="F10" i="12"/>
  <c r="F16" i="12"/>
  <c r="F29" i="12"/>
  <c r="F7" i="12"/>
  <c r="F19" i="12"/>
  <c r="F5" i="12"/>
  <c r="F33" i="12"/>
  <c r="F25" i="12"/>
  <c r="F8" i="12"/>
  <c r="F26" i="12"/>
  <c r="F15" i="12"/>
  <c r="F28" i="12"/>
  <c r="F18" i="12"/>
  <c r="F21" i="12"/>
  <c r="F12" i="12"/>
  <c r="F14" i="12"/>
  <c r="F9" i="12"/>
  <c r="F11" i="12"/>
  <c r="F13" i="12"/>
  <c r="F30" i="12"/>
  <c r="F32" i="12"/>
  <c r="F17" i="12"/>
  <c r="F23" i="12"/>
  <c r="F22" i="12"/>
  <c r="F2" i="12"/>
  <c r="F20" i="12"/>
  <c r="F27" i="12"/>
  <c r="F3" i="12"/>
  <c r="F24" i="12"/>
  <c r="AF10" i="1"/>
  <c r="AJ10" i="1"/>
  <c r="F30" i="9"/>
  <c r="G10" i="12"/>
  <c r="F10" i="1"/>
  <c r="G10" i="1"/>
  <c r="F6" i="15"/>
  <c r="J6" i="15"/>
  <c r="F10" i="15"/>
  <c r="F30" i="15"/>
  <c r="F23" i="15"/>
  <c r="J4" i="15"/>
  <c r="J28" i="15"/>
  <c r="J10" i="15"/>
  <c r="J23" i="15"/>
  <c r="F8" i="15"/>
  <c r="J18" i="15"/>
  <c r="J30" i="15"/>
  <c r="F4" i="15"/>
  <c r="J13" i="15"/>
  <c r="F12" i="15"/>
  <c r="J32" i="15"/>
  <c r="F5" i="15"/>
  <c r="F28" i="15"/>
  <c r="J16" i="15"/>
  <c r="J20" i="15"/>
  <c r="J15" i="15"/>
  <c r="F13" i="15"/>
  <c r="J8" i="15"/>
  <c r="F16" i="15"/>
  <c r="F20" i="15"/>
  <c r="F15" i="15"/>
  <c r="J12" i="15"/>
  <c r="F3" i="15"/>
  <c r="F27" i="15"/>
  <c r="J27" i="15"/>
  <c r="F31" i="15"/>
  <c r="J31" i="15"/>
  <c r="F14" i="15"/>
  <c r="J14" i="15"/>
  <c r="F22" i="15"/>
  <c r="J22" i="15"/>
  <c r="J21" i="15"/>
  <c r="J19" i="15"/>
  <c r="F18" i="15"/>
  <c r="F9" i="15"/>
  <c r="J9" i="15"/>
  <c r="F21" i="15"/>
  <c r="F19" i="15"/>
  <c r="F32" i="15"/>
  <c r="J5" i="15"/>
  <c r="J3" i="15"/>
  <c r="F2" i="15"/>
  <c r="J2" i="15"/>
  <c r="F17" i="15"/>
  <c r="J17" i="15"/>
  <c r="F11" i="15"/>
  <c r="J11" i="15"/>
  <c r="F25" i="15"/>
  <c r="J25" i="15"/>
  <c r="F24" i="15"/>
  <c r="J24" i="15"/>
  <c r="AJ16" i="1"/>
  <c r="AJ31" i="1"/>
  <c r="AJ7" i="1"/>
  <c r="AJ19" i="1"/>
  <c r="AJ35" i="1"/>
  <c r="AJ26" i="1"/>
  <c r="AJ8" i="1"/>
  <c r="AJ27" i="1"/>
  <c r="AJ15" i="1"/>
  <c r="AJ29" i="1"/>
  <c r="AJ18" i="1"/>
  <c r="AJ21" i="1"/>
  <c r="AJ12" i="1"/>
  <c r="AJ14" i="1"/>
  <c r="AJ9" i="1"/>
  <c r="AJ11" i="1"/>
  <c r="AJ13" i="1"/>
  <c r="AJ32" i="1"/>
  <c r="AJ34" i="1"/>
  <c r="AJ17" i="1"/>
  <c r="AJ24" i="1"/>
  <c r="AJ22" i="1"/>
  <c r="AJ2" i="1"/>
  <c r="AJ20" i="1"/>
  <c r="AJ28" i="1"/>
  <c r="AJ3" i="1"/>
  <c r="AJ25" i="1"/>
  <c r="AF3" i="1"/>
  <c r="AF28" i="1"/>
  <c r="AF20" i="1"/>
  <c r="AF2" i="1"/>
  <c r="AF22" i="1"/>
  <c r="AF24" i="1"/>
  <c r="AF17" i="1"/>
  <c r="AF34" i="1"/>
  <c r="AF32" i="1"/>
  <c r="AF13" i="1"/>
  <c r="AF11" i="1"/>
  <c r="AF9" i="1"/>
  <c r="AF14" i="1"/>
  <c r="AF12" i="1"/>
  <c r="AF21" i="1"/>
  <c r="AF18" i="1"/>
  <c r="AF29" i="1"/>
  <c r="AF15" i="1"/>
  <c r="AF27" i="1"/>
  <c r="AF8" i="1"/>
  <c r="AF26" i="1"/>
  <c r="AF35" i="1"/>
  <c r="AF19" i="1"/>
  <c r="AF7" i="1"/>
  <c r="AF31" i="1"/>
  <c r="AF16" i="1"/>
  <c r="AF25" i="1"/>
  <c r="AK10" i="1"/>
  <c r="AK19" i="1"/>
  <c r="AK27" i="1"/>
  <c r="AK21" i="1"/>
  <c r="AK11" i="1"/>
  <c r="AK17" i="1"/>
  <c r="AK20" i="1"/>
  <c r="AK26" i="1"/>
  <c r="AK14" i="1"/>
  <c r="AK22" i="1"/>
  <c r="K10" i="1"/>
  <c r="J10" i="1"/>
  <c r="I10" i="1"/>
  <c r="AK7" i="1"/>
  <c r="AK18" i="1"/>
  <c r="AK34" i="1"/>
  <c r="AK25" i="1"/>
  <c r="AK16" i="1"/>
  <c r="AK35" i="1"/>
  <c r="AK15" i="1"/>
  <c r="AK12" i="1"/>
  <c r="AK13" i="1"/>
  <c r="AK24" i="1"/>
  <c r="AK28" i="1"/>
  <c r="AK31" i="1"/>
  <c r="AK29" i="1"/>
  <c r="AK32" i="1"/>
  <c r="AK3" i="1"/>
  <c r="AK8" i="1"/>
  <c r="AK9" i="1"/>
  <c r="AK2" i="1"/>
  <c r="K29" i="12"/>
  <c r="J29" i="12"/>
  <c r="I29" i="12"/>
  <c r="K33" i="12"/>
  <c r="J33" i="12"/>
  <c r="I33" i="12"/>
  <c r="K15" i="12"/>
  <c r="J15" i="12"/>
  <c r="I15" i="12"/>
  <c r="K12" i="12"/>
  <c r="J12" i="12"/>
  <c r="I12" i="12"/>
  <c r="K13" i="12"/>
  <c r="J13" i="12"/>
  <c r="K23" i="12"/>
  <c r="J23" i="12"/>
  <c r="K27" i="12"/>
  <c r="J27" i="12"/>
  <c r="I27" i="12"/>
  <c r="K9" i="12"/>
  <c r="J9" i="12"/>
  <c r="I9" i="12"/>
  <c r="K7" i="12"/>
  <c r="J7" i="12"/>
  <c r="I7" i="12"/>
  <c r="K25" i="12"/>
  <c r="J25" i="12"/>
  <c r="I25" i="12"/>
  <c r="K28" i="12"/>
  <c r="J28" i="12"/>
  <c r="I28" i="12"/>
  <c r="K14" i="12"/>
  <c r="J14" i="12"/>
  <c r="I14" i="12"/>
  <c r="K30" i="12"/>
  <c r="J30" i="12"/>
  <c r="I30" i="12"/>
  <c r="K22" i="12"/>
  <c r="J22" i="12"/>
  <c r="I22" i="12"/>
  <c r="K3" i="12"/>
  <c r="J3" i="12"/>
  <c r="I3" i="12"/>
  <c r="K16" i="12"/>
  <c r="J16" i="12"/>
  <c r="I16" i="12"/>
  <c r="K5" i="12"/>
  <c r="J5" i="12"/>
  <c r="I5" i="12"/>
  <c r="K26" i="12"/>
  <c r="J26" i="12"/>
  <c r="I26" i="12"/>
  <c r="K21" i="12"/>
  <c r="J21" i="12"/>
  <c r="I21" i="12"/>
  <c r="K11" i="12"/>
  <c r="J11" i="12"/>
  <c r="I11" i="12"/>
  <c r="K17" i="12"/>
  <c r="J17" i="12"/>
  <c r="I17" i="12"/>
  <c r="K20" i="12"/>
  <c r="J20" i="12"/>
  <c r="I20" i="12"/>
  <c r="K10" i="12"/>
  <c r="J10" i="12"/>
  <c r="I10" i="12"/>
  <c r="K19" i="12"/>
  <c r="J19" i="12"/>
  <c r="I19" i="12"/>
  <c r="K8" i="12"/>
  <c r="J8" i="12"/>
  <c r="I8" i="12"/>
  <c r="K18" i="12"/>
  <c r="J18" i="12"/>
  <c r="I18" i="12"/>
  <c r="K32" i="12"/>
  <c r="J32" i="12"/>
  <c r="I32" i="12"/>
  <c r="K2" i="12"/>
  <c r="J2" i="12"/>
  <c r="I2" i="12"/>
  <c r="K24" i="12"/>
  <c r="J24" i="12"/>
  <c r="I24" i="12"/>
  <c r="K10" i="15"/>
  <c r="K30" i="15"/>
  <c r="K32" i="15"/>
  <c r="K20" i="15"/>
  <c r="K31" i="15"/>
  <c r="K22" i="15"/>
  <c r="K2" i="15"/>
  <c r="K11" i="15"/>
  <c r="K24" i="15"/>
  <c r="K23" i="15"/>
  <c r="K15" i="15"/>
  <c r="K21" i="15"/>
  <c r="K9" i="15"/>
  <c r="K5" i="15"/>
  <c r="K6" i="15"/>
  <c r="K4" i="15"/>
  <c r="K13" i="15"/>
  <c r="K27" i="15"/>
  <c r="K14" i="15"/>
  <c r="K19" i="15"/>
  <c r="K3" i="15"/>
  <c r="K17" i="15"/>
  <c r="K25" i="15"/>
  <c r="K28" i="15"/>
  <c r="K18" i="15"/>
  <c r="K16" i="15"/>
  <c r="K8" i="15"/>
  <c r="K12" i="15"/>
  <c r="H10" i="1" l="1"/>
  <c r="H10" i="12"/>
  <c r="Q10" i="1"/>
  <c r="R10" i="1" s="1"/>
  <c r="J30" i="9"/>
  <c r="K30" i="9" s="1"/>
  <c r="M10" i="12" l="1"/>
  <c r="L10" i="12"/>
  <c r="AL14" i="1"/>
  <c r="AL32" i="1"/>
  <c r="AL26" i="1"/>
  <c r="AL22" i="1"/>
  <c r="AL7" i="1"/>
  <c r="AL29" i="1"/>
  <c r="AL3" i="1"/>
  <c r="AL8" i="1"/>
  <c r="AL2" i="1"/>
  <c r="AL35" i="1"/>
  <c r="AL11" i="1"/>
  <c r="AL31" i="1"/>
  <c r="AL18" i="1"/>
  <c r="AL25" i="1"/>
  <c r="AL13" i="1"/>
  <c r="AL16" i="1"/>
  <c r="AL17" i="1"/>
  <c r="AL15" i="1"/>
  <c r="AL9" i="1"/>
  <c r="AL28" i="1"/>
  <c r="AL27" i="1"/>
  <c r="AL20" i="1"/>
  <c r="AL12" i="1"/>
  <c r="AL19" i="1"/>
  <c r="AL34" i="1"/>
  <c r="AL21" i="1"/>
  <c r="AL24" i="1"/>
  <c r="L6" i="15"/>
  <c r="M10" i="1"/>
  <c r="L10" i="1"/>
  <c r="AL10" i="1"/>
  <c r="L13" i="15"/>
  <c r="L30" i="15"/>
  <c r="L17" i="15"/>
  <c r="L32" i="15"/>
  <c r="L15" i="15"/>
  <c r="L27" i="15"/>
  <c r="L21" i="15"/>
  <c r="L16" i="15"/>
  <c r="L2" i="15"/>
  <c r="L12" i="15"/>
  <c r="L3" i="15"/>
  <c r="L10" i="15"/>
  <c r="L9" i="15"/>
  <c r="L23" i="15"/>
  <c r="L4" i="15"/>
  <c r="L25" i="15"/>
  <c r="L20" i="15"/>
  <c r="L18" i="15"/>
  <c r="L14" i="15"/>
  <c r="L31" i="15"/>
  <c r="L28" i="15"/>
  <c r="L8" i="15"/>
  <c r="L19" i="15"/>
  <c r="L5" i="15"/>
  <c r="L11" i="15"/>
  <c r="L22" i="15"/>
  <c r="L24" i="15"/>
  <c r="G24" i="12"/>
  <c r="H24" i="12" s="1"/>
  <c r="G3" i="12"/>
  <c r="H3" i="12" s="1"/>
  <c r="G27" i="12"/>
  <c r="H27" i="12" s="1"/>
  <c r="G20" i="12"/>
  <c r="H20" i="12" s="1"/>
  <c r="G2" i="12"/>
  <c r="H2" i="12" s="1"/>
  <c r="G22" i="12"/>
  <c r="H22" i="12" s="1"/>
  <c r="G23" i="12"/>
  <c r="H23" i="12" s="1"/>
  <c r="G17" i="12"/>
  <c r="H17" i="12" s="1"/>
  <c r="G32" i="12"/>
  <c r="H32" i="12" s="1"/>
  <c r="G30" i="12"/>
  <c r="H30" i="12" s="1"/>
  <c r="G13" i="12"/>
  <c r="H13" i="12" s="1"/>
  <c r="G11" i="12"/>
  <c r="H11" i="12" s="1"/>
  <c r="G9" i="12"/>
  <c r="H9" i="12" s="1"/>
  <c r="G14" i="12"/>
  <c r="H14" i="12" s="1"/>
  <c r="G12" i="12"/>
  <c r="H12" i="12" s="1"/>
  <c r="G21" i="12"/>
  <c r="H21" i="12" s="1"/>
  <c r="G18" i="12"/>
  <c r="H18" i="12" s="1"/>
  <c r="G28" i="12"/>
  <c r="H28" i="12" s="1"/>
  <c r="G15" i="12"/>
  <c r="H15" i="12" s="1"/>
  <c r="G26" i="12"/>
  <c r="H26" i="12" s="1"/>
  <c r="G8" i="12"/>
  <c r="H8" i="12" s="1"/>
  <c r="G25" i="12"/>
  <c r="H25" i="12" s="1"/>
  <c r="G33" i="12"/>
  <c r="H33" i="12" s="1"/>
  <c r="G5" i="12"/>
  <c r="H5" i="12" s="1"/>
  <c r="G19" i="12"/>
  <c r="H19" i="12" s="1"/>
  <c r="G7" i="12"/>
  <c r="H7" i="12" s="1"/>
  <c r="G29" i="12"/>
  <c r="H29" i="12" s="1"/>
  <c r="G16" i="12"/>
  <c r="H16" i="12" s="1"/>
  <c r="F2" i="9" l="1"/>
  <c r="J2" i="9"/>
  <c r="F3" i="9"/>
  <c r="F10" i="9"/>
  <c r="J5" i="9"/>
  <c r="F6" i="9"/>
  <c r="J8" i="9"/>
  <c r="J6" i="9"/>
  <c r="F7" i="9"/>
  <c r="J9" i="9"/>
  <c r="J15" i="9"/>
  <c r="F16" i="9"/>
  <c r="J23" i="9"/>
  <c r="F24" i="9"/>
  <c r="J4" i="9"/>
  <c r="F5" i="9"/>
  <c r="J13" i="9"/>
  <c r="F14" i="9"/>
  <c r="J21" i="9"/>
  <c r="F22" i="9"/>
  <c r="J29" i="9"/>
  <c r="J3" i="9"/>
  <c r="F4" i="9"/>
  <c r="J7" i="9"/>
  <c r="F8" i="9"/>
  <c r="J11" i="9"/>
  <c r="F12" i="9"/>
  <c r="J19" i="9"/>
  <c r="F20" i="9"/>
  <c r="J27" i="9"/>
  <c r="F28" i="9"/>
  <c r="J17" i="9"/>
  <c r="F18" i="9"/>
  <c r="J25" i="9"/>
  <c r="F26" i="9"/>
  <c r="F9" i="9"/>
  <c r="J12" i="9"/>
  <c r="F13" i="9"/>
  <c r="J16" i="9"/>
  <c r="F17" i="9"/>
  <c r="J20" i="9"/>
  <c r="F21" i="9"/>
  <c r="J24" i="9"/>
  <c r="F25" i="9"/>
  <c r="J28" i="9"/>
  <c r="F29" i="9"/>
  <c r="J10" i="9"/>
  <c r="F11" i="9"/>
  <c r="J14" i="9"/>
  <c r="F15" i="9"/>
  <c r="J18" i="9"/>
  <c r="F19" i="9"/>
  <c r="J22" i="9"/>
  <c r="F23" i="9"/>
  <c r="J26" i="9"/>
  <c r="F27" i="9"/>
  <c r="Q3" i="1"/>
  <c r="Q28" i="1"/>
  <c r="Q20" i="1"/>
  <c r="Q2" i="1"/>
  <c r="Q22" i="1"/>
  <c r="Q24" i="1"/>
  <c r="Q17" i="1"/>
  <c r="Q34" i="1"/>
  <c r="Q32" i="1"/>
  <c r="Q13" i="1"/>
  <c r="Q11" i="1"/>
  <c r="Q9" i="1"/>
  <c r="Q14" i="1"/>
  <c r="Q12" i="1"/>
  <c r="Q21" i="1"/>
  <c r="Q18" i="1"/>
  <c r="Q29" i="1"/>
  <c r="Q15" i="1"/>
  <c r="Q27" i="1"/>
  <c r="Q8" i="1"/>
  <c r="Q26" i="1"/>
  <c r="Q35" i="1"/>
  <c r="Q19" i="1"/>
  <c r="Q7" i="1"/>
  <c r="Q31" i="1"/>
  <c r="Q16" i="1"/>
  <c r="Q25" i="1"/>
  <c r="K27" i="9" l="1"/>
  <c r="K24" i="9"/>
  <c r="K3" i="9"/>
  <c r="K15" i="9"/>
  <c r="K21" i="9"/>
  <c r="K26" i="9"/>
  <c r="K12" i="9"/>
  <c r="K11" i="9"/>
  <c r="K17" i="9"/>
  <c r="K19" i="9"/>
  <c r="K25" i="9"/>
  <c r="K9" i="9"/>
  <c r="K20" i="9"/>
  <c r="K4" i="9"/>
  <c r="K14" i="9"/>
  <c r="K10" i="9"/>
  <c r="K2" i="9"/>
  <c r="K18" i="9"/>
  <c r="K5" i="9"/>
  <c r="K23" i="9"/>
  <c r="K29" i="9"/>
  <c r="K13" i="9"/>
  <c r="K28" i="9"/>
  <c r="K8" i="9"/>
  <c r="K22" i="9"/>
  <c r="K16" i="9"/>
  <c r="K7" i="9"/>
  <c r="K6" i="9"/>
  <c r="G2" i="1"/>
  <c r="G3" i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1" i="1"/>
  <c r="G32" i="1"/>
  <c r="G34" i="1"/>
  <c r="G35" i="1"/>
  <c r="F2" i="1"/>
  <c r="F3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8" i="1"/>
  <c r="F29" i="1"/>
  <c r="F31" i="1"/>
  <c r="F32" i="1"/>
  <c r="I32" i="1" s="1"/>
  <c r="F34" i="1"/>
  <c r="F35" i="1"/>
  <c r="F27" i="1"/>
  <c r="I31" i="1"/>
  <c r="I17" i="1"/>
  <c r="K3" i="1"/>
  <c r="J3" i="1"/>
  <c r="I3" i="1"/>
  <c r="K11" i="1"/>
  <c r="J11" i="1"/>
  <c r="I11" i="1"/>
  <c r="K15" i="1"/>
  <c r="J15" i="1"/>
  <c r="I15" i="1"/>
  <c r="K19" i="1"/>
  <c r="J19" i="1"/>
  <c r="I19" i="1"/>
  <c r="K24" i="1"/>
  <c r="J24" i="1"/>
  <c r="K29" i="1"/>
  <c r="J29" i="1"/>
  <c r="I29" i="1"/>
  <c r="K35" i="1"/>
  <c r="J35" i="1"/>
  <c r="I35" i="1"/>
  <c r="K16" i="1"/>
  <c r="J16" i="1"/>
  <c r="I16" i="1"/>
  <c r="K25" i="1"/>
  <c r="J25" i="1"/>
  <c r="I25" i="1"/>
  <c r="K27" i="1"/>
  <c r="J27" i="1"/>
  <c r="I27" i="1"/>
  <c r="K21" i="1"/>
  <c r="J21" i="1"/>
  <c r="I21" i="1"/>
  <c r="K32" i="1"/>
  <c r="J32" i="1"/>
  <c r="K14" i="1"/>
  <c r="J14" i="1"/>
  <c r="I14" i="1"/>
  <c r="K18" i="1"/>
  <c r="J18" i="1"/>
  <c r="I18" i="1"/>
  <c r="K34" i="1"/>
  <c r="J34" i="1"/>
  <c r="I34" i="1"/>
  <c r="K7" i="1"/>
  <c r="J7" i="1"/>
  <c r="I7" i="1"/>
  <c r="K12" i="1"/>
  <c r="J12" i="1"/>
  <c r="I12" i="1"/>
  <c r="K20" i="1"/>
  <c r="J20" i="1"/>
  <c r="I20" i="1"/>
  <c r="K31" i="1"/>
  <c r="J31" i="1"/>
  <c r="K9" i="1"/>
  <c r="J9" i="1"/>
  <c r="I9" i="1"/>
  <c r="K28" i="1"/>
  <c r="J28" i="1"/>
  <c r="I28" i="1"/>
  <c r="K8" i="1"/>
  <c r="J8" i="1"/>
  <c r="I8" i="1"/>
  <c r="K13" i="1"/>
  <c r="J13" i="1"/>
  <c r="K17" i="1"/>
  <c r="J17" i="1"/>
  <c r="K26" i="1"/>
  <c r="J26" i="1"/>
  <c r="I26" i="1"/>
  <c r="K2" i="1"/>
  <c r="J2" i="1"/>
  <c r="I2" i="1"/>
  <c r="K22" i="1"/>
  <c r="J22" i="1"/>
  <c r="I22" i="1"/>
  <c r="I13" i="1" l="1"/>
  <c r="L30" i="12"/>
  <c r="M30" i="12"/>
  <c r="L26" i="12"/>
  <c r="M26" i="12"/>
  <c r="L5" i="12"/>
  <c r="M5" i="12"/>
  <c r="M15" i="12"/>
  <c r="L15" i="12"/>
  <c r="M18" i="12"/>
  <c r="L18" i="12"/>
  <c r="M25" i="12"/>
  <c r="L25" i="12"/>
  <c r="L23" i="12"/>
  <c r="L3" i="12"/>
  <c r="M3" i="12"/>
  <c r="M24" i="12"/>
  <c r="L24" i="12"/>
  <c r="L32" i="12"/>
  <c r="M32" i="12"/>
  <c r="M23" i="12"/>
  <c r="M7" i="12"/>
  <c r="L7" i="12"/>
  <c r="M21" i="12"/>
  <c r="L21" i="12"/>
  <c r="M16" i="12"/>
  <c r="L16" i="12"/>
  <c r="M2" i="12"/>
  <c r="L2" i="12"/>
  <c r="L11" i="12"/>
  <c r="M11" i="12"/>
  <c r="M22" i="12"/>
  <c r="L22" i="12"/>
  <c r="L28" i="12"/>
  <c r="M28" i="12"/>
  <c r="L14" i="12"/>
  <c r="M14" i="12"/>
  <c r="M12" i="12"/>
  <c r="L12" i="12"/>
  <c r="L17" i="12"/>
  <c r="M17" i="12"/>
  <c r="M19" i="12"/>
  <c r="L19" i="12"/>
  <c r="M13" i="12"/>
  <c r="L13" i="12"/>
  <c r="M27" i="12"/>
  <c r="L27" i="12"/>
  <c r="M29" i="12"/>
  <c r="L29" i="12"/>
  <c r="L20" i="12"/>
  <c r="M20" i="12"/>
  <c r="M9" i="12"/>
  <c r="L9" i="12"/>
  <c r="M33" i="12"/>
  <c r="L33" i="12"/>
  <c r="M8" i="12"/>
  <c r="L8" i="12"/>
  <c r="R25" i="1"/>
  <c r="R12" i="1"/>
  <c r="R35" i="1"/>
  <c r="R29" i="1"/>
  <c r="R24" i="1"/>
  <c r="R19" i="1"/>
  <c r="R15" i="1"/>
  <c r="R11" i="1"/>
  <c r="R27" i="1"/>
  <c r="R20" i="1"/>
  <c r="R7" i="1"/>
  <c r="R28" i="1"/>
  <c r="R22" i="1"/>
  <c r="R18" i="1"/>
  <c r="R14" i="1"/>
  <c r="R9" i="1"/>
  <c r="R3" i="1"/>
  <c r="R31" i="1"/>
  <c r="R16" i="1"/>
  <c r="R34" i="1"/>
  <c r="R32" i="1"/>
  <c r="R26" i="1"/>
  <c r="R21" i="1"/>
  <c r="R17" i="1"/>
  <c r="R13" i="1"/>
  <c r="R8" i="1"/>
  <c r="R2" i="1"/>
  <c r="H25" i="1"/>
  <c r="H20" i="1"/>
  <c r="H16" i="1"/>
  <c r="H12" i="1"/>
  <c r="H7" i="1"/>
  <c r="H32" i="1"/>
  <c r="H24" i="1"/>
  <c r="H19" i="1"/>
  <c r="H15" i="1"/>
  <c r="H11" i="1"/>
  <c r="H34" i="1"/>
  <c r="H31" i="1"/>
  <c r="H27" i="1"/>
  <c r="H22" i="1"/>
  <c r="H18" i="1"/>
  <c r="H14" i="1"/>
  <c r="H9" i="1"/>
  <c r="H3" i="1"/>
  <c r="H28" i="1"/>
  <c r="H35" i="1"/>
  <c r="H29" i="1"/>
  <c r="H26" i="1"/>
  <c r="H21" i="1"/>
  <c r="H17" i="1"/>
  <c r="H13" i="1"/>
  <c r="H8" i="1"/>
  <c r="H2" i="1"/>
  <c r="AB25" i="1" l="1"/>
  <c r="AB3" i="1"/>
  <c r="AB28" i="1"/>
  <c r="AB20" i="1"/>
  <c r="AB2" i="1"/>
  <c r="AB22" i="1"/>
  <c r="AB24" i="1"/>
  <c r="AB17" i="1"/>
  <c r="AB34" i="1"/>
  <c r="AB32" i="1"/>
  <c r="AB13" i="1"/>
  <c r="AB11" i="1"/>
  <c r="AB9" i="1"/>
  <c r="AB14" i="1"/>
  <c r="AB12" i="1"/>
  <c r="W28" i="1"/>
  <c r="W24" i="1"/>
  <c r="W13" i="1"/>
  <c r="W12" i="1"/>
  <c r="W15" i="1"/>
  <c r="W35" i="1"/>
  <c r="W31" i="1"/>
  <c r="W3" i="1"/>
  <c r="W34" i="1"/>
  <c r="W21" i="1"/>
  <c r="W29" i="1"/>
  <c r="W19" i="1"/>
  <c r="AB18" i="1"/>
  <c r="AB8" i="1"/>
  <c r="AB19" i="1"/>
  <c r="AB10" i="1"/>
  <c r="E16" i="14"/>
  <c r="E13" i="14"/>
  <c r="E11" i="14"/>
  <c r="E20" i="14"/>
  <c r="E25" i="14"/>
  <c r="E2" i="14"/>
  <c r="E30" i="14"/>
  <c r="E14" i="14"/>
  <c r="W20" i="1"/>
  <c r="W22" i="1"/>
  <c r="W9" i="1"/>
  <c r="W27" i="1"/>
  <c r="W26" i="1"/>
  <c r="W10" i="1"/>
  <c r="AB21" i="1"/>
  <c r="AB27" i="1"/>
  <c r="AB16" i="1"/>
  <c r="E9" i="14"/>
  <c r="E5" i="14"/>
  <c r="E26" i="14"/>
  <c r="E17" i="14"/>
  <c r="E7" i="14"/>
  <c r="E3" i="14"/>
  <c r="E27" i="14"/>
  <c r="W25" i="1"/>
  <c r="W17" i="1"/>
  <c r="W7" i="1"/>
  <c r="AB35" i="1"/>
  <c r="E21" i="14"/>
  <c r="E29" i="14"/>
  <c r="E22" i="14"/>
  <c r="E8" i="14"/>
  <c r="W32" i="1"/>
  <c r="AB31" i="1"/>
  <c r="E12" i="14"/>
  <c r="E10" i="14"/>
  <c r="W2" i="1"/>
  <c r="W11" i="1"/>
  <c r="AB29" i="1"/>
  <c r="AB7" i="1"/>
  <c r="E18" i="14"/>
  <c r="E33" i="14"/>
  <c r="E15" i="14"/>
  <c r="J16" i="14"/>
  <c r="L16" i="14" s="1"/>
  <c r="J21" i="14"/>
  <c r="L21" i="14" s="1"/>
  <c r="J13" i="14"/>
  <c r="L13" i="14" s="1"/>
  <c r="J12" i="14"/>
  <c r="L12" i="14" s="1"/>
  <c r="J11" i="14"/>
  <c r="L11" i="14" s="1"/>
  <c r="J29" i="14"/>
  <c r="L29" i="14" s="1"/>
  <c r="J20" i="14"/>
  <c r="L20" i="14" s="1"/>
  <c r="J10" i="14"/>
  <c r="L10" i="14" s="1"/>
  <c r="J25" i="14"/>
  <c r="L25" i="14" s="1"/>
  <c r="J22" i="14"/>
  <c r="L22" i="14" s="1"/>
  <c r="J2" i="14"/>
  <c r="L2" i="14" s="1"/>
  <c r="J28" i="14"/>
  <c r="L28" i="14" s="1"/>
  <c r="J30" i="14"/>
  <c r="L30" i="14" s="1"/>
  <c r="J8" i="14"/>
  <c r="L8" i="14" s="1"/>
  <c r="J14" i="14"/>
  <c r="L14" i="14" s="1"/>
  <c r="W18" i="1"/>
  <c r="AB15" i="1"/>
  <c r="E28" i="14"/>
  <c r="AB26" i="1"/>
  <c r="E24" i="14"/>
  <c r="J23" i="14"/>
  <c r="L23" i="14" s="1"/>
  <c r="W14" i="1"/>
  <c r="W16" i="1"/>
  <c r="E19" i="14"/>
  <c r="J18" i="14"/>
  <c r="L18" i="14" s="1"/>
  <c r="J32" i="14"/>
  <c r="L32" i="14" s="1"/>
  <c r="J33" i="14"/>
  <c r="L33" i="14" s="1"/>
  <c r="J19" i="14"/>
  <c r="L19" i="14" s="1"/>
  <c r="J15" i="14"/>
  <c r="L15" i="14" s="1"/>
  <c r="J24" i="14"/>
  <c r="L24" i="14" s="1"/>
  <c r="E32" i="14"/>
  <c r="W8" i="1"/>
  <c r="E23" i="14"/>
  <c r="J9" i="14"/>
  <c r="L9" i="14" s="1"/>
  <c r="J5" i="14"/>
  <c r="L5" i="14" s="1"/>
  <c r="J26" i="14"/>
  <c r="L26" i="14" s="1"/>
  <c r="J17" i="14"/>
  <c r="L17" i="14" s="1"/>
  <c r="J7" i="14"/>
  <c r="L7" i="14" s="1"/>
  <c r="J3" i="14"/>
  <c r="L3" i="14" s="1"/>
  <c r="J27" i="14"/>
  <c r="L27" i="14" s="1"/>
  <c r="B7" i="6"/>
  <c r="B10" i="6" s="1"/>
  <c r="L29" i="1"/>
  <c r="M29" i="1"/>
  <c r="L9" i="1"/>
  <c r="M9" i="1"/>
  <c r="L11" i="1"/>
  <c r="M11" i="1"/>
  <c r="L32" i="1"/>
  <c r="M32" i="1"/>
  <c r="L20" i="1"/>
  <c r="M20" i="1"/>
  <c r="L35" i="1"/>
  <c r="M35" i="1"/>
  <c r="L14" i="1"/>
  <c r="M14" i="1"/>
  <c r="L31" i="1"/>
  <c r="M31" i="1"/>
  <c r="L15" i="1"/>
  <c r="M15" i="1"/>
  <c r="L7" i="1"/>
  <c r="M7" i="1"/>
  <c r="L2" i="1"/>
  <c r="M2" i="1"/>
  <c r="L21" i="1"/>
  <c r="M21" i="1"/>
  <c r="L28" i="1"/>
  <c r="M28" i="1"/>
  <c r="L18" i="1"/>
  <c r="M18" i="1"/>
  <c r="L34" i="1"/>
  <c r="M34" i="1"/>
  <c r="L19" i="1"/>
  <c r="M19" i="1"/>
  <c r="L12" i="1"/>
  <c r="M12" i="1"/>
  <c r="L8" i="1"/>
  <c r="M8" i="1"/>
  <c r="L26" i="1"/>
  <c r="M26" i="1"/>
  <c r="L3" i="1"/>
  <c r="M3" i="1"/>
  <c r="L22" i="1"/>
  <c r="M22" i="1"/>
  <c r="L24" i="1"/>
  <c r="M24" i="1"/>
  <c r="L16" i="1"/>
  <c r="M16" i="1"/>
  <c r="L13" i="1"/>
  <c r="M13" i="1"/>
  <c r="L27" i="1"/>
  <c r="M27" i="1"/>
  <c r="L17" i="1"/>
  <c r="M17" i="1"/>
  <c r="L25" i="1"/>
  <c r="M25" i="1"/>
  <c r="B9" i="6"/>
  <c r="B8" i="6"/>
</calcChain>
</file>

<file path=xl/comments1.xml><?xml version="1.0" encoding="utf-8"?>
<comments xmlns="http://schemas.openxmlformats.org/spreadsheetml/2006/main">
  <authors>
    <author>David Maupin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Version="1"&gt;&lt;FQL&gt;&lt;Q&gt;AREX^FF_OG_PROD_DAY(QTR_R_OIL_BOE,12/2017)&lt;/Q&gt;&lt;R&gt;1&lt;/R&gt;&lt;C&gt;1&lt;/C&gt;&lt;D xsi:type="xsd:double"&gt;2.9&lt;/D&gt;&lt;/FQL&gt;&lt;FQL&gt;&lt;Q&gt;SM^FF_SGA(QTR_R,12/2017)&lt;/Q&gt;&lt;R&gt;1&lt;/R&gt;&lt;C&gt;1&lt;/C&gt;&lt;D xsi:type="xsd:double"&gt;35.021&lt;/D&gt;&lt;/FQL&gt;&lt;FQL&gt;&lt;Q&gt;RSPP^FE_GUIDANCE(CAPEX,MIDPOINT,ANNUAL,+2,0,,,'')&lt;/Q&gt;&lt;R&gt;0&lt;/R&gt;&lt;C&gt;0&lt;/C&gt;&lt;/FQL&gt;&lt;FQL&gt;&lt;Q&gt;COP^FF_OG_PROD_DAY(QTR_R_OIL_BOE,12/2017)&lt;/Q&gt;&lt;R&gt;1&lt;/R&gt;&lt;C&gt;1&lt;/C&gt;&lt;D xsi:type="xsd:double"&gt;689&lt;/D&gt;&lt;/FQL&gt;&lt;FQL&gt;&lt;Q&gt;REN^FF_OG_PROD_TOT_NET(QTR_R_NG_CFE,12/2017)&lt;/Q&gt;&lt;R&gt;1&lt;/R&gt;&lt;C&gt;1&lt;/C&gt;&lt;D xsi:type="xsd:double"&gt;3735000&lt;/D&gt;&lt;/FQL&gt;&lt;FQL&gt;&lt;Q&gt;LPI^FE_TIMESERIES(PROD_DAY_OIL_ONLY,MEAN,2018/1F,2018/4F,FQ,'BKRACTMED=1,WIN=0,DATE=NOW')&lt;/Q&gt;&lt;R&gt;4&lt;/R&gt;&lt;C&gt;1&lt;/C&gt;&lt;D xsi:type="xsd:double"&gt;27.127918&lt;/D&gt;&lt;D xsi:type="xsd:double"&gt;28.061407&lt;/D&gt;&lt;D xsi:type="xsd:double"&gt;28.987753&lt;/D&gt;&lt;D xsi:type="xsd:double"&gt;30.191133&lt;/D&gt;&lt;/FQL&gt;&lt;FQL&gt;&lt;Q&gt;NBL^FF_OG_PROD_DAY(QTR_R_NG_CFE,12/2017)&lt;/Q&gt;&lt;R&gt;1&lt;/R&gt;&lt;C&gt;1&lt;/C&gt;&lt;D xsi:type="xsd:double"&gt;1012000&lt;/D&gt;&lt;/FQL&gt;&lt;FQL&gt;&lt;Q&gt;ESTE^FF_SGA(QTR_R,12/2017)&lt;/Q&gt;&lt;R&gt;1&lt;/R&gt;&lt;C&gt;1&lt;/C&gt;&lt;D xsi:type="xsd:double"&gt;7.584&lt;/D&gt;&lt;/FQL&gt;&lt;FQL&gt;&lt;Q&gt;EOG^FF_SGA(QTR_R,12/2017)&lt;/Q&gt;&lt;R&gt;1&lt;/R&gt;&lt;C&gt;1&lt;/C&gt;&lt;D xsi:type="xsd:double"&gt;117.005&lt;/D&gt;&lt;/FQL&gt;&lt;FQL&gt;&lt;Q&gt;REN^FF_OG_PROD_TOT_NET(QTR_R_OIL_BOE,12/2017)&lt;/Q&gt;&lt;R&gt;1&lt;/R&gt;&lt;C&gt;1&lt;/C&gt;&lt;D xsi:type="xsd:double"&gt;1331&lt;/D&gt;&lt;/FQL&gt;&lt;FQL&gt;&lt;Q&gt;APA^FE_GUIDANCE(CAPEX,MIDPOINT,ANNUAL,+2,0,,,'')&lt;/Q&gt;&lt;R&gt;0&lt;/R&gt;&lt;C&gt;0&lt;/C&gt;&lt;/FQL&gt;&lt;FQL&gt;&lt;Q&gt;QEP^FF_OG_PROD_DAY(QTR_R_NG_CFE,12/2017)&lt;/Q&gt;&lt;R&gt;0&lt;/R&gt;&lt;C&gt;0&lt;/C&gt;&lt;/FQL&gt;&lt;FQL&gt;&lt;Q&gt;ROSE^FF_OG_PROD_TOT_NET(QTR_R_OIL_BOE,12/2017)&lt;/Q&gt;&lt;R&gt;0&lt;/R&gt;&lt;C&gt;0&lt;/C&gt;&lt;/FQL&gt;&lt;FQL&gt;&lt;Q&gt;CPE^FF_SGA(QTR_R,12/2017)&lt;/Q&gt;&lt;R&gt;1&lt;/R&gt;&lt;C&gt;1&lt;/C&gt;&lt;D xsi:type="xsd:double"&gt;8.172&lt;/D&gt;&lt;/FQL&gt;&lt;FQL&gt;&lt;Q&gt;CXO^FF_SGA(QTR_R,12/2017)&lt;/Q&gt;&lt;R&gt;1&lt;/R&gt;&lt;C&gt;1&lt;/C&gt;&lt;D xsi:type="xsd:double"&gt;64&lt;/D&gt;&lt;/FQL&gt;&lt;FQL&gt;&lt;Q&gt;HK^FF_OG_PROD_TOT_NET(QTR_R_NGL_BOE,12/2017)&lt;/Q&gt;&lt;R&gt;1&lt;/R&gt;&lt;C&gt;1&lt;/C&gt;&lt;D xsi:type="xsd:double"&gt;84&lt;/D&gt;&lt;/FQL&gt;&lt;FQL&gt;&lt;Q&gt;WPX^FF_SGA(QTR_R,12/2017)&lt;/Q&gt;&lt;R&gt;1&lt;/R&gt;&lt;C&gt;1&lt;/C&gt;&lt;D xsi:type="xsd:double"&gt;43&lt;/D&gt;&lt;/FQL&gt;&lt;FQL&gt;&lt;Q&gt;JAG^FF_DEP_AMORT_EXP(QTR_R,12/2017)&lt;/Q&gt;&lt;R&gt;1&lt;/R&gt;&lt;C&gt;1&lt;/C&gt;&lt;D xsi:type="xsd:double"&gt;43.85&lt;/D&gt;&lt;/FQL&gt;&lt;FQL&gt;&lt;Q&gt;PXD^FF_SGA(QTR_R,12/2017)&lt;/Q&gt;&lt;R&gt;1&lt;/R&gt;&lt;C&gt;1&lt;/C&gt;&lt;D xsi:type="xsd:double"&gt;80&lt;/D&gt;&lt;/FQL&gt;&lt;FQL&gt;&lt;Q&gt;FANG^FF_OG_PROD_TOT_NET(QTR_R_NG_CFE,12/2017)&lt;/Q&gt;&lt;R&gt;1&lt;/R&gt;&lt;C&gt;1&lt;/C&gt;&lt;D xsi:type="xsd:double"&gt;6103489&lt;/D&gt;&lt;/FQL&gt;&lt;FQL&gt;&lt;Q&gt;DVN^FE_GUIDANCE(CAPEX,MIDPOINT,ANNUAL,+2,0,,,'')&lt;/Q&gt;&lt;R&gt;0&lt;/R&gt;&lt;C&gt;0&lt;/C&gt;&lt;/FQL&gt;&lt;FQL&gt;&lt;Q&gt;ECA^FF_SGA(QTR_R,12/2017)&lt;/Q&gt;&lt;R&gt;1&lt;/R&gt;&lt;C&gt;1&lt;/C&gt;&lt;D xsi:type="xsd:double"&gt;86&lt;/D&gt;&lt;/FQL&gt;&lt;FQL&gt;&lt;Q&gt;MRO^FF_DEP_AMORT_EXP(QTR_R,12/2017)&lt;/Q&gt;&lt;R&gt;1&lt;/R&gt;&lt;C&gt;1&lt;/C&gt;&lt;D xsi:type="xsd:double"&gt;612&lt;/D&gt;&lt;/FQL&gt;&lt;FQL&gt;&lt;Q&gt;WPX^FE_GUIDANCE(CAPEX,MIDPOINT,ANNUAL,+2,0,,,'')&lt;/Q&gt;&lt;R&gt;0&lt;/R&gt;&lt;C&gt;0&lt;/C&gt;&lt;/FQL&gt;&lt;FQL&gt;&lt;Q&gt;PXD^FF_OG_PROD_DAY(QTR_R_OIL_BOE,12/2017)&lt;/Q&gt;&lt;R&gt;1&lt;/R&gt;&lt;C&gt;1&lt;/C&gt;&lt;D xsi:type="xsd:double"&gt;179.737&lt;/D&gt;&lt;/FQL&gt;&lt;FQL&gt;&lt;Q&gt;OAS^FF_SGA(QTR_R,12/2017)&lt;/Q&gt;&lt;R&gt;1&lt;/R&gt;&lt;C&gt;1&lt;/C&gt;&lt;D xsi:type="xsd:double"&gt;24.627&lt;/D&gt;&lt;/FQL&gt;&lt;FQL&gt;&lt;Q&gt;XEC^FF_OG_PROD_DAY(QTR_R_NG_CFE,12/2017)&lt;/Q&gt;&lt;R&gt;1&lt;/R&gt;&lt;C&gt;1&lt;/C&gt;&lt;D xsi:type="xsd:double"&gt;534000&lt;/D&gt;&lt;/FQL&gt;&lt;FQL&gt;&lt;Q&gt;CDEV^FF_SGA(QTR_R,12/2017)&lt;/Q&gt;&lt;R&gt;1&lt;/R&gt;&lt;C&gt;1&lt;/C&gt;&lt;D xsi:type="xsd:double"&gt;13.865&lt;/D&gt;&lt;/FQL&gt;&lt;FQL&gt;&lt;Q&gt;SM^FF_OG_PROD_DAY(QTR_R_NGL_BOE,12/2017)&lt;/Q&gt;&lt;R&gt;1&lt;/R&gt;&lt;C&gt;1&lt;/C&gt;&lt;D xsi:type="xsd:double"&gt;24&lt;/D&gt;&lt;/FQL&gt;&lt;FQL&gt;&lt;Q&gt;HK^FE_GUIDANCE(CAPEX,MIDPOINT,ANNUAL,+2,0,,,'')&lt;/Q&gt;&lt;R&gt;0&lt;/R&gt;&lt;C&gt;0&lt;/C&gt;&lt;/FQL&gt;&lt;FQL&gt;&lt;Q&gt;ROSE^FF_SGA(QTR_R,12/2017)&lt;/Q&gt;&lt;R&gt;1&lt;/R&gt;&lt;C&gt;1&lt;/C&gt;&lt;D xsi:type="xsd:double"&gt;4.69&lt;/D&gt;&lt;/FQL&gt;&lt;FQL&gt;&lt;Q&gt;PDCE^FF_SGA(QTR_R,12/2017)&lt;/Q&gt;&lt;R&gt;1&lt;/R&gt;&lt;C&gt;1&lt;/C&gt;&lt;D xsi:type="xsd:double"&gt;35.225&lt;/D&gt;&lt;/FQL&gt;&lt;FQL&gt;&lt;Q&gt;ROSE^FF_OG_PROD_TOT_NET(QTR_R_NGL_BOE,12/2017)&lt;/Q&gt;&lt;R&gt;0&lt;/R&gt;&lt;C&gt;0&lt;/C&gt;&lt;/FQL&gt;&lt;FQL&gt;&lt;Q&gt;OXY^FF_OG_PROD_DAY(QTR_R_NGL_BOE,12/2017)&lt;/Q&gt;&lt;R&gt;1&lt;/R&gt;&lt;C&gt;1&lt;/C&gt;&lt;D xsi:type="xsd:double"&gt;90&lt;/D&gt;&lt;/FQL&gt;&lt;FQL&gt;&lt;Q&gt;HK^FF_OG_AREA_TOT(ANN_R_NET_ACRE,12/2017)&lt;/Q&gt;&lt;R&gt;1&lt;/R&gt;&lt;C&gt;1&lt;/C&gt;&lt;D xsi:type="xsd:double"&gt;141825&lt;/D&gt;&lt;/FQL&gt;&lt;FQL&gt;&lt;Q&gt;HK^FG_PRICE(43207)&lt;/Q&gt;&lt;R&gt;1&lt;/R&gt;&lt;C&gt;1&lt;/C&gt;&lt;D xsi:type="xsd:double"&gt;5.15&lt;/D&gt;&lt;/FQL&gt;&lt;FQL&gt;&lt;Q&gt;AREX^FF_OG_AREA_TOT(ANN_R_NET_ACRE,12/2017)&lt;/Q&gt;&lt;R&gt;1&lt;/R&gt;&lt;C&gt;1&lt;/C&gt;&lt;D xsi:type="xsd:double"&gt;150994&lt;/D&gt;&lt;/FQL&gt;&lt;FQL&gt;&lt;Q&gt;AREX^FG_PRICE(43207)&lt;/Q&gt;&lt;R&gt;1&lt;/R&gt;&lt;C&gt;1&lt;/C&gt;&lt;D xsi:type="xsd:double"&gt;2.72&lt;/D&gt;&lt;/FQL&gt;&lt;FQL&gt;&lt;Q&gt;SM^FF_OG_AREA_TOT(ANN_R_NET_ACRE,12/2017)&lt;/Q&gt;&lt;R&gt;1&lt;/R&gt;&lt;C&gt;1&lt;/C&gt;&lt;D xsi:type="xsd:double"&gt;719706&lt;/D&gt;&lt;/FQL&gt;&lt;FQL&gt;&lt;Q&gt;SM^FG_PRICE(43207)&lt;/Q&gt;&lt;R&gt;1&lt;/R&gt;&lt;C&gt;1&lt;/C&gt;&lt;D xsi:type="xsd:double"&gt;20.81&lt;/D&gt;&lt;/FQL&gt;&lt;FQL&gt;&lt;Q&gt;QEP^FF_OG_AREA_TOT(ANN_R_NET_ACRE,12/2017)&lt;/Q&gt;&lt;R&gt;1&lt;/R&gt;&lt;C&gt;1&lt;/C&gt;&lt;D xsi:type="xsd:double"&gt;993598&lt;/D&gt;&lt;/FQL&gt;&lt;FQL&gt;&lt;Q&gt;QEP^FG_PRICE(43207)&lt;/Q&gt;&lt;R&gt;1&lt;/R&gt;&lt;C&gt;1&lt;/C&gt;&lt;D xsi:type="xsd:double"&gt;11.55&lt;/D&gt;&lt;/FQL&gt;&lt;FQL&gt;&lt;Q&gt;NBL^FF_OG_AREA_TOT(ANN_R_NET_ACRE,12/2017)&lt;/Q&gt;&lt;R&gt;1&lt;/R&gt;&lt;C&gt;1&lt;/C&gt;&lt;D xsi:type="xsd:double"&gt;3342000&lt;/D&gt;&lt;/FQL&gt;&lt;FQL&gt;&lt;Q&gt;NBL^FG_PRICE(43207)&lt;/Q&gt;&lt;R&gt;1&lt;/R&gt;&lt;C&gt;1&lt;/C&gt;&lt;D xsi:type="xsd:double"&gt;32.33&lt;/D&gt;&lt;/FQL&gt;&lt;FQL&gt;&lt;Q&gt;XEC^FF_OG_AREA_TOT(ANN_R_NET_ACRE,12/2017)&lt;/Q&gt;&lt;R&gt;1&lt;/R&gt;&lt;C&gt;1&lt;/C&gt;&lt;D xsi:type="xsd:double"&gt;6281115&lt;/D&gt;&lt;/FQL&gt;&lt;FQL&gt;&lt;Q&gt;XEC^FG_PRICE(43207)&lt;/Q&gt;&lt;R&gt;1&lt;/R&gt;&lt;C&gt;1&lt;/C&gt;&lt;D xsi:type="xsd:double"&gt;96.32&lt;/D&gt;&lt;/FQL&gt;&lt;FQL&gt;&lt;Q&gt;REN^FF_OG_AREA_TOT(ANN_R_NET_ACRE,12/2017)&lt;/Q&gt;&lt;R&gt;1&lt;/R&gt;&lt;C&gt;1&lt;/C&gt;&lt;D xsi:type="xsd:double"&gt;21179&lt;/D&gt;&lt;/FQL&gt;&lt;FQL&gt;&lt;Q&gt;REN^FG_PRICE(43207)&lt;/Q&gt;&lt;R&gt;1&lt;/R&gt;&lt;C&gt;1&lt;/C&gt;&lt;D xsi:type="xsd:double"&gt;33.98&lt;/D&gt;&lt;/FQL&gt;&lt;FQL&gt;&lt;Q&gt;DVN^FF_OG_AREA_TOT(ANN_R_NET_ACRE,12/2017)&lt;/Q&gt;&lt;R&gt;1&lt;/R&gt;&lt;C&gt;1&lt;/C&gt;&lt;D xsi:type="xsd:double"&gt;4273000&lt;/D&gt;&lt;/FQL&gt;&lt;FQL&gt;&lt;Q&gt;DVN^FG_PRICE(43207)&lt;/Q&gt;&lt;R&gt;1&lt;/R&gt;&lt;C&gt;1&lt;/C&gt;&lt;D xsi:type="xsd:double"&gt;33.69&lt;/D&gt;&lt;/FQL&gt;&lt;FQL&gt;&lt;Q&gt;ECA^FF_OG_AREA_TOT(ANN_R_NET_ACRE,12/2017)&lt;/Q&gt;&lt;R&gt;1&lt;/R&gt;&lt;C&gt;1&lt;/C&gt;&lt;D xsi:type="xsd:double"&gt;2158991.364&lt;/D&gt;&lt;/FQL&gt;&lt;FQL&gt;&lt;Q&gt;ECA^FG_PRICE(43207)&lt;/Q&gt;&lt;R&gt;1&lt;/R&gt;&lt;C&gt;1&lt;/C&gt;&lt;D xsi:type="xsd:double"&gt;12.25&lt;/D&gt;&lt;/FQL&gt;&lt;FQL&gt;&lt;Q&gt;LPI^FF_OG_AREA_TOT(ANN_R_NET_ACRE,12/2017)&lt;/Q&gt;&lt;R&gt;1&lt;/R&gt;&lt;C&gt;1&lt;/C&gt;&lt;D xsi:type="xsd:double"&gt;129135&lt;/D&gt;&lt;/FQL&gt;&lt;FQL&gt;&lt;Q&gt;LPI^FG_PRICE(43207)&lt;/Q&gt;&lt;R&gt;1&lt;/R&gt;&lt;C&gt;1&lt;/C&gt;&lt;D xsi:type="xsd:double"&gt;9.64&lt;/D&gt;&lt;/FQL&gt;&lt;FQL&gt;&lt;Q&gt;OXY^FF_OG_AREA_TOT(ANN_R_NET_ACRE,12/2017)&lt;/Q&gt;&lt;R&gt;1&lt;/R&gt;&lt;C&gt;1&lt;/C&gt;&lt;D xsi:type="xsd:double"&gt;5198000&lt;/D&gt;&lt;/FQL&gt;&lt;FQL&gt;&lt;Q&gt;OXY^FG_PRICE(43207)&lt;/Q&gt;&lt;R&gt;1&lt;/R&gt;&lt;C&gt;1&lt;/C&gt;&lt;D xsi:type="xsd:double"&gt;75.22&lt;/D&gt;&lt;/FQL&gt;&lt;FQL&gt;&lt;Q&gt;PDCE^FF_OG_AREA_TOT(ANN_R_NET_ACRE,12/2017)&lt;/Q&gt;&lt;R&gt;1&lt;/R&gt;&lt;C&gt;1&lt;/C&gt;&lt;D xsi:type="xsd:double"&gt;222300&lt;/D&gt;&lt;/FQL&gt;&lt;FQL&gt;&lt;Q&gt;PDCE^FG_PRICE(43207)&lt;/Q&gt;&lt;R&gt;1&lt;/R&gt;&lt;C&gt;1&lt;/C&gt;&lt;D xsi:type="xsd:double"&gt;55.31&lt;/D&gt;&lt;/FQL&gt;&lt;FQL&gt;&lt;Q&gt;MTDR^FF_OG_AREA_TOT(ANN_R_NET_ACRE,12/2017)&lt;/Q&gt;&lt;R&gt;1&lt;/R&gt;&lt;C&gt;1&lt;/C&gt;&lt;D xsi:type="xsd:double"&gt;165800&lt;/D&gt;&lt;/FQL&gt;&lt;FQL&gt;&lt;Q&gt;MTDR^FG_PRICE(43207)&lt;/Q&gt;&lt;R&gt;1&lt;/R&gt;&lt;C&gt;1&lt;/C&gt;&lt;D xsi:type="xsd:double"&gt;32.08&lt;/D&gt;&lt;/FQL&gt;&lt;FQL&gt;&lt;Q&gt;EPE^FF_OG_AREA_TOT(ANN_R_NET_ACRE,12/2017)&lt;/Q&gt;&lt;R&gt;1&lt;/R&gt;&lt;C&gt;1&lt;/C&gt;&lt;D xsi:type="xsd:double"&gt;572530&lt;/D&gt;&lt;/FQL&gt;&lt;FQL&gt;&lt;Q&gt;EPE^FG_PRICE(43207)&lt;/Q&gt;&lt;R&gt;1&lt;/R&gt;&lt;C&gt;1&lt;/C&gt;&lt;D xsi:type="xsd:double"&gt;1.55&lt;/D&gt;&lt;/FQL&gt;&lt;FQL&gt;&lt;Q&gt;EOG^FF_OG_AREA_TOT(ANN_R_NET_ACRE,12/2017)&lt;/Q&gt;&lt;R&gt;1&lt;/R&gt;&lt;C&gt;1&lt;/C&gt;&lt;D xsi:type="xsd:double"&gt;4658033&lt;/D&gt;&lt;/FQL&gt;&lt;FQL&gt;&lt;Q&gt;EOG^FG_PRICE(43207)&lt;/Q&gt;&lt;R&gt;1&lt;/R&gt;&lt;C&gt;1&lt;/C&gt;&lt;D xsi:type="xsd:double"&gt;111.15&lt;/D&gt;&lt;/FQL&gt;&lt;FQL&gt;&lt;Q&gt;WPX^FF_OG_AREA_TOT(ANN_R_NET_ACRE,12/2017)&lt;/Q&gt;&lt;R&gt;1&lt;/R&gt;&lt;C&gt;1&lt;/C&gt;&lt;D xsi:type="xsd:double"&gt;354009&lt;/D&gt;&lt;/FQL&gt;&lt;FQL&gt;&lt;Q&gt;WPX^FG_PRICE(43207)&lt;/Q&gt;&lt;R&gt;1&lt;/R&gt;&lt;C&gt;1&lt;/C&gt;&lt;D xsi:type="xsd:double"&gt;15.83&lt;/D&gt;&lt;/FQL&gt;&lt;FQL&gt;&lt;Q&gt;APA^FF_OG_AREA_TOT(ANN_R_NET_ACRE,12/2017)&lt;/Q&gt;&lt;R&gt;1&lt;/R&gt;&lt;C&gt;1&lt;/C&gt;&lt;D xsi:type="xsd:double"&gt;10607000&lt;/D&gt;&lt;/FQL&gt;&lt;FQL&gt;&lt;Q&gt;APA^FG_PRICE(43207)&lt;/Q&gt;&lt;R&gt;1&lt;/R&gt;&lt;C&gt;1&lt;/C&gt;&lt;D xsi:type="xsd:double"&gt;41.35&lt;/D&gt;&lt;/FQL&gt;&lt;FQL&gt;&lt;Q&gt;CXO^FF_OG_AREA_TOT(ANN_R_NET_ACRE,12/2017)&lt;/Q&gt;&lt;R&gt;1&lt;/R&gt;&lt;C&gt;1&lt;/C&gt;&lt;D xsi:type="xsd:double"&gt;585000&lt;/D&gt;&lt;/FQL&gt;&lt;FQL&gt;&lt;Q&gt;CXO^FG_PRICE(43207)&lt;/Q&gt;&lt;R&gt;1&lt;/R&gt;&lt;C&gt;1&lt;/C&gt;&lt;D xsi:type="xsd:double"&gt;153.47&lt;/D&gt;&lt;/FQL&gt;&lt;FQL&gt;&lt;Q&gt;CDEV^FF_OG_AREA_TOT(ANN_R_NET_ACRE,12/2017)&lt;/Q&gt;&lt;R&gt;1&lt;/R&gt;&lt;C&gt;1&lt;/C&gt;&lt;D xsi:type="xsd:double"&gt;84718&lt;/D&gt;&lt;/FQL&gt;&lt;FQL&gt;&lt;Q&gt;CDEV^FG_PRICE(43207)&lt;/Q&gt;&lt;R&gt;1&lt;/R&gt;&lt;C&gt;1&lt;/C&gt;&lt;D xsi:type="xsd:double"&gt;17.45&lt;/D&gt;&lt;/FQL&gt;&lt;FQL&gt;&lt;Q&gt;OAS^FF_OG_AREA_TOT(ANN_R_NET_ACRE,12/2017)&lt;/Q&gt;&lt;R&gt;1&lt;/R&gt;&lt;C&gt;1&lt;/C&gt;&lt;D xsi:type="xsd:double"&gt;502660&lt;/D&gt;&lt;/FQL&gt;&lt;FQL&gt;&lt;Q&gt;OAS^FG_PRICE(43207)&lt;/Q&gt;&lt;R&gt;1&lt;/R&gt;&lt;C&gt;1&lt;/C&gt;&lt;D xsi:type="xsd:double"&gt;9.22&lt;/D&gt;&lt;/FQL&gt;&lt;FQL&gt;&lt;Q&gt;PXD^FF_OG_AREA_TOT(ANN_R_NET_ACRE,12/2017)&lt;/Q&gt;&lt;R&gt;1&lt;/R&gt;&lt;C&gt;1&lt;/C&gt;&lt;D xsi:type="xsd:double"&gt;1237605&lt;/D&gt;&lt;/FQL&gt;&lt;FQL&gt;&lt;Q&gt;PXD^FG_PRICE(43207)&lt;/Q&gt;&lt;R&gt;1&lt;/R&gt;&lt;C&gt;1&lt;/C&gt;&lt;D xsi:type="xsd:double"&gt;193.18&lt;/D&gt;&lt;/FQL&gt;&lt;FQL&gt;&lt;Q&gt;EGN^FF_OG_AREA_TOT(ANN_R_NET_ACRE,12/2017)&lt;/Q&gt;&lt;R&gt;1&lt;/R&gt;&lt;C&gt;1&lt;/C&gt;&lt;D xsi:type="xsd:double"&gt;266252&lt;/D&gt;&lt;/FQL&gt;&lt;FQL&gt;&lt;Q&gt;EGN^FG_PRICE(43207)&lt;/Q&gt;&lt;R&gt;1&lt;/R&gt;&lt;C&gt;1&lt;/C&gt;&lt;D xsi:type="xsd:double"&gt;65.62&lt;/D&gt;&lt;/FQL&gt;&lt;FQL&gt;&lt;Q&gt;CRZO^FF_OG_AREA_TOT(ANN_R_NET_ACRE,12/2017)&lt;/Q&gt;&lt;R&gt;1&lt;/R&gt;&lt;C&gt;1&lt;/C&gt;&lt;D xsi:type="xsd:double"&gt;221721&lt;/D&gt;&lt;/FQL&gt;&lt;FQL&gt;&lt;Q&gt;CRZO^FG_PRICE(43207)&lt;/Q&gt;&lt;R&gt;1&lt;/R&gt;&lt;C&gt;1&lt;/C&gt;&lt;D xsi:type="xsd:double"&gt;17.13&lt;/D&gt;&lt;/FQL&gt;&lt;FQL&gt;&lt;Q&gt;PE^FF_OG_AREA_TOT(ANN_R_NET_ACRE,12/2017)&lt;/Q&gt;&lt;R&gt;1&lt;/R&gt;&lt;C&gt;1&lt;/C&gt;&lt;D xsi:type="xsd:double"&gt;219747&lt;/D&gt;&lt;/FQL&gt;&lt;FQL&gt;&lt;Q&gt;PE^FG_PRICE(43207)&lt;/Q&gt;&lt;R&gt;1&lt;/R&gt;&lt;C&gt;1&lt;/C&gt;&lt;D xsi:type="xsd:double"&gt;29.86&lt;/D&gt;&lt;/FQL&gt;&lt;FQL&gt;&lt;Q&gt;RSPP^FF_OG_AREA_TOT(ANN_R_NET_ACRE,12/2017)&lt;/Q&gt;&lt;R&gt;1&lt;/R&gt;&lt;C&gt;1&lt;/C&gt;&lt;D xsi:type="xsd:double"&gt;91887&lt;/D&gt;&lt;/FQL&gt;&lt;FQL&gt;&lt;Q&gt;RSPP^FG_PRICE(43207)&lt;/Q&gt;&lt;R&gt;1&lt;/R&gt;&lt;C&gt;1&lt;/C&gt;&lt;D xsi:type="xsd:double"&gt;47.89&lt;/D&gt;&lt;/FQL&gt;&lt;FQL&gt;&lt;Q&gt;CPE^FF_OG_AREA_TOT(ANN_R_NET_ACRE,12/2017)&lt;/Q&gt;&lt;R&gt;1&lt;/R&gt;&lt;C&gt;1&lt;/C&gt;&lt;D xsi:type="xsd:double"&gt;57736&lt;/D&gt;&lt;/FQL&gt;&lt;FQL&gt;&lt;Q&gt;CPE^FG_PRICE(43207)&lt;/Q&gt;&lt;R&gt;1&lt;/R&gt;&lt;C&gt;1&lt;/C&gt;&lt;D xsi:type="xsd:double"&gt;13.55&lt;/D&gt;&lt;/FQL&gt;&lt;FQL&gt;&lt;Q&gt;FANG^FF_OG_AREA_TOT(ANN_R_NET_ACRE,12/2017)&lt;/Q&gt;&lt;R&gt;1&lt;/R&gt;&lt;C&gt;1&lt;/C&gt;&lt;D xsi:type="xsd:double"&gt;206660&lt;/D&gt;&lt;/FQL&gt;&lt;FQL&gt;&lt;Q&gt;FANG^FG_PRICE(43207)&lt;/Q&gt;&lt;R&gt;1&lt;/R&gt;&lt;C&gt;1&lt;/C&gt;&lt;D xsi:type="xsd:double"&gt;122.3&lt;/D&gt;&lt;/FQL&gt;&lt;FQL&gt;&lt;Q&gt;ESTE^FF_OG_AREA_TOT(ANN_R_NET_ACRE,12/2017)&lt;/Q&gt;&lt;R&gt;1&lt;/R&gt;&lt;C&gt;1&lt;/C&gt;&lt;D xsi:type="xsd:double"&gt;50432&lt;/D&gt;&lt;/FQL&gt;&lt;FQL&gt;&lt;Q&gt;ESTE^FG_PRICE(43207)&lt;/Q&gt;&lt;R&gt;1&lt;/R&gt;&lt;C&gt;1&lt;/C&gt;&lt;D xsi:type="xsd:double"&gt;10.57&lt;/D&gt;&lt;/FQL&gt;&lt;FQL&gt;&lt;Q&gt;JAG^FF_OG_AREA_TOT(ANN_R_NET_ACRE,12/2017)&lt;/Q&gt;&lt;R&gt;1&lt;/R&gt;&lt;C&gt;1&lt;/C&gt;&lt;D xsi:type="xsd:double"&gt;75200&lt;/D&gt;&lt;/FQL&gt;&lt;FQL&gt;&lt;Q&gt;JAG^FG_PRICE(43207)&lt;/Q&gt;&lt;R&gt;1&lt;/R&gt;&lt;C&gt;1&lt;/C&gt;&lt;D xsi:type="xsd:double"&gt;14.39&lt;/D&gt;&lt;/FQL&gt;&lt;FQL&gt;&lt;Q&gt;USEG^FF_OG_AREA_TOT(ANN_R_NET_ACRE,12/2017)&lt;/Q&gt;&lt;R&gt;1&lt;/R&gt;&lt;C&gt;1&lt;/C&gt;&lt;D xsi:type="xsd:double"&gt;4744&lt;/D&gt;&lt;/FQL&gt;&lt;FQL&gt;&lt;Q&gt;USEG^FG_PRICE(43207)&lt;/Q&gt;&lt;R&gt;1&lt;/R&gt;&lt;C&gt;1&lt;/C&gt;&lt;D xsi:type="xsd:double"&gt;1.14&lt;/D&gt;&lt;/FQL&gt;&lt;FQL&gt;&lt;Q&gt;AXAS^FF_OG_AREA_TOT(ANN_R_NET_ACRE,12/2017)&lt;/Q&gt;&lt;R&gt;1&lt;/R&gt;&lt;C&gt;1&lt;/C&gt;&lt;D xsi:type="xsd:double"&gt;57937&lt;/D&gt;&lt;/FQL&gt;&lt;FQL&gt;&lt;Q&gt;AXAS^FG_PRICE(43207)&lt;/Q&gt;&lt;R&gt;1&lt;/R&gt;&lt;C&gt;1&lt;/C&gt;&lt;D xsi:type="xsd:double"&gt;2.79&lt;/D&gt;&lt;/FQL&gt;&lt;FQL&gt;&lt;Q&gt;COP^FF_OG_AREA_TOT(ANN_R_NET_ACRE,12/2017)&lt;/Q&gt;&lt;R&gt;1&lt;/R&gt;&lt;C&gt;1&lt;/C&gt;&lt;D xsi:type="xsd:double"&gt;25860000&lt;/D&gt;&lt;/FQL&gt;&lt;FQL&gt;&lt;Q&gt;COP^FG_PRICE(43207)&lt;/Q&gt;&lt;R&gt;1&lt;/R&gt;&lt;C&gt;1&lt;/C&gt;&lt;D xsi:type="xsd:double"&gt;66.51&lt;/D&gt;&lt;/FQL&gt;&lt;FQL&gt;&lt;Q&gt;MRO^FF_OG_AREA_TOT(ANN_R_NET_ACRE,12/2017)&lt;/Q&gt;&lt;R&gt;1&lt;/R&gt;&lt;C&gt;1&lt;/C&gt;&lt;D xsi:type="xsd:double"&gt;3881000&lt;/D&gt;&lt;/FQL&gt;&lt;FQL&gt;&lt;Q&gt;MRO^FG_PRICE(43207)&lt;/Q&gt;&lt;R&gt;1&lt;/R&gt;&lt;C&gt;1&lt;/C&gt;&lt;D xsi:type="xsd:double"&gt;18.15&lt;/D&gt;&lt;/FQL&gt;&lt;FQL&gt;&lt;Q&gt;ROSE^FF_OG_AREA_TOT(ANN_R_NET_ACRE,12/2017)&lt;/Q&gt;&lt;R&gt;0&lt;/R&gt;&lt;C&gt;0&lt;/C&gt;&lt;/FQL&gt;&lt;FQL&gt;&lt;Q&gt;ROSE^FG_PRICE(43207)&lt;/Q&gt;&lt;R&gt;1&lt;/R&gt;&lt;C&gt;1&lt;/C&gt;&lt;D xsi:type="xsd:double"&gt;6.76&lt;/D&gt;&lt;/FQL&gt;&lt;FQL&gt;&lt;Q&gt;FANG^FF_DEBT(QTR,0)&lt;/Q&gt;&lt;R&gt;1&lt;/R&gt;&lt;C&gt;1&lt;/C&gt;&lt;D xsi:type="xsd:double"&gt;1477.347&lt;/D&gt;&lt;/FQL&gt;&lt;FQL&gt;&lt;Q&gt;HK^OS_SEC_SI_PCTFLT(0D)&lt;/Q&gt;&lt;R&gt;1&lt;/R&gt;&lt;C&gt;1&lt;/C&gt;&lt;D xsi:type="xsd:double"&gt;11.69300337942971&lt;/D&gt;&lt;/FQL&gt;&lt;FQL&gt;&lt;Q&gt;HK^FREF_MARKET_VALUE_COMPANY(43207,,,,,0)&lt;/Q&gt;&lt;R&gt;1&lt;/R&gt;&lt;C&gt;1&lt;/C&gt;&lt;D xsi:type="xsd:double"&gt;826.43081593246461&lt;/D&gt;&lt;/FQL&gt;&lt;FQL&gt;&lt;Q&gt;HK^FF_CASH_ONLY(QTR,0)&lt;/Q&gt;&lt;R&gt;1&lt;/R&gt;&lt;C&gt;1&lt;/C&gt;&lt;D xsi:type="xsd:double"&gt;424.071&lt;/D&gt;&lt;/FQL&gt;&lt;FQL&gt;&lt;Q&gt;APA^FF_DEBT(QTR,0)&lt;/Q&gt;&lt;R&gt;1&lt;/R&gt;&lt;C&gt;1&lt;/C&gt;&lt;D xsi:type="xsd:double"&gt;8484&lt;/D&gt;&lt;/FQL&gt;&lt;FQL&gt;&lt;Q&gt;AREX^OS_SEC_SI_PCTFLT(0D)&lt;/Q&gt;&lt;R&gt;1&lt;/R&gt;&lt;C&gt;1&lt;/C&gt;&lt;D xsi:type="xsd:double"&gt;18.101447970644141&lt;/D&gt;&lt;/FQL&gt;&lt;FQL&gt;&lt;Q&gt;AREX^FREF_MARKET_VALUE_COMPANY(43207,,,,,0)&lt;/Q&gt;&lt;R&gt;1&lt;/R&gt;&lt;C&gt;1&lt;/C&gt;&lt;D xsi:type="xsd:double"&gt;256.58576319693572&lt;/D&gt;&lt;/FQL&gt;&lt;FQL&gt;&lt;Q&gt;AREX^FF_CASH_ONLY(QTR,0)&lt;/Q&gt;&lt;R&gt;1&lt;/R&gt;&lt;C&gt;1&lt;/C&gt;&lt;D xsi:type="xsd:double"&gt;0.021&lt;/D&gt;&lt;/FQL&gt;&lt;FQL&gt;&lt;Q&gt;RSPP^FF_DEBT(QTR,0)&lt;/Q&gt;&lt;R&gt;1&lt;/R&gt;&lt;C&gt;1&lt;/C&gt;&lt;D xsi:type="xsd:double"&gt;1509.128&lt;/D&gt;&lt;/FQL&gt;&lt;FQL&gt;&lt;Q&gt;SM^OS_SEC_SI_PCTFLT(0D)&lt;/Q&gt;&lt;R&gt;1&lt;/R&gt;&lt;C&gt;1&lt;/C&gt;&lt;D xsi:type="xsd:double"&gt;20.069677641777481&lt;/D&gt;&lt;/FQL&gt;&lt;FQL&gt;&lt;Q&gt;SM^FREF_MARKET_VALUE_COMPANY(43207,,,,,0)&lt;/Q&gt;&lt;R&gt;1&lt;/R&gt;&lt;C&gt;1&lt;/C&gt;&lt;D xsi:type="xsd:double"&gt;2322.8953918176271&lt;/D&gt;&lt;/FQL&gt;&lt;FQL&gt;&lt;Q&gt;SM^FF_CASH_ONLY(QTR,0)&lt;/Q&gt;&lt;R&gt;1&lt;/R&gt;&lt;C&gt;1&lt;/C&gt;&lt;D xsi:type="xsd:double"&gt;313.943&lt;/D&gt;&lt;/FQL&gt;&lt;FQL&gt;&lt;Q&gt;PXD^FF_DEBT(QTR,0)&lt;/Q&gt;&lt;R&gt;1&lt;/R&gt;&lt;C&gt;1&lt;/C&gt;&lt;D xsi:type="xsd:double"&gt;2732&lt;/D&gt;&lt;/FQL&gt;&lt;FQL&gt;&lt;Q&gt;QEP^OS_SEC_SI_PCTFLT(0D)&lt;/Q&gt;&lt;R&gt;1&lt;/R&gt;&lt;C&gt;1&lt;/C&gt;&lt;D xsi:type="xsd:double"&gt;8.383829115834061&lt;/D&gt;&lt;/FQL&gt;&lt;FQL&gt;&lt;Q&gt;QEP^FREF_MARKET_VALUE_COMPANY(43207,,,,,0)&lt;/Q&gt;&lt;R&gt;1&lt;/R&gt;&lt;C&gt;1&lt;/C&gt;&lt;D xsi:type="xsd:double"&gt;2747.6873447217949&lt;/D&gt;&lt;/FQL&gt;&lt;FQL&gt;&lt;Q&gt;QEP^FF_CASH_ONLY(QTR,0)&lt;/Q&gt;&lt;R&gt;1&lt;/R&gt;&lt;C&gt;1&lt;/C&gt;&lt;D xsi:type="xsd:double"&gt;0&lt;/D&gt;&lt;/FQL&gt;&lt;FQL&gt;&lt;Q&gt;MTDR^FF_DEBT(QTR,0)&lt;/Q&gt;&lt;R&gt;1&lt;/R&gt;&lt;C&gt;1&lt;/C&gt;&lt;D xsi:type="xsd:double"&gt;574.073&lt;/D&gt;&lt;/FQL&gt;&lt;FQL&gt;&lt;Q&gt;NBL^OS_SEC_SI_PCTFLT(0D)&lt;/Q&gt;&lt;R&gt;1&lt;/R&gt;&lt;C&gt;1&lt;/C&gt;&lt;D xsi:type="xsd:double"&gt;3.628931067888387&lt;/D&gt;&lt;/FQL&gt;&lt;FQL&gt;&lt;Q&gt;NBL^FREF_MARKET_VALUE_COMPANY(43207,,,,,0)&lt;/Q&gt;&lt;R&gt;1&lt;/R&gt;&lt;C&gt;1&lt;/C&gt;&lt;D xsi:type="xsd:double"&gt;15912.56781132566&lt;/D&gt;&lt;/FQL&gt;&lt;FQL&gt;&lt;Q&gt;NBL^FF_CASH_ONLY(QTR,0)&lt;/Q&gt;&lt;R&gt;1&lt;/R&gt;&lt;C&gt;1&lt;/C&gt;&lt;D xsi:type="xsd:double"&gt;713&lt;/D&gt;&lt;/FQL&gt;&lt;FQL&gt;&lt;Q&gt;WPX^FF_DEBT(QTR,0)&lt;/Q&gt;&lt;R&gt;1&lt;/R&gt;&lt;C&gt;1&lt;/C&gt;&lt;D xsi:type="xsd:double"&gt;2575&lt;/D&gt;&lt;/FQL&gt;&lt;FQL&gt;&lt;Q&gt;XEC^OS_SEC_SI_PCTFLT(0D)&lt;/Q&gt;&lt;R&gt;1&lt;/R&gt;&lt;C&gt;1&lt;/C&gt;&lt;D xsi:type="xsd:double"&gt;3.806887960401665&lt;/D&gt;&lt;/FQL&gt;&lt;FQL&gt;&lt;Q&gt;XEC^FREF_MARKET_VALUE_COMPANY(43207,,,,,0)&lt;/Q&gt;&lt;R&gt;1&lt;/R&gt;&lt;C&gt;1&lt;/C&gt;&lt;D xsi:type="xsd:double"&gt;9192.3952028088388&lt;/D&gt;&lt;/FQL&gt;&lt;FQL&gt;&lt;Q&gt;XEC^FF_CASH_ONLY(QTR,0)&lt;/Q&gt;&lt;R&gt;1&lt;/R&gt;&lt;C&gt;1&lt;/C&gt;&lt;D xsi:type="xsd:double"&gt;400.534&lt;/D&gt;&lt;/FQL&gt;&lt;FQL&gt;&lt;Q&gt;QEP^FF_DEBT(QTR,0)&lt;/Q&gt;&lt;R&gt;1&lt;/R&gt;&lt;C&gt;1&lt;/C&gt;&lt;D xsi:type="xsd:double"&gt;2204.8&lt;/D&gt;&lt;/FQL&gt;&lt;FQL&gt;&lt;Q&gt;REN^OS_SEC_SI_PCTFLT(0D)&lt;/Q&gt;&lt;R&gt;1&lt;/R&gt;&lt;C&gt;1&lt;/C&gt;&lt;D xsi:type="xsd:double"&gt;35.74075475143961&lt;/D&gt;&lt;/FQL&gt;&lt;FQL&gt;&lt;Q&gt;REN^FREF_MARKET_VALUE_COMPANY(43207,,,,,0)&lt;/Q&gt;&lt;R&gt;1&lt;/R&gt;&lt;C&gt;1&lt;/C&gt;&lt;D xsi:type="xsd:double"&gt;783.8166302565005&lt;/D&gt;&lt;/FQL&gt;&lt;FQL&gt;&lt;Q&gt;REN^FF_CASH_ONLY(QTR,0)&lt;/Q&gt;&lt;R&gt;1&lt;/R&gt;&lt;C&gt;1&lt;/C&gt;&lt;D xsi:type="xsd:double"&gt;3.762&lt;/D&gt;&lt;/FQL&gt;&lt;FQL&gt;&lt;Q&gt;CXO^FF_DEBT(QTR,0)&lt;/Q&gt;&lt;R&gt;1&lt;/R&gt;&lt;C&gt;1&lt;/C&gt;&lt;D xsi:type="xsd:double"&gt;2807&lt;/D&gt;&lt;/FQL&gt;&lt;FQL&gt;&lt;Q&gt;DVN^OS_SEC_SI_PCTFLT(0D)&lt;/Q&gt;&lt;R&gt;1&lt;/R&gt;&lt;C&gt;1&lt;/C&gt;&lt;D xsi:type="xsd:double"&gt;3.3741729784893542&lt;/D&gt;&lt;/FQL&gt;&lt;FQL&gt;&lt;Q&gt;DVN^FREF_MARKET_VALUE_COMPANY(43207,,,,,0)&lt;/Q&gt;&lt;R&gt;1&lt;/R&gt;&lt;C&gt;1&lt;/C&gt;&lt;D xsi:type="xsd:double"&gt;17724.307455001861&lt;/D&gt;&lt;/FQL&gt;&lt;FQL&gt;&lt;Q&gt;DVN^FF_CASH_ONLY(QTR,0)&lt;/Q&gt;&lt;R&gt;1&lt;/R&gt;&lt;C&gt;1&lt;/C&gt;&lt;D xsi:type="xsd:double"&gt;2673&lt;/D&gt;&lt;/FQL&gt;&lt;FQL&gt;&lt;Q&gt;DVN^FF_DEBT(QTR,0)&lt;/Q&gt;&lt;R&gt;1&lt;/R&gt;&lt;C&gt;1&lt;/C&gt;&lt;D xsi:type="xsd:double"&gt;10406&lt;/D&gt;&lt;/FQL&gt;&lt;FQL&gt;&lt;Q&gt;ECA^OS_SEC_SI_PCTFLT(0D)&lt;/Q&gt;&lt;R&gt;1&lt;/R&gt;&lt;C&gt;1&lt;/C&gt;&lt;D xsi:type="xsd:double"&gt;1.2341220580165571&lt;/D&gt;&lt;/FQL&gt;&lt;FQL&gt;&lt;Q&gt;ECA^FREF_MARKET_VALUE_COMPANY(43207,,,,,0)&lt;/Q&gt;&lt;R&gt;1&lt;/R&gt;&lt;C&gt;1&lt;/C&gt;&lt;D xsi:type="xsd:double"&gt;11899.72394223136&lt;/D&gt;&lt;/FQL&gt;&lt;FQL&gt;&lt;Q&gt;ECA^FF_CASH_ONLY(QTR,0)&lt;/Q&gt;&lt;R&gt;1&lt;/R&gt;&lt;C&gt;1&lt;/C&gt;&lt;D xsi:type="xsd:double"&gt;719&lt;/D&gt;&lt;/FQL&gt;&lt;FQL&gt;&lt;Q&gt;JAG^FF_DEBT(QTR,0)&lt;/Q&gt;&lt;R&gt;1&lt;/R&gt;&lt;C&gt;1&lt;/C&gt;&lt;D xsi:type="xsd:double"&gt;155&lt;/D&gt;&lt;/FQL&gt;&lt;FQL&gt;&lt;Q&gt;LPI^OS_SEC_SI_PCTFLT(0D)&lt;/Q&gt;&lt;R&gt;1&lt;/R&gt;&lt;C&gt;1&lt;/C&gt;&lt;D xsi:type="xsd:double"&gt;14.51476990409399&lt;/D&gt;&lt;/FQL&gt;&lt;FQL&gt;&lt;Q&gt;LPI^FREF_MARKET_VALUE_COMPANY(43207,,,,,0)&lt;/Q&gt;&lt;R&gt;1&lt;/R&gt;&lt;C&gt;1&lt;/C&gt;&lt;D xsi:type="xsd:double"&gt;2324.7728098461521&lt;/D&gt;&lt;/FQL&gt;&lt;FQL&gt;&lt;Q&gt;LPI^FF_CASH_ONLY(QTR,0)&lt;/Q&gt;&lt;R&gt;1&lt;/R&gt;&lt;C&gt;1&lt;/C&gt;&lt;D xsi:type="xsd:double"&gt;112.159&lt;/D&gt;&lt;/FQL&gt;&lt;FQL&gt;&lt;Q&gt;OAS^FF_DEBT(QTR,0)&lt;/Q&gt;&lt;R&gt;1&lt;/R&gt;&lt;C&gt;1&lt;/C&gt;&lt;D xsi:type="xsd:double"&gt;2097.606&lt;/D&gt;&lt;/FQL&gt;&lt;FQL&gt;&lt;Q&gt;OXY^OS_SEC_SI_PCTFLT(0D)&lt;/Q&gt;&lt;R&gt;1&lt;/R&gt;&lt;C&gt;1&lt;/C&gt;&lt;D xsi:type="xsd:double"&gt;1.298225723605368&lt;/D&gt;&lt;/FQL&gt;&lt;FQL&gt;&lt;Q&gt;OXY^FREF_MARKET_VALUE_COMPANY(43207,,,,,0)&lt;/Q&gt;&lt;R&gt;1&lt;/R&gt;&lt;C&gt;1&lt;/C&gt;&lt;D xsi:type="xsd:double"&gt;57593.623592125252&lt;/D&gt;&lt;/FQL&gt;&lt;FQL&gt;&lt;Q&gt;OXY^FF_CASH_ONLY(QTR,0)&lt;/Q&gt;&lt;R&gt;1&lt;/R&gt;&lt;C&gt;1&lt;/C&gt;&lt;D xsi:type="xsd:double"&gt;1672&lt;/D&gt;&lt;/FQL&gt;&lt;FQL&gt;&lt;Q&gt;OXY^FF_DEBT(QTR,0)&lt;/Q&gt;&lt;R&gt;1&lt;/R&gt;&lt;C&gt;1&lt;/C&gt;&lt;D xsi:type="xsd:double"&gt;9828&lt;/D&gt;&lt;/FQL&gt;&lt;FQL&gt;&lt;Q&gt;PDCE^OS_SEC_SI_PCTFLT(0D)&lt;/Q&gt;&lt;R&gt;1&lt;/R&gt;&lt;C&gt;1&lt;/C&gt;&lt;D xsi:type="xsd:double"&gt;9.594757477653868&lt;/D&gt;&lt;/FQL&gt;&lt;FQL&gt;&lt;Q&gt;PDCE^FREF_MARKET_VALUE_COMPANY(43207,,,,,0)&lt;/Q&gt;&lt;R&gt;1&lt;/R&gt;&lt;C&gt;1&lt;/C&gt;&lt;D xsi:type="xsd:double"&gt;3643.7957317223481&lt;/D&gt;&lt;/FQL&gt;&lt;FQL&gt;&lt;Q&gt;PDCE^FF_CASH_ONLY(QTR,0)&lt;/Q&gt;&lt;R&gt;1&lt;/R&gt;&lt;C&gt;1&lt;/C&gt;&lt;D xsi:type="xsd:double"&gt;180.675&lt;/D&gt;&lt;/FQL&gt;&lt;FQL&gt;&lt;Q&gt;MRO^FF_DEBT(QTR,0)&lt;/Q&gt;&lt;R&gt;1&lt;/R&gt;&lt;C&gt;1&lt;/C&gt;&lt;D xsi:type="xsd:double"&gt;5494&lt;/D&gt;&lt;/FQL&gt;&lt;FQL&gt;&lt;Q&gt;MTDR^OS_SEC_SI_PCTFLT(0D)&lt;/Q&gt;&lt;R&gt;1&lt;/R&gt;&lt;C&gt;1&lt;/C&gt;&lt;D xsi:type="xsd:double"&gt;9.6472399248626157&lt;/D&gt;&lt;/FQL&gt;&lt;FQL&gt;&lt;Q&gt;MTDR^FREF_MARKET_VALUE_COMPANY(43207,,,,,0)&lt;/Q&gt;&lt;R&gt;1&lt;/R&gt;&lt;C&gt;1&lt;/C&gt;&lt;D xsi:type="xsd:double"&gt;3504.7081376629649&lt;/D&gt;&lt;/FQL&gt;&lt;FQL&gt;&lt;Q&gt;MTDR^FF_CASH_ONLY(QTR,0)&lt;/Q&gt;&lt;R&gt;1&lt;/R&gt;&lt;C&gt;1&lt;/C&gt;&lt;D xsi:type="xsd:double"&gt;102.482&lt;/D&gt;&lt;/FQL&gt;&lt;FQL&gt;&lt;Q&gt;EOG^FF_DEBT(QTR,0)&lt;/Q&gt;&lt;R&gt;1&lt;/R&gt;&lt;C&gt;1&lt;/C&gt;&lt;D xsi:type="xsd:double"&gt;6387.071&lt;/D&gt;&lt;/FQL&gt;&lt;FQL&gt;&lt;Q&gt;EPE^OS_SEC_SI_PCTFLT(0D)&lt;/Q&gt;&lt;R&gt;1&lt;/R&gt;&lt;C&gt;1&lt;/C&gt;&lt;D xsi:type="xsd:double"&gt;27.15193135272655&lt;/D&gt;&lt;/FQL&gt;&lt;FQL&gt;&lt;Q&gt;EPE^FREF_MARKET_VALUE_COMPANY(43207,,,,,0)&lt;/Q&gt;&lt;R&gt;1&lt;/R&gt;&lt;C&gt;1&lt;/C&gt;&lt;D xsi:type="xsd:double"&gt;389.259229510546&lt;/D&gt;&lt;/FQL&gt;&lt;FQL&gt;&lt;Q&gt;EPE^FF_CASH_ONLY(QTR,0)&lt;/Q&gt;&lt;R&gt;1&lt;/R&gt;&lt;C&gt;1&lt;/C&gt;&lt;D xsi:type="xsd:double"&gt;45&lt;/D&gt;&lt;/FQL&gt;&lt;FQL&gt;&lt;Q&gt;EGN^FF_DEBT(QTR,0)&lt;/Q&gt;&lt;R&gt;1&lt;/R&gt;&lt;C&gt;1&lt;/C&gt;&lt;D xsi:type="xsd:double"&gt;782.861&lt;/D&gt;&lt;/FQL&gt;&lt;FQL&gt;&lt;Q&gt;EOG^OS_SEC_SI_PCTFLT(0D)&lt;/Q&gt;&lt;R&gt;1&lt;/R&gt;&lt;C&gt;1&lt;/C&gt;&lt;D xsi:type="xsd:double"&gt;1.988586944472293&lt;/D&gt;&lt;/FQL&gt;&lt;FQL&gt;&lt;Q&gt;EOG^FREF_MARKET_VALUE_COMPANY(43207,,,,,0)&lt;/Q&gt;&lt;R&gt;1&lt;/R&gt;&lt;C&gt;1&lt;/C&gt;&lt;D xsi:type="xsd:double"&gt;64315.61463720398&lt;/D&gt;&lt;/FQL&gt;&lt;FQL&gt;&lt;Q&gt;EOG^FF_CASH_ONLY(QTR,0)&lt;/Q&gt;&lt;R&gt;1&lt;/R&gt;&lt;C&gt;1&lt;/C&gt;&lt;D xsi:type="xsd:double"&gt;834.228&lt;/D&gt;&lt;/FQL&gt;&lt;FQL&gt;&lt;Q&gt;USEG^FF_DEBT(QTR,0)&lt;/Q&gt;&lt;R&gt;1&lt;/R&gt;&lt;C&gt;1&lt;/C&gt;&lt;D xsi:type="xsd:double"&gt;1.537&lt;/D&gt;&lt;/FQL&gt;&lt;FQL&gt;&lt;Q&gt;WPX^OS_SEC_SI_PCTFLT(0D)&lt;/Q&gt;&lt;R&gt;1&lt;/R&gt;&lt;C&gt;1&lt;/C&gt;&lt;D xsi:type="xsd:double"&gt;8.3959919447592828&lt;/D&gt;&lt;/FQL&gt;&lt;FQL&gt;&lt;Q&gt;WPX^FREF_MARKET_VALUE_COMPANY(43207,,,,,0)&lt;/Q&gt;&lt;R&gt;1&lt;/R&gt;&lt;C&gt;1&lt;/C&gt;&lt;D xsi:type="xsd:double"&gt;6323.4994604901876&lt;/D&gt;&lt;/FQL&gt;&lt;FQL&gt;&lt;Q&gt;WPX^FF_CASH_ONLY(QTR,0)&lt;/Q&gt;&lt;R&gt;1&lt;/R&gt;&lt;C&gt;1&lt;/C&gt;&lt;D xsi:type="xsd:double"&gt;201&lt;/D&gt;&lt;/FQL&gt;&lt;FQL&gt;&lt;Q&gt;XEC^RTP_PRICE_HIGH_52W&lt;/Q&gt;&lt;R&gt;1&lt;/R&gt;&lt;C&gt;1&lt;/C&gt;&lt;D xsi:type="xsd:double"&gt;130.16&lt;/D&gt;&lt;/FQL&gt;&lt;FQL&gt;&lt;Q&gt;APA^OS_SEC_SI_PCTFLT(0D)&lt;/Q&gt;&lt;R&gt;1&lt;/R&gt;&lt;C&gt;1&lt;/C&gt;&lt;D xsi:type="xsd:double"&gt;8.40533237348018&lt;/D&gt;&lt;/FQL&gt;&lt;FQL&gt;&lt;Q&gt;APA^FREF_MARKET_VALUE_COMPANY(43207,,,,,0)&lt;/Q&gt;&lt;R&gt;1&lt;/R&gt;&lt;C&gt;1&lt;/C&gt;&lt;D xsi:type="xsd:double"&gt;15801.77799812774&lt;/D&gt;&lt;/FQL&gt;&lt;FQL&gt;&lt;Q&gt;APA^FF_CASH_ONLY(QTR,0)&lt;/Q&gt;&lt;R&gt;1&lt;/R&gt;&lt;C&gt;1&lt;/C&gt;&lt;D xsi:type="xsd:double"&gt;1668&lt;/D&gt;&lt;/FQL&gt;&lt;FQL&gt;&lt;Q&gt;CRZO^FF_DEBT(QTR,0)&lt;/Q&gt;&lt;R&gt;1&lt;/R&gt;&lt;C&gt;1&lt;/C&gt;&lt;D xsi:type="xsd:double"&gt;1629.209&lt;/D&gt;&lt;/FQL&gt;&lt;FQL&gt;&lt;Q&gt;CXO^OS_SEC_SI_PCTFLT(0D)&lt;/Q&gt;&lt;R&gt;1&lt;/R&gt;&lt;C&gt;1&lt;/C&gt;&lt;D xsi:type="xsd:double"&gt;3.5213678927919179&lt;/D&gt;&lt;/FQL&gt;&lt;FQL&gt;&lt;Q&gt;CXO^FREF_MARKET_VALUE_COMPANY(43207,,,,,0)&lt;/Q&gt;&lt;R&gt;1&lt;/R&gt;&lt;C&gt;1&lt;/C&gt;&lt;D xsi:type="xsd:double"&gt;22877.926420832518&lt;/D&gt;&lt;/FQL&gt;&lt;FQL&gt;&lt;Q&gt;CXO^FF_CASH_ONLY(QTR,0)&lt;/Q&gt;&lt;R&gt;1&lt;/R&gt;&lt;C&gt;1&lt;/C&gt;&lt;D xsi:type="xsd:double"&gt;0&lt;/D&gt;&lt;/FQL&gt;&lt;FQL&gt;&lt;Q&gt;AXAS^FF_DEBT(QTR,0)&lt;/Q&gt;&lt;R&gt;1&lt;/R&gt;&lt;C&gt;1&lt;/C&gt;&lt;D xsi:type="xsd:double"&gt;87.616&lt;/D&gt;&lt;/FQL&gt;&lt;FQL&gt;&lt;Q&gt;CDEV^OS_SEC_SI_PCTFLT(0D)&lt;/Q&gt;&lt;R&gt;1&lt;/R&gt;&lt;C&gt;1&lt;/C&gt;&lt;D xsi:type="xsd:double"&gt;7.8099715099575846&lt;/D&gt;&lt;/FQL&gt;&lt;FQL&gt;&lt;Q&gt;CDEV^FREF_MARKET_VALUE_COMPANY(43207,,,,,0)&lt;/Q&gt;&lt;R&gt;1&lt;/R&gt;&lt;C&gt;1&lt;/C&gt;&lt;D xsi:type="xsd:double"&gt;4622.051378535456&lt;/D&gt;&lt;/FQL&gt;&lt;FQL&gt;&lt;Q&gt;CDEV^FF_CASH_ONLY(QTR,0)&lt;/Q&gt;&lt;R&gt;1&lt;/R&gt;&lt;C&gt;1&lt;/C&gt;&lt;D xsi:type="xsd:double"&gt;117.315&lt;/D&gt;&lt;/FQL&gt;&lt;FQL&gt;&lt;Q&gt;NBL^FF_DEBT(QTR,0)&lt;/Q&gt;&lt;R&gt;1&lt;/R&gt;&lt;C&gt;1&lt;/C&gt;&lt;D xsi:type="xsd:double"&gt;6807&lt;/D&gt;&lt;/FQL&gt;&lt;FQL&gt;&lt;Q&gt;OAS^OS_SEC_SI_PCTFLT(0D)&lt;/Q&gt;&lt;R&gt;1&lt;/R&gt;&lt;C&gt;1&lt;/C&gt;&lt;D xsi:type="xsd:double"&gt;14.34493994092175&lt;/D&gt;&lt;/FQL&gt;&lt;FQL&gt;&lt;Q&gt;OAS^FREF_MARKET_VALUE_COMPANY(43207,,,,,0)&lt;/Q&gt;&lt;R&gt;1&lt;/R&gt;&lt;C&gt;1&lt;/C&gt;&lt;D xsi:type="xsd:double"&gt;2926.0870055214332&lt;/D&gt;&lt;/FQL&gt;&lt;FQL&gt;&lt;Q&gt;OAS^FF_CASH_ONLY(QTR,0)&lt;/Q&gt;&lt;R&gt;1&lt;/R&gt;&lt;C&gt;1&lt;/C&gt;&lt;D xsi:type="xsd:double"&gt;16.72&lt;/D&gt;&lt;/FQL&gt;&lt;FQL&gt;&lt;Q&gt;PE^FF_DEBT(QTR,0)&lt;/Q&gt;&lt;R&gt;1&lt;/R&gt;&lt;C&gt;1&lt;/C&gt;&lt;D xsi:type="xsd:double"&gt;2181.877&lt;/D&gt;&lt;/FQL&gt;&lt;FQL&gt;&lt;Q&gt;PXD^OS_SEC_SI_PCTFLT(0D)&lt;/Q&gt;&lt;R&gt;1&lt;/R&gt;&lt;C&gt;1&lt;/C&gt;&lt;D xsi:type="xsd:double"&gt;2.276410424664848&lt;/D&gt;&lt;/FQL&gt;&lt;FQL&gt;&lt;Q&gt;PXD^FREF_MARKET_VALUE_COMPANY(43207,,,,,0)&lt;/Q&gt;&lt;R&gt;1&lt;/R&gt;&lt;C&gt;1&lt;/C&gt;&lt;D xsi:type="xsd:double"&gt;32942.597767434083&lt;/D&gt;&lt;/FQL&gt;&lt;FQL&gt;&lt;Q&gt;PXD^FF_CASH_ONLY(QTR,0)&lt;/Q&gt;&lt;R&gt;1&lt;/R&gt;&lt;C&gt;1&lt;/C&gt;&lt;D xsi:type="xsd:double"&gt;846&lt;/D&gt;&lt;/FQL&gt;&lt;FQL&gt;&lt;Q&gt;ECA^FF_DEBT(QTR,0)&lt;/Q&gt;&lt;R&gt;1&lt;/R&gt;&lt;C&gt;1&lt;/C&gt;&lt;D xsi:type="xsd:double"&gt;5836&lt;/D&gt;&lt;/FQL&gt;&lt;FQL&gt;&lt;Q&gt;EGN^OS_SEC_SI_PCTFLT(0D)&lt;/Q&gt;&lt;R&gt;1&lt;/R&gt;&lt;C&gt;1&lt;/C&gt;&lt;D xsi:type="xsd:double"&gt;2.4570148390295321&lt;/D&gt;&lt;/FQL&gt;&lt;FQL&gt;&lt;Q&gt;EGN^FREF_MARKET_VALUE_COMPANY(43207,,,,,0)&lt;/Q&gt;&lt;R&gt;1&lt;/R&gt;&lt;C&gt;1&lt;/C&gt;&lt;D xsi:type="xsd:double"&gt;6378.06731484161&lt;/D&gt;&lt;/FQL&gt;&lt;FQL&gt;&lt;Q&gt;EGN^FF_CASH_ONLY(QTR,0)&lt;/Q&gt;&lt;R&gt;1&lt;/R&gt;&lt;C&gt;1&lt;/C&gt;&lt;D xsi:type="xsd:double"&gt;0.439&lt;/D&gt;&lt;/FQL&gt;&lt;FQL&gt;&lt;Q&gt;CPE^FF_DEBT(QTR,0)&lt;/Q&gt;&lt;R&gt;1&lt;/R&gt;&lt;C&gt;1&lt;/C&gt;&lt;D xsi:type="xsd:double"&gt;620.196&lt;/D&gt;&lt;/FQL&gt;&lt;FQL&gt;&lt;Q&gt;CRZO^OS_SEC_SI_PCTFLT(0D)&lt;/Q&gt;&lt;R&gt;1&lt;/R&gt;&lt;C&gt;1&lt;/C&gt;&lt;D xsi:type="xsd:double"&gt;20.459131029332092&lt;/D&gt;&lt;/FQL&gt;&lt;FQL&gt;&lt;Q&gt;CRZO^FREF_MARKET_VALUE_COMPANY(43207,,,,,0)&lt;/Q&gt;&lt;R&gt;1&lt;/R&gt;&lt;C&gt;1&lt;/C&gt;&lt;D xsi:type="xsd:double"&gt;1405.619206953736&lt;/D&gt;&lt;/FQL&gt;&lt;FQL&gt;&lt;Q&gt;CRZO^FF_CASH_ONLY(QTR,0)&lt;/Q&gt;&lt;R&gt;1&lt;/R&gt;&lt;C&gt;1&lt;/C&gt;&lt;D xsi:type="xsd:double"&gt;9.54&lt;/D&gt;&lt;/FQL&gt;&lt;FQL&gt;&lt;Q&gt;PDCE^FF_DEBT(QTR,0)&lt;/Q&gt;&lt;R&gt;1&lt;/R&gt;&lt;C&gt;1&lt;/C&gt;&lt;D xsi:type="xsd:double"&gt;1156.365&lt;/D&gt;&lt;/FQL&gt;&lt;FQL&gt;&lt;Q&gt;PE^OS_SEC_SI_PCTFLT(0D)&lt;/Q&gt;&lt;R&gt;1&lt;/R&gt;&lt;C&gt;1&lt;/C&gt;&lt;D xsi:type="xsd:double"&gt;8.14949630566059&lt;/D&gt;&lt;/FQL&gt;&lt;FQL&gt;&lt;Q&gt;PE^FREF_MARKET_VALUE_COMPANY(43207,,,,,0)&lt;/Q&gt;&lt;R&gt;1&lt;/R&gt;&lt;C&gt;1&lt;/C&gt;&lt;D xsi:type="xsd:double"&gt;7950.7026600744584&lt;/D&gt;&lt;/FQL&gt;&lt;FQL&gt;&lt;Q&gt;PE^FF_CASH_ONLY(QTR,0)&lt;/Q&gt;&lt;R&gt;1&lt;/R&gt;&lt;C&gt;1&lt;/C&gt;&lt;D xsi:type="xsd:double"&gt;554.189&lt;/D&gt;&lt;/FQL&gt;&lt;FQL&gt;&lt;Q&gt;ROSE^FF_DEBT(QTR,0)&lt;/Q&gt;&lt;R&gt;1&lt;/R&gt;&lt;C&gt;1&lt;/C&gt;&lt;D xsi:type="xsd:double"&gt;93.199&lt;/D&gt;&lt;/FQL&gt;&lt;FQL&gt;&lt;Q&gt;RSPP^OS_SEC_SI_PCTFLT(0D)&lt;/Q&gt;&lt;R&gt;1&lt;/R&gt;&lt;C&gt;1&lt;/C&gt;&lt;D xsi:type="xsd:double"&gt;4.8189085065199508&lt;/D&gt;&lt;/FQL&gt;&lt;FQL&gt;&lt;Q&gt;RSPP^FREF_MARKET_VALUE_COMPANY(43207,,,,,0)&lt;/Q&gt;&lt;R&gt;1&lt;/R&gt;&lt;C&gt;1&lt;/C&gt;&lt;D xsi:type="xsd:double"&gt;7634.8150697790552&lt;/D&gt;&lt;/FQL&gt;&lt;FQL&gt;&lt;Q&gt;RSPP^FF_CASH_ONLY(QTR,0)&lt;/Q&gt;&lt;R&gt;1&lt;/R&gt;&lt;C&gt;1&lt;/C&gt;&lt;D xsi:type="xsd:double"&gt;38.102&lt;/D&gt;&lt;/FQL&gt;&lt;FQL&gt;&lt;Q&gt;COP^FF_DEBT(QTR,0)&lt;/Q&gt;&lt;R&gt;1&lt;/R&gt;&lt;C&gt;1&lt;/C&gt;&lt;D xsi:type="xsd:double"&gt;19703&lt;/D&gt;&lt;/FQL&gt;&lt;FQL&gt;&lt;Q&gt;CPE^OS_SEC_SI_PCTFLT(0D)&lt;/Q&gt;&lt;R&gt;1&lt;/R&gt;&lt;C&gt;1&lt;/C&gt;&lt;D xsi:type="xsd:double"&gt;20.25574817462385&lt;/D&gt;&lt;/FQL&gt;&lt;FQL&gt;&lt;Q&gt;CPE^FREF_MARKET_VALUE_COMPANY(43207,,,,,0)&lt;/Q&gt;&lt;R&gt;1&lt;/R&gt;&lt;C&gt;1&lt;/C&gt;&lt;D xsi:type="xsd:double"&gt;2736.39541205368&lt;/D&gt;&lt;/FQL&gt;&lt;FQL&gt;&lt;Q&gt;CPE^FF_CASH_ONLY(QTR,0)&lt;/Q&gt;&lt;R&gt;1&lt;/R&gt;&lt;C&gt;1&lt;/C&gt;&lt;D xsi:type="xsd:double"&gt;27.995&lt;/D&gt;&lt;/FQL&gt;&lt;FQL&gt;&lt;Q&gt;ESTE^FF_DEBT(QTR,0)&lt;/Q&gt;&lt;R&gt;1&lt;/R&gt;&lt;C&gt;1&lt;/C&gt;&lt;D xsi:type="xsd:double"&gt;25&lt;/D&gt;&lt;/FQL&gt;&lt;FQL&gt;&lt;Q&gt;FANG^OS_SEC_SI_PCTFLT(0D)&lt;/Q&gt;&lt;R&gt;1&lt;/R&gt;&lt;C&gt;1&lt;/C&gt;&lt;D xsi:type="xsd:double"&gt;5.0191981490579458&lt;/D&gt;&lt;/FQL&gt;&lt;FQL&gt;&lt;Q&gt;FANG^FREF_MARKET_VALUE_COMPANY(43207,,,,,0)&lt;/Q&gt;&lt;R&gt;1&lt;/R&gt;&lt;C&gt;1&lt;/C&gt;&lt;D xsi:type="xsd:double"&gt;12005.82437718811&lt;/D&gt;&lt;/FQL&gt;&lt;FQL&gt;&lt;Q&gt;FANG^FF_CASH_ONLY(QTR,0)&lt;/Q&gt;&lt;R&gt;1&lt;/R&gt;&lt;C&gt;1&lt;/C&gt;&lt;D xsi:type="xsd:double"&gt;112.446&lt;/D&gt;&lt;/FQL&gt;&lt;FQL&gt;&lt;Q&gt;EPE^FF_DEBT(QTR,0)&lt;/Q&gt;&lt;R&gt;1&lt;/R&gt;&lt;C&gt;1&lt;/C&gt;&lt;D xsi:type="xsd:double"&gt;4043&lt;/D&gt;&lt;/FQL&gt;&lt;FQL&gt;&lt;Q&gt;ESTE^OS_SEC_SI_PCTFLT(0D)&lt;/Q&gt;&lt;R&gt;1&lt;/R&gt;&lt;C&gt;1&lt;/C&gt;&lt;D xsi:type="xsd:double"&gt;3.481439684898751&lt;/D&gt;&lt;/FQL&gt;&lt;FQL&gt;&lt;Q&gt;ESTE^FREF_MARKET_VALUE_COMPANY(43207,,,,,0)&lt;/Q&gt;&lt;R&gt;1&lt;/R&gt;&lt;C&gt;1&lt;/C&gt;&lt;D xsi:type="xsd:double"&gt;294.15252650711051&lt;/D&gt;&lt;/FQL&gt;&lt;FQL&gt;&lt;Q&gt;ESTE^FF_CASH_ONLY(QTR,0)&lt;/Q&gt;&lt;R&gt;1&lt;/R&gt;&lt;C&gt;1&lt;/C&gt;&lt;D xsi:type="xsd:double"&gt;22.955&lt;/D&gt;&lt;/FQL&gt;&lt;FQL&gt;&lt;Q&gt;HK^FF_DEBT(QTR,0)&lt;/Q&gt;&lt;R&gt;1&lt;/R&gt;&lt;C&gt;1&lt;/C&gt;&lt;D xsi:type="xsd:double"&gt;409.168&lt;/D&gt;&lt;/FQL&gt;&lt;FQL&gt;&lt;Q&gt;JAG^OS_SEC_SI_PCTFLT(0D)&lt;/Q&gt;&lt;R&gt;1&lt;/R&gt;&lt;C&gt;1&lt;/C&gt;&lt;D xsi:type="xsd:double"&gt;15.314208272258989&lt;/D&gt;&lt;/FQL&gt;&lt;FQL&gt;&lt;Q&gt;JAG^FREF_MARKET_VALUE_COMPANY(43207,,,,,0)&lt;/Q&gt;&lt;R&gt;1&lt;/R&gt;&lt;C&gt;1&lt;/C&gt;&lt;D xsi:type="xsd:double"&gt;3064.1779440476239&lt;/D&gt;&lt;/FQL&gt;&lt;FQL&gt;&lt;Q&gt;JAG^FF_CASH_ONLY(QTR,0)&lt;/Q&gt;&lt;R&gt;1&lt;/R&gt;&lt;C&gt;1&lt;/C&gt;&lt;D xsi:type="xsd:double"&gt;9.523&lt;/D&gt;&lt;/FQL&gt;&lt;FQL&gt;&lt;Q&gt;SM^FF_DEBT(QTR,0)&lt;/Q&gt;&lt;R&gt;1&lt;/R&gt;&lt;C&gt;1&lt;/C&gt;&lt;D xsi:type="xsd:double"&gt;2908.77&lt;/D&gt;&lt;/FQL&gt;&lt;FQL&gt;&lt;Q&gt;USEG^OS_SEC_SI_PCTFLT(0D)&lt;/Q&gt;&lt;R&gt;1&lt;/R&gt;&lt;C&gt;1&lt;/C&gt;&lt;D xsi:type="xsd:double"&gt;757.15347896560445&lt;/D&gt;&lt;/FQL&gt;&lt;FQL&gt;&lt;Q&gt;USEG^FREF_MARKET_VALUE_COMPANY(43207,,,,,0)&lt;/Q&gt;&lt;R&gt;1&lt;/R&gt;&lt;C&gt;1&lt;/C&gt;&lt;D xsi:type="xsd:double"&gt;14.18273980463505&lt;/D&gt;&lt;/FQL&gt;&lt;FQL&gt;&lt;Q&gt;USEG^FF_CASH_ONLY(QTR,0)&lt;/Q&gt;&lt;R&gt;1&lt;/R&gt;&lt;C&gt;1&lt;/C&gt;&lt;D xsi:type="xsd:double"&gt;3.277&lt;/D&gt;&lt;/FQL&gt;&lt;FQL&gt;&lt;Q&gt;AREX^FF_DEBT(QTR,0)&lt;/Q&gt;&lt;R&gt;1&lt;/R&gt;&lt;C&gt;1&lt;/C&gt;&lt;D xsi:type="xsd:double"&gt;373.46&lt;/D&gt;&lt;/FQL&gt;&lt;FQL&gt;&lt;Q&gt;AXAS^OS_SEC_SI_PCTFLT(0D)&lt;/Q&gt;&lt;R&gt;1&lt;/R&gt;&lt;C&gt;1&lt;/C&gt;&lt;D xsi:type="xsd:double"&gt;2.356866661681754&lt;/D&gt;&lt;/FQL&gt;&lt;FQL&gt;&lt;Q&gt;AXAS^FREF_MARKET_VALUE_COMPANY(43207,,,,,0)&lt;/Q&gt;&lt;R&gt;1&lt;/R&gt;&lt;C&gt;1&lt;/C&gt;&lt;D xsi:type="xsd:double"&gt;462.86655357734708&lt;/D&gt;&lt;/FQL&gt;&lt;FQL&gt;&lt;Q&gt;AXAS^FF_CASH_ONLY(QTR,0)&lt;/Q&gt;&lt;R&gt;1&lt;/R&gt;&lt;C&gt;1&lt;/C&gt;&lt;D xsi:type="xsd:double"&gt;1.618&lt;/D&gt;&lt;/FQL&gt;&lt;FQL&gt;&lt;Q&gt;CDEV^FF_DEBT(QTR,0)&lt;/Q&gt;&lt;R&gt;1&lt;/R&gt;&lt;C&gt;1&lt;/C&gt;&lt;D xsi:type="xsd:double"&gt;390.764&lt;/D&gt;&lt;/FQL&gt;&lt;FQL&gt;&lt;Q&gt;COP^OS_SEC_SI_PCTFLT(0D)&lt;/Q&gt;&lt;R&gt;1&lt;/R&gt;&lt;C&gt;1&lt;/C&gt;&lt;D xsi:type="xsd:double"&gt;2.0378870955162749&lt;/D&gt;&lt;/FQL&gt;&lt;FQL&gt;&lt;Q&gt;COP^FREF_MARKET_VALUE_COMPANY(43207,,,,,0)&lt;/Q&gt;&lt;R&gt;1&lt;/R&gt;&lt;C&gt;1&lt;/C&gt;&lt;D xsi:type="xsd:double"&gt;77892.19200132601&lt;/D&gt;&lt;/FQL&gt;&lt;FQL&gt;&lt;Q&gt;COP^FF_CASH_ONLY(QTR,0)&lt;/Q&gt;&lt;R&gt;1&lt;/R&gt;&lt;C&gt;1&lt;/C&gt;&lt;D xsi:type="xsd:double"&gt;1321&lt;/D&gt;&lt;/FQL&gt;&lt;FQL&gt;&lt;Q&gt;LPI^FF_DEBT(QTR,0)&lt;/Q&gt;&lt;R&gt;1&lt;/R&gt;&lt;C&gt;1&lt;/C&gt;&lt;D xsi:type="xsd:double"&gt;791.855&lt;/D&gt;&lt;/FQL&gt;&lt;FQL&gt;&lt;Q&gt;MRO^OS_SEC_SI_PCTFLT(0D)&lt;/Q&gt;&lt;R&gt;1&lt;/R&gt;&lt;C&gt;1&lt;/C&gt;&lt;D xsi:type="xsd:double"&gt;1.7889078576594091&lt;/D&gt;&lt;/FQL&gt;&lt;FQL&gt;&lt;Q&gt;MRO^FREF_MARKET_VALUE_COMPANY(43207,,,,,0)&lt;/Q&gt;&lt;R&gt;1&lt;/R&gt;&lt;C&gt;1&lt;/C&gt;&lt;D xsi:type="xsd:double"&gt;15486.57801313209&lt;/D&gt;&lt;/FQL&gt;&lt;FQL&gt;&lt;Q&gt;MRO^FF_CASH_ONLY(QTR,0)&lt;/Q&gt;&lt;R&gt;1&lt;/R&gt;&lt;C&gt;1&lt;/C&gt;&lt;D xsi:type="xsd:double"&gt;563&lt;/D&gt;&lt;/FQL&gt;&lt;FQL&gt;&lt;Q&gt;REN^FF_DEBT(QTR,0)&lt;/Q&gt;&lt;R&gt;1&lt;/R&gt;&lt;C&gt;1&lt;/C&gt;&lt;D xsi:type="xsd:double"&gt;550.727&lt;/D&gt;&lt;/FQL&gt;&lt;FQL&gt;&lt;Q&gt;ROSE^OS_SEC_SI_PCTFLT(0D)&lt;/Q&gt;&lt;R&gt;1&lt;/R&gt;&lt;C&gt;1&lt;/C&gt;&lt;D xsi:type="xsd:double"&gt;9.64557693843942&lt;/D&gt;&lt;/FQL&gt;&lt;FQL&gt;&lt;Q&gt;ROSE^FREF_MARKET_VALUE_COMPANY(43207,,,,,0)&lt;/Q&gt;&lt;R&gt;1&lt;/R&gt;&lt;C&gt;1&lt;/C&gt;&lt;D xsi:type="xsd:double"&gt;41.966082658691448&lt;/D&gt;&lt;/FQL&gt;&lt;FQL&gt;&lt;Q&gt;ROSE^FF_CASH_ONLY(QTR,0)&lt;/Q&gt;&lt;R&gt;1&lt;/R&gt;&lt;C&gt;1&lt;/C&gt;&lt;D xsi:type="xsd:double"&gt;24.682&lt;/D&gt;&lt;/FQL&gt;&lt;FQL&gt;&lt;Q&gt;FANG^FF_OG_RSRV_PROVED_DEV_NET(ANN_R_NGL_BOE,0)&lt;/Q&gt;&lt;R&gt;1&lt;/R&gt;&lt;C&gt;1&lt;/C&gt;&lt;D xsi:type="xsd:double"&gt;35.412&lt;/D&gt;&lt;/FQL&gt;&lt;FQL&gt;&lt;Q&gt;HK^FF_OG_RSRV_PROVED_DEV_NET(ANN_R_OIL_BOE,0)&lt;/Q&gt;&lt;R&gt;1&lt;/R&gt;&lt;C&gt;1&lt;/C&gt;&lt;D xsi:type="xsd:double"&gt;10.15&lt;/D&gt;&lt;/FQL&gt;&lt;FQL&gt;&lt;Q&gt;HK^FF_OG_RSRV_PROVED_DEV_NET(ANN_R_NG_CFE,0)&lt;/Q&gt;&lt;R&gt;1&lt;/R&gt;&lt;C&gt;1&lt;/C&gt;&lt;D xsi:type="xsd:double"&gt;16303&lt;/D&gt;&lt;/FQL&gt;&lt;FQL&gt;&lt;Q&gt;APA^FF_OG_RSRV_PROVED_DEV_NET(ANN_R_NGL_BOE,0)&lt;/Q&gt;&lt;R&gt;1&lt;/R&gt;&lt;C&gt;1&lt;/C&gt;&lt;D xsi:type="xsd:double"&gt;173.715&lt;/D&gt;&lt;/FQL&gt;&lt;FQL&gt;&lt;Q&gt;AREX^FF_OG_RSRV_PROVED_DEV_NET(ANN_R_OIL_BOE,0)&lt;/Q&gt;&lt;R&gt;1&lt;/R&gt;&lt;C&gt;1&lt;/C&gt;&lt;D xsi:type="xsd:double"&gt;13.853&lt;/D&gt;&lt;/FQL&gt;&lt;FQL&gt;&lt;Q&gt;AREX^FF_OG_RSRV_PROVED_DEV_NET(ANN_R_NG_CFE,0)&lt;/Q&gt;&lt;R&gt;1&lt;/R&gt;&lt;C&gt;1&lt;/C&gt;&lt;D xsi:type="xsd:double"&gt;176201&lt;/D&gt;&lt;/FQL&gt;&lt;FQL&gt;&lt;Q&gt;RSPP^FF_OG_RSRV_PROVED_DEV_NET(ANN_R_NGL_BOE,0)&lt;/Q&gt;&lt;R&gt;1&lt;/R&gt;&lt;C&gt;1&lt;/C&gt;&lt;D xsi:type="xsd:double"&gt;30.162&lt;/D&gt;&lt;/FQL&gt;&lt;FQL&gt;&lt;Q&gt;SM^FF_OG_RSRV_PROVED_DEV_NET(ANN_R_OIL_BOE,0)&lt;/Q&gt;&lt;R&gt;1&lt;/R&gt;&lt;C&gt;1&lt;/C&gt;&lt;D xsi:type="xsd:double"&gt;58.6&lt;/D&gt;&lt;/FQL&gt;&lt;FQL&gt;&lt;Q&gt;SM^FF_OG_RSRV_PROVED_DEV_NET(ANN_R_NG_CFE,0)&lt;/Q&gt;&lt;R&gt;1&lt;/R&gt;&lt;C&gt;1&lt;/C&gt;&lt;D xsi:type="xsd:double"&gt;642900&lt;/D&gt;&lt;/FQL&gt;&lt;FQL&gt;&lt;Q&gt;PXD^FF_OG_RSRV_PROVED_DEV_NET(ANN_R_NGL_BOE,0)&lt;/Q&gt;&lt;R&gt;1&lt;/R&gt;&lt;C&gt;1&lt;/C&gt;&lt;D xsi:type="xsd:double"&gt;189.434&lt;/D&gt;&lt;/FQL&gt;&lt;FQL&gt;&lt;Q&gt;QEP^FF_OG_RSRV_PROVED_DEV_NET(ANN_R_OIL_BOE,0)&lt;/Q&gt;&lt;R&gt;1&lt;/R&gt;&lt;C&gt;1&lt;/C&gt;&lt;D xsi:type="xsd:double"&gt;116&lt;/D&gt;&lt;/FQL&gt;&lt;FQL&gt;&lt;Q&gt;QEP^FF_OG_RSRV_PROVED_DEV_NET(ANN_R_NG_CFE,0)&lt;/Q&gt;&lt;R&gt;1&lt;/R&gt;&lt;C&gt;1&lt;/C&gt;&lt;D xsi:type="xsd:double"&gt;655500&lt;/D&gt;&lt;/FQL&gt;&lt;FQL&gt;&lt;Q&gt;MTDR^FF_OG_RSRV_PROVED_DEV_NET(ANN_R_NGL_BOE,0)&lt;/Q&gt;&lt;R&gt;0&lt;/R&gt;&lt;C&gt;0&lt;/C&gt;&lt;/FQL&gt;&lt;FQL&gt;&lt;Q&gt;NBL^FF_OG_RSRV_PROVED_DEV_NET(ANN_R_OIL_BOE,0)&lt;/Q&gt;&lt;R&gt;1&lt;/R&gt;&lt;C&gt;1&lt;/C&gt;&lt;D xsi:type="xsd:double"&gt;208&lt;/D&gt;&lt;/FQL&gt;&lt;FQL&gt;&lt;Q&gt;NBL^FF_OG_RSRV_PROVED_DEV_NET(ANN_R_NG_CFE,0)&lt;/Q&gt;&lt;R&gt;1&lt;/R&gt;&lt;C&gt;1&lt;/C&gt;&lt;D xsi:type="xsd:double"&gt;3187000&lt;/D&gt;&lt;/FQL&gt;&lt;FQL&gt;&lt;Q&gt;WPX^FF_OG_RSRV_PROVED_DEV_NET(ANN_R_NGL_BOE,0)&lt;/Q&gt;&lt;R&gt;1&lt;/R&gt;&lt;C&gt;1&lt;/C&gt;&lt;D xsi:type="xsd:double"&gt;38.813&lt;/D&gt;&lt;/FQL&gt;&lt;FQL&gt;&lt;Q&gt;XEC^FF_OG_RSRV_PROVED_DEV_NET(ANN_R_OIL_BOE,0)&lt;/Q&gt;&lt;R&gt;1&lt;/R&gt;&lt;C&gt;1&lt;/C&gt;&lt;D xsi:type="xsd:double"&gt;114.116&lt;/D&gt;&lt;/FQL&gt;&lt;FQL&gt;&lt;Q&gt;XEC^FF_OG_RSRV_PROVED_DEV_NET(ANN_R_NG_CFE,0)&lt;/Q&gt;&lt;R&gt;1&lt;/R&gt;&lt;C&gt;1&lt;/C&gt;&lt;D xsi:type="xsd:double"&gt;1334510&lt;/D&gt;&lt;/FQL&gt;&lt;FQL&gt;&lt;Q&gt;QEP^FF_OG_RSRV_PROVED_DEV_NET(ANN_R_NGL_BOE,0)&lt;/Q&gt;&lt;R&gt;1&lt;/R&gt;&lt;C&gt;1&lt;/C&gt;&lt;D xsi:type="xsd:double"&gt;27.9&lt;/D&gt;&lt;/FQL&gt;&lt;FQL&gt;&lt;Q&gt;REN^FF_OG_RSRV_PROVED_DEV_NET(ANN_R_OIL_BOE,0)&lt;/Q&gt;&lt;R&gt;1&lt;/R&gt;&lt;C&gt;1&lt;/C&gt;&lt;D xsi:type="xsd:double"&gt;12.274&lt;/D&gt;&lt;/FQL&gt;&lt;FQL&gt;&lt;Q&gt;REN^FF_OG_RSRV_PROVED_DEV_NET(ANN_R_NG_CFE,0)&lt;/Q&gt;&lt;R&gt;1&lt;/R&gt;&lt;C&gt;1&lt;/C&gt;&lt;D xsi:type="xsd:double"&gt;46827&lt;/D&gt;&lt;/FQL&gt;&lt;FQL&gt;&lt;Q&gt;CXO^FF_OG_RSRV_PROVED_DEV_NET(ANN_R_NGL_BOE,0)&lt;/Q&gt;&lt;R&gt;0&lt;/R&gt;&lt;C&gt;0&lt;/C&gt;&lt;/FQL&gt;&lt;FQL&gt;&lt;Q&gt;DVN^FF_OG_RSRV_PROVED_DEV_NET(ANN_R_OIL_BOE,0)&lt;/Q&gt;&lt;R&gt;1&lt;/R&gt;&lt;C&gt;1&lt;/C&gt;&lt;D xsi:type="xsd:double"&gt;393&lt;/D&gt;&lt;/FQL&gt;&lt;FQL&gt;&lt;Q&gt;DVN^FF_OG_RSRV_PROVED_DEV_NET(ANN_R_NG_CFE,0)&lt;/Q&gt;&lt;R&gt;1&lt;/R&gt;&lt;C&gt;1&lt;/C&gt;&lt;D xsi:type="xsd:double"&gt;5632000&lt;/D&gt;&lt;/FQL&gt;&lt;FQL&gt;&lt;Q&gt;DVN^FF_OG_RSRV_PROVED_DEV_NET(ANN_R_NGL_BOE,0)&lt;/Q&gt;&lt;R&gt;1&lt;/R&gt;&lt;C&gt;1&lt;/C&gt;&lt;D xsi:type="xsd:double"&gt;410&lt;/D&gt;&lt;/FQL&gt;&lt;FQL&gt;&lt;Q&gt;ECA^FF_OG_RSRV_PROVED_DEV_NET(ANN_R_OIL_BOE,0)&lt;/Q&gt;&lt;R&gt;1&lt;/R&gt;&lt;C&gt;1&lt;/C&gt;&lt;D xsi:type="xsd:double"&gt;112.3&lt;/D&gt;&lt;/FQL&gt;&lt;FQL&gt;&lt;Q&gt;ECA^FF_OG_RSRV_PROVED_DEV_NET(ANN_R_NG_CFE,0)&lt;/Q&gt;&lt;R&gt;1&lt;/R&gt;&lt;C&gt;1&lt;/C&gt;&lt;D xsi:type="xsd:double"&gt;1677000&lt;/D&gt;&lt;/FQL&gt;&lt;FQL&gt;&lt;Q&gt;JAG^FF_OG_RSRV_PROVED_DEV_NET(ANN_R_NGL_BOE,0)&lt;/Q&gt;&lt;R&gt;1&lt;/R&gt;&lt;C&gt;1&lt;/C&gt;&lt;D xsi:type="xsd:double"&gt;4.166&lt;/D&gt;&lt;/FQL&gt;&lt;FQL&gt;&lt;Q&gt;LPI^FF_OG_RSRV_PROVED_DEV_NET(ANN_R_OIL_BOE,0)&lt;/Q&gt;&lt;R&gt;1&lt;/R&gt;&lt;C&gt;1&lt;/C&gt;&lt;D xsi:type="xsd:double"&gt;68.877&lt;/D&gt;&lt;/FQL&gt;&lt;FQL&gt;&lt;Q&gt;LPI^FF_OG_RSRV_PROVED_DEV_NET(ANN_R_NG_CFE,0)&lt;/Q&gt;&lt;R&gt;1&lt;/R&gt;&lt;C&gt;1&lt;/C&gt;&lt;D xsi:type="xsd:double"&gt;371946&lt;/D&gt;&lt;/FQL&gt;&lt;FQL&gt;&lt;Q&gt;OAS^FF_OG_RSRV_PROVED_DEV_NET(ANN_R_NGL_BOE,0)&lt;/Q&gt;&lt;R&gt;0&lt;/R&gt;&lt;C&gt;0&lt;/C&gt;&lt;/FQL&gt;&lt;FQL&gt;&lt;Q&gt;OXY^FF_OG_RSRV_PROVED_DEV_NET(ANN_R_OIL_BOE,0)&lt;/Q&gt;&lt;R&gt;1&lt;/R&gt;&lt;C&gt;1&lt;/C&gt;&lt;D xsi:type="xsd:double"&gt;1128&lt;/D&gt;&lt;/FQL&gt;&lt;FQL&gt;&lt;Q&gt;OXY^FF_OG_RSRV_PROVED_DEV_NET(ANN_R_NG_CFE,0)&lt;/Q&gt;&lt;R&gt;1&lt;/R&gt;&lt;C&gt;1&lt;/C&gt;&lt;D xsi:type="xsd:double"&gt;2924000&lt;/D&gt;&lt;/FQL&gt;&lt;FQL&gt;&lt;Q&gt;OXY^FF_OG_RSRV_PROVED_DEV_NET(ANN_R_NGL_BOE,0)&lt;/Q&gt;&lt;R&gt;1&lt;/R&gt;&lt;C&gt;1&lt;/C&gt;&lt;D xsi:type="xsd:double"&gt;314&lt;/D&gt;&lt;/FQL&gt;&lt;FQL&gt;&lt;Q&gt;PDCE^FF_OG_RSRV_PROVED_DEV_NET(ANN_R_OIL_BOE,0)&lt;/Q&gt;&lt;R&gt;1&lt;/R&gt;&lt;C&gt;1&lt;/C&gt;&lt;D xsi:type="xsd:double"&gt;46.862&lt;/D&gt;&lt;/FQL&gt;&lt;FQL&gt;&lt;Q&gt;PDCE^FF_OG_RSRV_PROVED_DEV_NET(ANN_R_NG_CFE,0)&lt;/Q&gt;&lt;R&gt;1&lt;/R&gt;&lt;C&gt;1&lt;/C&gt;&lt;D xsi:type="xsd:double"&gt;365332&lt;/D&gt;&lt;/FQL&gt;&lt;FQL&gt;&lt;Q&gt;MRO^FF_OG_RSRV_PROVED_DEV_NET(ANN_R_NGL_BOE,0)&lt;/Q&gt;&lt;R&gt;1&lt;/R&gt;&lt;C&gt;1&lt;/C&gt;&lt;D xsi:type="xsd:double"&gt;143&lt;/D&gt;&lt;/FQL&gt;&lt;FQL&gt;&lt;Q&gt;MTDR^FF_OG_RSRV_PROVED_DEV_NET(ANN_R_OIL_BOE,0)&lt;/Q&gt;&lt;R&gt;1&lt;/R&gt;&lt;C&gt;1&lt;/C&gt;&lt;D xsi:type="xsd:double"&gt;36.966&lt;/D&gt;&lt;/FQL&gt;&lt;FQL&gt;&lt;Q&gt;MTDR^FF_OG_RSRV_PROVED_DEV_NET(ANN_R_NG_CFE,0)&lt;/Q&gt;&lt;R&gt;1&lt;/R&gt;&lt;C&gt;1&lt;/C&gt;&lt;D xsi:type="xsd:double"&gt;190109&lt;/D&gt;&lt;/FQL&gt;&lt;FQL&gt;&lt;Q&gt;EOG^FF_OG_RSRV_PROVED_DEV_NET(ANN_R_NGL_BOE,0)&lt;/Q&gt;&lt;R&gt;1&lt;/R&gt;&lt;C&gt;1&lt;/C&gt;&lt;D xsi:type="xsd:double"&gt;286.872&lt;/D&gt;&lt;/FQL&gt;&lt;FQL&gt;&lt;Q&gt;EPE^FF_OG_RSRV_PROVED_DEV_NET(ANN_R_OIL_BOE,0)&lt;/Q&gt;&lt;R&gt;1&lt;/R&gt;&lt;C&gt;1&lt;/C&gt;&lt;D xsi:type="xsd:double"&gt;114.282&lt;/D&gt;&lt;/FQL&gt;&lt;FQL&gt;&lt;Q&gt;EPE^FF_OG_RSRV_PROVED_DEV_NET(ANN_R_NG_CFE,0)&lt;/Q&gt;&lt;R&gt;1&lt;/R&gt;&lt;C&gt;1&lt;/C&gt;&lt;D xsi:type="xsd:double"&gt;372000&lt;/D&gt;&lt;/FQL&gt;&lt;FQL&gt;&lt;Q&gt;EGN^FF_OG_RSRV_PROVED_DEV_NET(ANN_R_NGL_BOE,0)&lt;/Q&gt;&lt;R&gt;1&lt;/R&gt;&lt;C&gt;1&lt;/C&gt;&lt;D xsi:type="xsd:double"&gt;52.882&lt;/D&gt;&lt;/FQL&gt;&lt;FQL&gt;&lt;Q&gt;EOG^FF_OG_RSRV_PROVED_DEV_NET(ANN_R_OIL_BOE,0)&lt;/Q&gt;&lt;R&gt;1&lt;/R&gt;&lt;C&gt;1&lt;/C&gt;&lt;D xsi:type="xsd:double"&gt;614.236&lt;/D&gt;&lt;/FQL&gt;&lt;FQL&gt;&lt;Q&gt;EOG^FF_OG_RSRV_PROVED_DEV_NET(ANN_R_NG_CFE,0)&lt;/Q&gt;&lt;R&gt;1&lt;/R&gt;&lt;C&gt;1&lt;/C&gt;&lt;D xsi:type="xsd:double"&gt;2779300&lt;/D&gt;&lt;/FQL&gt;&lt;FQL&gt;&lt;Q&gt;USEG^FF_OG_RSRV_PROVED_DEV_NET(ANN_R_NGL_BOE,0)&lt;/Q&gt;&lt;R&gt;0&lt;/R&gt;&lt;C&gt;0&lt;/C&gt;&lt;/FQL&gt;&lt;FQL&gt;&lt;Q&gt;WPX^FF_OG_RSRV_PROVED_DEV_NET(ANN_R_OIL_BOE,0)&lt;/Q&gt;&lt;R&gt;1&lt;/R&gt;&lt;C&gt;1&lt;/C&gt;&lt;D xsi:type="xsd:double"&gt;130.333&lt;/D&gt;&lt;/FQL&gt;&lt;FQL&gt;&lt;Q&gt;WPX^FF_OG_RSRV_PROVED_DEV_NET(ANN_R_NG_CFE,0)&lt;/Q&gt;&lt;R&gt;1&lt;/R&gt;&lt;C&gt;1&lt;/C&gt;&lt;D xsi:type="xsd:double"&gt;321231&lt;/D&gt;&lt;/FQL&gt;&lt;FQL&gt;&lt;Q&gt;XEC^FF_DEBT(QTR,0)&lt;/Q&gt;&lt;R&gt;1&lt;/R&gt;&lt;C&gt;1&lt;/C&gt;&lt;D xsi:type="xsd:double"&gt;1486.92&lt;/D&gt;&lt;/FQL&gt;&lt;FQL&gt;&lt;Q&gt;APA^FF_OG_RSRV_PROVED_DEV_NET(ANN_R_OIL_BOE,0)&lt;/Q&gt;&lt;R&gt;1&lt;/R&gt;&lt;C&gt;1&lt;/C&gt;&lt;D xsi:type="xsd:double"&gt;521.445&lt;/D&gt;&lt;/FQL&gt;&lt;FQL&gt;&lt;Q&gt;APA^FF_OG_RSRV_PROVED_DEV_NET(ANN_R_NG_CFE,0)&lt;/Q&gt;&lt;R&gt;1&lt;/R&gt;&lt;C&gt;1&lt;/C&gt;&lt;D xsi:type="xsd:double"&gt;1971018&lt;/D&gt;&lt;/FQL&gt;&lt;FQL&gt;&lt;Q&gt;CRZO^FF_OG_RSRV_PROVED_DEV_NET(ANN_R_NGL_BOE,0)&lt;/Q&gt;&lt;R&gt;1&lt;/R&gt;&lt;C&gt;1&lt;/C&gt;&lt;D xsi:type="xsd:double"&gt;17.447&lt;/D&gt;&lt;/FQL&gt;&lt;FQL&gt;&lt;Q&gt;CXO^FF_OG_RSRV_PROVED_DEV_NET(ANN_R_OIL_BOE,0)&lt;/Q&gt;&lt;R&gt;1&lt;/R&gt;&lt;C&gt;1&lt;/C&gt;&lt;D xsi:type="xsd:double"&gt;336&lt;/D&gt;&lt;/FQL&gt;&lt;FQL&gt;&lt;Q&gt;CXO^FF_OG_RSRV_PROVED_DEV_NET(ANN_R_NG_CFE,0)&lt;/Q&gt;&lt;R&gt;1&lt;/R&gt;&lt;C&gt;1&lt;/C&gt;&lt;D xsi:type="xsd:double"&gt;1512000&lt;/D&gt;&lt;/FQL&gt;&lt;FQL&gt;&lt;Q&gt;NBL^FF_OG_RSRV_PROVED_DEV_NET(ANN_R_NGL_BOE,0)&lt;/Q&gt;&lt;R&gt;1&lt;/R&gt;&lt;C&gt;1&lt;/C&gt;&lt;D xsi:type="xsd:double"&gt;130&lt;/D&gt;&lt;/FQL&gt;&lt;FQL&gt;&lt;Q&gt;OAS^FF_OG_RSRV_PROVED_DEV_NET(ANN_R_OIL_BOE,0)&lt;/Q&gt;&lt;R&gt;1&lt;/R&gt;&lt;C&gt;1&lt;/C&gt;&lt;D xsi:type="xsd:double"&gt;150.628&lt;/D&gt;&lt;/FQL&gt;&lt;FQL&gt;&lt;Q&gt;OAS^FF_OG_RSRV_PROVED_DEV_NET(ANN_R_NG_CFE,0)&lt;/Q&gt;&lt;R&gt;1&lt;/R&gt;&lt;C&gt;1&lt;/C&gt;&lt;D xsi:type="xsd:double"&gt;301101&lt;/D&gt;&lt;/FQL&gt;&lt;FQL&gt;&lt;Q&gt;PE^FF_OG_RSRV_PROVED_DEV_NET(ANN_R_NGL_BOE,0)&lt;/Q&gt;&lt;R&gt;1&lt;/R&gt;&lt;C&gt;1&lt;/C&gt;&lt;D xsi:type="xsd:double"&gt;49.751&lt;/D&gt;&lt;/FQL&gt;&lt;FQL&gt;&lt;Q&gt;PXD^FF_OG_RSRV_PROVED_DEV_NET(ANN_R_OIL_BOE,0)&lt;/Q&gt;&lt;R&gt;1&lt;/R&gt;&lt;C&gt;1&lt;/C&gt;&lt;D xsi:type="xsd:double"&gt;442.364&lt;/D&gt;&lt;/FQL&gt;&lt;FQL&gt;&lt;Q&gt;PXD^FF_OG_RSRV_PROVED_DEV_NET(ANN_R_NG_CFE,0)&lt;/Q&gt;&lt;R&gt;1&lt;/R&gt;&lt;C&gt;1&lt;/C&gt;&lt;D xsi:type="xsd:double"&gt;1629451&lt;/D&gt;&lt;/FQL&gt;&lt;FQL&gt;&lt;Q&gt;ECA^FF_OG_RSRV_PROVED_DEV_NET(ANN_R_NGL_BOE,0)&lt;/Q&gt;&lt;R&gt;1&lt;/R&gt;&lt;C&gt;1&lt;/C&gt;&lt;D xsi:type="xsd:double"&gt;86.4&lt;/D&gt;&lt;/FQL&gt;&lt;FQL&gt;&lt;Q&gt;EGN^FF_OG_RSRV_PROVED_DEV_NET(ANN_R_OIL_BOE,0)&lt;/Q&gt;&lt;R&gt;1&lt;/R&gt;&lt;C&gt;1&lt;/C&gt;&lt;D xsi:type="xsd:double"&gt;143.907&lt;/D&gt;&lt;/FQL&gt;&lt;FQL&gt;&lt;Q&gt;EGN^FF_OG_RSRV_PROVED_DEV_NET(ANN_R_NG_CFE,0)&lt;/Q&gt;&lt;R&gt;1&lt;/R&gt;&lt;C&gt;1&lt;/C&gt;&lt;D xsi:type="xsd:double"&gt;342616&lt;/D&gt;&lt;/FQL&gt;&lt;FQL&gt;&lt;Q&gt;CPE^FF_OG_RSRV_PROVED_DEV_NET(ANN_R_NGL_BOE,0)&lt;/Q&gt;&lt;R&gt;0&lt;/R&gt;&lt;C&gt;0&lt;/C&gt;&lt;/FQL&gt;&lt;FQL&gt;&lt;Q&gt;CRZO^FF_OG_RSRV_PROVED_DEV_NET(ANN_R_OIL_BOE,0)&lt;/Q&gt;&lt;R&gt;1&lt;/R&gt;&lt;C&gt;1&lt;/C&gt;&lt;D xsi:type="xsd:double"&gt;69.632&lt;/D&gt;&lt;/FQL&gt;&lt;FQL&gt;&lt;Q&gt;CRZO^FF_OG_RSRV_PROVED_DEV_NET(ANN_R_NG_CFE,0)&lt;/Q&gt;&lt;R&gt;1&lt;/R&gt;&lt;C&gt;1&lt;/C&gt;&lt;D xsi:type="xsd:double"&gt;131355&lt;/D&gt;&lt;/FQL&gt;&lt;FQL&gt;&lt;Q&gt;PDCE^FF_OG_RSRV_PROVED_DEV_NET(ANN_R_NGL_BOE,0)&lt;/Q&gt;&lt;R&gt;1&lt;/R&gt;&lt;C&gt;1&lt;/C&gt;&lt;D xsi:type="xsd:double"&gt;35.22&lt;/D&gt;&lt;/FQL&gt;&lt;FQL&gt;&lt;Q&gt;PE^FF_OG_RSRV_PROVED_DEV_NET(ANN_R_OIL_BOE,0)&lt;/Q&gt;&lt;R&gt;1&lt;/R&gt;&lt;C&gt;1&lt;/C&gt;&lt;D xsi:type="xsd:double"&gt;119.591&lt;/D&gt;&lt;/FQL&gt;&lt;FQL&gt;&lt;Q&gt;PE^FF_OG_RSRV_PROVED_DEV_NET(ANN_R_NG_CFE,0)&lt;/Q&gt;&lt;R&gt;1&lt;/R&gt;&lt;C&gt;1&lt;/C&gt;&lt;D xsi:type="xsd:double"&gt;240337&lt;/D&gt;&lt;/FQL&gt;&lt;FQL&gt;&lt;Q&gt;ROSE^FF_OG_RSRV_PROVED_DEV_NET(ANN_R_NGL_BOE,0)&lt;/Q&gt;&lt;R&gt;0&lt;/R&gt;&lt;C&gt;0&lt;/C&gt;&lt;/FQL&gt;&lt;FQL&gt;&lt;Q&gt;RSPP^FF_OG_RSRV_PROVED_DEV_NET(ANN_R_OIL_BOE,0)&lt;/Q&gt;&lt;R&gt;1&lt;/R&gt;&lt;C&gt;1&lt;/C&gt;&lt;D xsi:type="xsd:double"&gt;106.668&lt;/D&gt;&lt;/FQL&gt;&lt;FQL&gt;&lt;Q&gt;RSPP^FF_OG_RSRV_PROVED_DEV_NET(ANN_R_NG_CFE,0)&lt;/Q&gt;&lt;R&gt;1&lt;/R&gt;&lt;C&gt;1&lt;/C&gt;&lt;D xsi:type="xsd:double"&gt;133116&lt;/D&gt;&lt;/FQL&gt;&lt;FQL&gt;&lt;Q&gt;COP^FF_OG_RSRV_PROVED_DEV_NET(ANN_R_NGL_BOE,0)&lt;/Q&gt;&lt;R&gt;1&lt;/R&gt;&lt;C&gt;1&lt;/C&gt;&lt;D xsi:type="xsd:double"&gt;271&lt;/D&gt;&lt;/FQL&gt;&lt;FQL&gt;&lt;Q&gt;CPE^FF_OG_RSRV_PROVED_DEV_NET(ANN_R_OIL_BOE,0)&lt;/Q&gt;&lt;R&gt;1&lt;/R&gt;&lt;C&gt;1&lt;/C&gt;&lt;D xsi:type="xsd:double"&gt;51.92&lt;/D&gt;&lt;/FQL&gt;&lt;FQL&gt;&lt;Q&gt;CPE^FF_OG_RSRV_PROVED_DEV_NET(ANN_R_NG_CFE,0)&lt;/Q&gt;&lt;R&gt;1&lt;/R&gt;&lt;C&gt;1&lt;/C&gt;&lt;D xsi:type="xsd:double"&gt;104389&lt;/D&gt;&lt;/FQL&gt;&lt;FQL&gt;&lt;Q&gt;ESTE^FF_OG_RSRV_PROVED_DEV_NET(ANN_R_NGL_BOE,0)&lt;/Q&gt;&lt;R&gt;1&lt;/R&gt;&lt;C&gt;1&lt;/C&gt;&lt;D xsi:type="xsd:double"&gt;4.123&lt;/D&gt;&lt;/FQL&gt;&lt;FQL&gt;&lt;Q&gt;FANG^FF_OG_RSRV_PROVED_DEV_NET(ANN_R_OIL_BOE,0)&lt;/Q&gt;&lt;R&gt;1&lt;/R&gt;&lt;C&gt;1&lt;/C&gt;&lt;D xsi:type="xsd:double"&gt;141.246&lt;/D&gt;&lt;/FQL&gt;&lt;FQL&gt;&lt;Q&gt;FANG^FF_OG_RSRV_PROVED_DEV_NET(ANN_R_NG_CFE,0)&lt;/Q&gt;&lt;R&gt;1&lt;/R&gt;&lt;C&gt;1&lt;/C&gt;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&lt;D xsi:type="xsd:double"&gt;190740&lt;/D&gt;&lt;/FQL&gt;&lt;FQL&gt;&lt;Q&gt;EPE^FF_OG_RSRV_PROVED_DEV_NET(ANN_R_NGL_BOE,0)&lt;/Q&gt;&lt;R&gt;1&lt;/R&gt;&lt;C&gt;1&lt;/C&gt;&lt;D xsi:type="xsd:double"&gt;41.989&lt;/D&gt;&lt;/FQL&gt;&lt;FQL&gt;&lt;Q&gt;ESTE^FF_OG_RSRV_PROVED_DEV_NET(ANN_R_OIL_BOE,0)&lt;/Q&gt;&lt;R&gt;1&lt;/R&gt;&lt;C&gt;1&lt;/C&gt;&lt;D xsi:type="xsd:double"&gt;11.949&lt;/D&gt;&lt;/FQL&gt;&lt;FQL&gt;&lt;Q&gt;ESTE^FF_OG_RSRV_PROVED_DEV_NET(ANN_R_NG_CFE,0)&lt;/Q&gt;&lt;R&gt;1&lt;/R&gt;&lt;C&gt;1&lt;/C&gt;&lt;D xsi:type="xsd:double"&gt;23336&lt;/D&gt;&lt;/FQL&gt;&lt;FQL&gt;&lt;Q&gt;HK^FF_OG_RSRV_PROVED_DEV_NET(ANN_R_NGL_BOE,0)&lt;/Q&gt;&lt;R&gt;1&lt;/R&gt;&lt;C&gt;1&lt;/C&gt;&lt;D xsi:type="xsd:double"&gt;3.151&lt;/D&gt;&lt;/FQL&gt;&lt;FQL&gt;&lt;Q&gt;JAG^FF_OG_RSRV_PROVED_DEV_NET(ANN_R_OIL_BOE,0)&lt;/Q&gt;&lt;R&gt;1&lt;/R&gt;&lt;C&gt;1&lt;/C&gt;&lt;D xsi:type="xsd:double"&gt;29.325&lt;/D&gt;&lt;/FQL&gt;&lt;FQL&gt;&lt;Q&gt;JAG^FF_OG_RSRV_PROVED_DEV_NET(ANN_R_NG_CFE,0)&lt;/Q&gt;&lt;R&gt;1&lt;/R&gt;&lt;C&gt;1&lt;/C&gt;&lt;D xsi:type="xsd:double"&gt;25496&lt;/D&gt;&lt;/FQL&gt;&lt;FQL&gt;&lt;Q&gt;SM^FF_OG_RSRV_PROVED_DEV_NET(ANN_R_NGL_BOE,0)&lt;/Q&gt;&lt;R&gt;1&lt;/R&gt;&lt;C&gt;1&lt;/C&gt;&lt;D xsi:type="xsd:double"&gt;49&lt;/D&gt;&lt;/FQL&gt;&lt;FQL&gt;&lt;Q&gt;USEG^FF_OG_RSRV_PROVED_DEV_NET(ANN_R_OIL_BOE,0)&lt;/Q&gt;&lt;R&gt;1&lt;/R&gt;&lt;C&gt;1&lt;/C&gt;&lt;D xsi:type="xsd:double"&gt;0.676&lt;/D&gt;&lt;/FQL&gt;&lt;FQL&gt;&lt;Q&gt;USEG^FF_OG_RSRV_PROVED_DEV_NET(ANN_R_NG_CFE,0)&lt;/Q&gt;&lt;R&gt;1&lt;/R&gt;&lt;C&gt;1&lt;/C&gt;&lt;D xsi:type="xsd:double"&gt;888.507&lt;/D&gt;&lt;/FQL&gt;&lt;FQL&gt;&lt;Q&gt;AREX^FF_OG_RSRV_PROVED_DEV_NET(ANN_R_NGL_BOE,0)&lt;/Q&gt;&lt;R&gt;1&lt;/R&gt;&lt;C&gt;1&lt;/C&gt;&lt;D xsi:type="xsd:double"&gt;23.18&lt;/D&gt;&lt;/FQL&gt;&lt;FQL&gt;&lt;Q&gt;AXAS^FF_OG_RSRV_PROVED_DEV_NET(ANN_R_OIL_BOE,0)&lt;/Q&gt;&lt;R&gt;1&lt;/R&gt;&lt;C&gt;1&lt;/C&gt;&lt;D xsi:type="xsd:double"&gt;11.263&lt;/D&gt;&lt;/FQL&gt;&lt;FQL&gt;&lt;Q&gt;AXAS^FF_OG_RSRV_PROVED_DEV_NET(ANN_R_NG_CFE,0)&lt;/Q&gt;&lt;R&gt;1&lt;/R&gt;&lt;C&gt;1&lt;/C&gt;&lt;D xsi:type="xsd:double"&gt;39974&lt;/D&gt;&lt;/FQL&gt;&lt;FQL&gt;&lt;Q&gt;CDEV^FF_OG_RSRV_PROVED_DEV_NET(ANN_R_NGL_BOE,0)&lt;/Q&gt;&lt;R&gt;1&lt;/R&gt;&lt;C&gt;1&lt;/C&gt;&lt;D xsi:type="xsd:double"&gt;12.133&lt;/D&gt;&lt;/FQL&gt;&lt;FQL&gt;&lt;Q&gt;COP^FF_OG_RSRV_PROVED_DEV_NET(ANN_R_OIL_BOE,0)&lt;/Q&gt;&lt;R&gt;1&lt;/R&gt;&lt;C&gt;1&lt;/C&gt;&lt;D xsi:type="xsd:double"&gt;1888&lt;/D&gt;&lt;/FQL&gt;&lt;FQL&gt;&lt;Q&gt;COP^FF_OG_RSRV_PROVED_DEV_NET(ANN_R_NG_CFE,0)&lt;/Q&gt;&lt;R&gt;1&lt;/R&gt;&lt;C&gt;1&lt;/C&gt;&lt;D xsi:type="xsd:double"&gt;10128000&lt;/D&gt;&lt;/FQL&gt;&lt;FQL&gt;&lt;Q&gt;LPI^FF_OG_RSRV_PROVED_DEV_NET(ANN_R_NGL_BOE,0)&lt;/Q&gt;&lt;R&gt;1&lt;/R&gt;&lt;C&gt;1&lt;/C&gt;&lt;D xsi:type="xsd:double"&gt;60.441&lt;/D&gt;&lt;/FQL&gt;&lt;FQL&gt;&lt;Q&gt;MRO^FF_OG_RSRV_PROVED_DEV_NET(ANN_R_OIL_BOE,0)&lt;/Q&gt;&lt;R&gt;1&lt;/R&gt;&lt;C&gt;1&lt;/C&gt;&lt;D xsi:type="xsd:double"&gt;484&lt;/D&gt;&lt;/FQL&gt;&lt;FQL&gt;&lt;Q&gt;MRO^FF_OG_RSRV_PROVED_DEV_NET(ANN_R_NG_CFE,0)&lt;/Q&gt;&lt;R&gt;1&lt;/R&gt;&lt;C&gt;1&lt;/C&gt;&lt;D xsi:type="xsd:double"&gt;1655000&lt;/D&gt;&lt;/FQL&gt;&lt;FQL&gt;&lt;Q&gt;REN^FF_OG_RSRV_PROVED_DEV_NET(ANN_R_NGL_BOE,0)&lt;/Q&gt;&lt;R&gt;1&lt;/R&gt;&lt;C&gt;1&lt;/C&gt;&lt;D xsi:type="xsd:double"&gt;6.136&lt;/D&gt;&lt;/FQL&gt;&lt;FQL&gt;&lt;Q&gt;ROSE^FF_OG_RSRV_PROVED_DEV_NET(ANN_R_OIL_BOE,0)&lt;/Q&gt;&lt;R&gt;0&lt;/R&gt;&lt;C&gt;0&lt;/C&gt;&lt;/FQL&gt;&lt;FQL&gt;&lt;Q&gt;ROSE^FF_OG_RSRV_PROVED_DEV_NET(ANN_R_NG_CFE,0)&lt;/Q&gt;&lt;R&gt;0&lt;/R&gt;&lt;C&gt;0&lt;/C&gt;&lt;/FQL&gt;&lt;FQL&gt;&lt;Q&gt;FANG^FF_OG_RSRV_PROVED_UNDEV_NET(ANN_R_NGL_BOE,0)&lt;/Q&gt;&lt;R&gt;1&lt;/R&gt;&lt;C&gt;1&lt;/C&gt;&lt;D xsi:type="xsd:double"&gt;19.198&lt;/D&gt;&lt;/FQL&gt;&lt;FQL&gt;&lt;Q&gt;HK^FF_OG_RSRV_PROVED_UNDEV_NET(ANN_R_OIL_BOE,0)&lt;/Q&gt;&lt;R&gt;1&lt;/R&gt;&lt;C&gt;1&lt;/C&gt;&lt;D xsi:type="xsd:double"&gt;23.983&lt;/D&gt;&lt;/FQL&gt;&lt;FQL&gt;&lt;Q&gt;HK^FF_OG_RSRV_PROVED_UNDEV_NET(ANN_R_NG_CFE,0)&lt;/Q&gt;&lt;R&gt;1&lt;/R&gt;&lt;C&gt;1&lt;/C&gt;&lt;D xsi:type="xsd:double"&gt;30435&lt;/D&gt;&lt;/FQL&gt;&lt;FQL&gt;&lt;Q&gt;APA^FF_OG_RSRV_PROVED_UNDEV_NET(ANN_R_NGL_BOE,0)&lt;/Q&gt;&lt;R&gt;1&lt;/R&gt;&lt;C&gt;1&lt;/C&gt;&lt;D xsi:type="xsd:double"&gt;29.951&lt;/D&gt;&lt;/FQL&gt;&lt;FQL&gt;&lt;Q&gt;AREX^FF_OG_RSRV_PROVED_UNDEV_NET(ANN_R_OIL_BOE,0)&lt;/Q&gt;&lt;R&gt;1&lt;/R&gt;&lt;C&gt;1&lt;/C&gt;&lt;D xsi:type="xsd:double"&gt;36.207&lt;/D&gt;&lt;/FQL&gt;&lt;FQL&gt;&lt;Q&gt;AREX^FF_OG_RSRV_PROVED_UNDEV_NET(ANN_R_NG_CFE,0)&lt;/Q&gt;&lt;R&gt;1&lt;/R&gt;&lt;C&gt;1&lt;/C&gt;&lt;D xsi:type="xsd:double"&gt;265028&lt;/D&gt;&lt;/FQL&gt;&lt;FQL&gt;&lt;Q&gt;RSPP^FF_OG_RSRV_PROVED_UNDEV_NET(ANN_R_NGL_BOE,0)&lt;/Q&gt;&lt;R&gt;1&lt;/R&gt;&lt;C&gt;1&lt;/C&gt;&lt;D xsi:type="xsd:double"&gt;35.275&lt;/D&gt;&lt;/FQL&gt;&lt;FQL&gt;&lt;Q&gt;SM^FF_OG_RSRV_PROVED_UNDEV_NET(ANN_R_OIL_BOE,0)&lt;/Q&gt;&lt;R&gt;1&lt;/R&gt;&lt;C&gt;1&lt;/C&gt;&lt;D xsi:type="xsd:double"&gt;99.6&lt;/D&gt;&lt;/FQL&gt;&lt;FQL&gt;&lt;Q&gt;SM^FF_OG_RSRV_PROVED_UNDEV_NET(ANN_R_NG_CFE,0)&lt;/Q&gt;&lt;R&gt;1&lt;/R&gt;&lt;C&gt;1&lt;/C&gt;&lt;D xsi:type="xsd:double"&gt;637200&lt;/D&gt;&lt;/FQL&gt;&lt;FQL&gt;&lt;Q&gt;PXD^FF_OG_RSRV_PROVED_UNDEV_NET(ANN_R_NGL_BOE,0)&lt;/Q&gt;&lt;R&gt;1&lt;/R&gt;&lt;C&gt;1&lt;/C&gt;&lt;D xsi:type="xsd:double"&gt;21.063&lt;/D&gt;&lt;/FQL&gt;&lt;FQL&gt;&lt;Q&gt;QEP^FF_OG_RSRV_PROVED_UNDEV_NET(ANN_R_OIL_BOE,0)&lt;/Q&gt;&lt;R&gt;1&lt;/R&gt;&lt;C&gt;1&lt;/C&gt;&lt;D xsi:type="xsd:double"&gt;204.5&lt;/D&gt;&lt;/FQL&gt;&lt;FQL&gt;&lt;Q&gt;QEP^FF_OG_RSRV_PROVED_UNDEV_NET(ANN_R_NG_CFE,0)&lt;/Q&gt;&lt;R&gt;1&lt;/R&gt;&lt;C&gt;1&lt;/C&gt;&lt;D xsi:type="xsd:double"&gt;1138100&lt;/D&gt;&lt;/FQL&gt;&lt;FQL&gt;&lt;Q&gt;MTDR^FF_OG_RSRV_PROVED_UNDEV_NET(ANN_R_NGL_BOE,0)&lt;/Q&gt;&lt;R&gt;0&lt;/R&gt;&lt;C&gt;0&lt;/C&gt;&lt;/FQL&gt;&lt;FQL&gt;&lt;Q&gt;NBL^FF_OG_RSRV_PROVED_UNDEV_NET(ANN_R_OIL_BOE,0)&lt;/Q&gt;&lt;R&gt;1&lt;/R&gt;&lt;C&gt;1&lt;/C&gt;&lt;D xsi:type="xsd:double"&gt;249&lt;/D&gt;&lt;/FQL&gt;&lt;FQL&gt;&lt;Q&gt;NBL^FF_OG_RSRV_PROVED_UNDEV_NET(ANN_R_NG_CFE,0)&lt;/Q&gt;&lt;R&gt;1&lt;/R&gt;&lt;C&gt;1&lt;/C&gt;&lt;D xsi:type="xsd:double"&gt;4493000&lt;/D&gt;&lt;/FQL&gt;&lt;FQL&gt;&lt;Q&gt;WPX^FF_OG_RSRV_PROVED_UNDEV_NET(ANN_R_NGL_BOE,0)&lt;/Q&gt;&lt;R&gt;1&lt;/R&gt;&lt;C&gt;1&lt;/C&gt;&lt;D xsi:type="xsd:double"&gt;35.198&lt;/D&gt;&lt;/FQL&gt;&lt;FQL&gt;&lt;Q&gt;XEC^FF_OG_RSRV_PROVED_UNDEV_NET(ANN_R_OIL_BOE,0)&lt;/Q&gt;&lt;R&gt;1&lt;/R&gt;&lt;C&gt;1&lt;/C&gt;&lt;D xsi:type="xsd:double"&gt;23.122&lt;/D&gt;&lt;/FQL&gt;&lt;FQL&gt;&lt;Q&gt;XEC^FF_OG_RSRV_PROVED_UNDEV_NET(ANN_R_NG_CFE,0)&lt;/Q&gt;&lt;R&gt;1&lt;/R&gt;&lt;C&gt;1&lt;/C&gt;&lt;D xsi:type="xsd:double"&gt;273125&lt;/D&gt;&lt;/FQL&gt;&lt;FQL&gt;&lt;Q&gt;QEP^FF_OG_RSRV_PROVED_UNDEV_NET(ANN_R_NGL_BOE,0)&lt;/Q&gt;&lt;R&gt;1&lt;/R&gt;&lt;C&gt;1&lt;/C&gt;&lt;D xsi:type="xsd:double"&gt;37.3&lt;/D&gt;&lt;/FQL&gt;&lt;FQL&gt;&lt;Q&gt;REN^FF_OG_RSRV_PROVED_UNDEV_NET(ANN_R_OIL_BOE,0)&lt;/Q&gt;&lt;R&gt;1&lt;/R&gt;&lt;C&gt;1&lt;/C&gt;&lt;D xsi:type="xsd:double"&gt;13.045&lt;/D&gt;&lt;/FQL&gt;&lt;FQL&gt;&lt;Q&gt;REN^FF_OG_RSRV_PROVED_UNDEV_NET(ANN_R_NG_CFE,0)&lt;/Q&gt;&lt;R&gt;1&lt;/R&gt;&lt;C&gt;1&lt;/C&gt;&lt;D xsi:type="xsd:double"&gt;47987&lt;/D&gt;&lt;/FQL&gt;&lt;FQL&gt;&lt;Q&gt;CXO^FF_OG_RSRV_PROVED_UNDEV_NET(ANN_R_NGL_BOE,0)&lt;/Q&gt;&lt;R&gt;0&lt;/R&gt;&lt;C&gt;0&lt;/C&gt;&lt;/FQL&gt;&lt;FQL&gt;&lt;Q&gt;DVN^FF_OG_RSRV_PROVED_UNDEV_NET(ANN_R_OIL_BOE,0)&lt;/Q&gt;&lt;R&gt;1&lt;/R&gt;&lt;C&gt;1&lt;/C&gt;&lt;D xsi:type="xsd:double"&gt;288&lt;/D&gt;&lt;/FQL&gt;&lt;FQL&gt;&lt;Q&gt;DVN^FF_OG_RSRV_PROVED_UNDEV_NET(ANN_R_NG_CFE,0)&lt;/Q&gt;&lt;R&gt;1&lt;/R&gt;&lt;C&gt;1&lt;/C&gt;&lt;D xsi:type="xsd:double"&gt;355000&lt;/D&gt;&lt;/FQL&gt;&lt;FQL&gt;&lt;Q&gt;DVN^FF_OG_RSRV_PROVED_UNDEV_NET(ANN_R_NGL_BOE,0)&lt;/Q&gt;&lt;R&gt;1&lt;/R&gt;&lt;C&gt;1&lt;/C&gt;&lt;D xsi:type="xsd:double"&gt;63&lt;/D&gt;&lt;/FQL&gt;&lt;FQL&gt;&lt;Q&gt;ECA^FF_OG_RSRV_PROVED_UNDEV_NET(ANN_R_OIL_BOE,0)&lt;/Q&gt;&lt;R&gt;1&lt;/R&gt;&lt;C&gt;1&lt;/C&gt;&lt;D xsi:type="xsd:double"&gt;89.2&lt;/D&gt;&lt;/FQL&gt;&lt;FQL&gt;&lt;Q&gt;ECA^FF_OG_RSRV_PROVED_UNDEV_NET(ANN_R_NG_CFE,0)&lt;/Q&gt;&lt;R&gt;1&lt;/R&gt;&lt;C&gt;1&lt;/C&gt;&lt;D xsi:type="xsd:double"&gt;1171000&lt;/D&gt;&lt;/FQL&gt;&lt;FQL&gt;&lt;Q&gt;JAG^FF_OG_RSRV_PROVED_UNDEV_NET(ANN_R_NGL_BOE,0)&lt;/Q&gt;&lt;R&gt;1&lt;/R&gt;&lt;C&gt;1&lt;/C&gt;&lt;D xsi:type="xsd:double"&gt;4.26&lt;/D&gt;&lt;/FQL&gt;&lt;FQL&gt;&lt;Q&gt;LPI^FF_OG_RSRV_PROVED_UNDEV_NET(ANN_R_OIL_BOE,0)&lt;/Q&gt;&lt;R&gt;1&lt;/R&gt;&lt;C&gt;1&lt;/C&gt;&lt;D xsi:type="xsd:double"&gt;10.536&lt;/D&gt;&lt;/FQL&gt;&lt;FQL&gt;&lt;Q&gt;LPI^FF_OG_RSRV_PROVED_UNDEV_NET(ANN_R_NG_CFE,0)&lt;/Q&gt;&lt;R&gt;1&lt;/R&gt;&lt;C&gt;1&lt;/C&gt;&lt;D xsi:type="xsd:double"&gt;42646&lt;/D&gt;&lt;/FQL&gt;&lt;FQL&gt;&lt;Q&gt;OAS^FF_OG_RSRV_PROVED_UNDEV_NET(ANN_R_NGL_BOE,0)&lt;/Q&gt;&lt;R&gt;0&lt;/R&gt;&lt;C&gt;0&lt;/C&gt;&lt;/FQL&gt;&lt;FQL&gt;&lt;Q&gt;OXY^FF_OG_RSRV_PROVED_UNDEV_NET(ANN_R_OIL_BOE,0)&lt;/Q&gt;&lt;R&gt;1&lt;/R&gt;&lt;C&gt;1&lt;/C&gt;&lt;D xsi:type="xsd:double"&gt;387&lt;/D&gt;&lt;/FQL&gt;&lt;FQL&gt;&lt;Q&gt;OXY^FF_OG_RSRV_PROVED_UNDEV_NET(ANN_R_NG_CFE,0)&lt;/Q&gt;&lt;R&gt;1&lt;/R&gt;&lt;C&gt;1&lt;/C&gt;&lt;D xsi:type="xsd:double"&gt;907000&lt;/D&gt;&lt;/FQL&gt;&lt;FQL&gt;&lt;Q&gt;OXY^FF_OG_RSRV_PROVED_UNDEV_NET(ANN_R_NGL_BOE,0)&lt;/Q&gt;&lt;R&gt;1&lt;/R&gt;&lt;C&gt;1&lt;/C&gt;&lt;D xsi:type="xsd:double"&gt;131&lt;/D&gt;&lt;/FQL&gt;&lt;FQL&gt;&lt;Q&gt;PDCE^FF_OG_RSRV_PROVED_UNDEV_NET(ANN_R_OIL_BOE,0)&lt;/Q&gt;&lt;R&gt;1&lt;/R&gt;&lt;C&gt;1&lt;/C&gt;&lt;D xsi:type="xsd:double"&gt;107.98&lt;/D&gt;&lt;/FQL&gt;&lt;FQL&gt;&lt;Q&gt;PDCE^FF_OG_RSRV_PROVED_UNDEV_NET(ANN_R_NG_CFE,0)&lt;/Q&gt;&lt;R&gt;1&lt;/R&gt;&lt;C&gt;1&lt;/C&gt;&lt;D xsi:type="xsd:double"&gt;788962&lt;/D&gt;&lt;/FQL&gt;&lt;FQL&gt;&lt;Q&gt;MRO^FF_OG_RSRV_PROVED_UNDEV_NET(ANN_R_NGL_BOE,0)&lt;/Q&gt;&lt;R&gt;1&lt;/R&gt;&lt;C&gt;1&lt;/C&gt;&lt;D xsi:type="xsd:double"&gt;111&lt;/D&gt;&lt;/FQL&gt;&lt;FQL&gt;&lt;Q&gt;MTDR^FF_OG_RSRV_PROVED_UNDEV_NET(ANN_R_OIL_BOE,0)&lt;/Q&gt;&lt;R&gt;1&lt;/R&gt;&lt;C&gt;1&lt;/C&gt;&lt;D xsi:type="xsd:double"&gt;49.777&lt;/D&gt;&lt;/FQL&gt;&lt;FQL&gt;&lt;Q&gt;MTDR^FF_OG_RSRV_PROVED_UNDEV_NET(ANN_R_NG_CFE,0)&lt;/Q&gt;&lt;R&gt;1&lt;/R&gt;&lt;C&gt;1&lt;/C&gt;&lt;D xsi:type="xsd:double"&gt;206055&lt;/D&gt;&lt;/FQL&gt;&lt;FQL&gt;&lt;Q&gt;EOG^FF_OG_RSRV_PROVED_UNDEV_NET(ANN_R_NGL_BOE,0)&lt;/Q&gt;&lt;R&gt;1&lt;/R&gt;&lt;C&gt;1&lt;/C&gt;&lt;D xsi:type="xsd:double"&gt;216.601&lt;/D&gt;&lt;/FQL&gt;&lt;FQL&gt;&lt;Q&gt;EPE^FF_OG_RSRV_PROVED_UNDEV_NET(ANN_R_OIL_BOE,0)&lt;/Q&gt;&lt;R&gt;1&lt;/R&gt;&lt;C&gt;1&lt;/C&gt;&lt;D xsi:type="xsd:double"&gt;89.584&lt;/D&gt;&lt;/FQL&gt;&lt;FQL&gt;&lt;Q&gt;EPE^FF_OG_RSRV_PROVED_UNDEV_NET(ANN_R_NG_CFE,0)&lt;/Q&gt;&lt;R&gt;1&lt;/R&gt;&lt;C&gt;1&lt;/C&gt;&lt;D xsi:type="xsd:double"&gt;280000&lt;/D&gt;&lt;/FQL&gt;&lt;FQL&gt;&lt;Q&gt;EGN^FF_OG_RSRV_PROVED_UNDEV_NET(ANN_R_NGL_BOE,0)&lt;/Q&gt;&lt;R&gt;1&lt;/R&gt;&lt;C&gt;1&lt;/C&gt;&lt;D xsi:type="xsd:double"&gt;37.897&lt;/D&gt;&lt;/FQL&gt;&lt;FQL&gt;&lt;Q&gt;EOG^FF_OG_RSRV_PROVED_UNDEV_NET(ANN_R_OIL_BOE,0)&lt;/Q&gt;&lt;R&gt;1&lt;/R&gt;&lt;C&gt;1&lt;/C&gt;&lt;D xsi:type="xsd:double"&gt;698.737&lt;/D&gt;&lt;/FQL&gt;&lt;FQL&gt;&lt;Q&gt;EOG^FF_OG_RSRV_PROVED_UNDEV_NET(ANN_R_NG_CFE,0)&lt;/Q&gt;&lt;R&gt;1&lt;/R&gt;&lt;C&gt;1&lt;/C&gt;&lt;D xsi:type="xsd:double"&gt;1483800&lt;/D&gt;&lt;/FQL&gt;&lt;FQL&gt;&lt;Q&gt;USEG^FF_OG_RSRV_PROVED_UNDEV_NET(ANN_R_NGL_BOE,0)&lt;/Q&gt;&lt;R&gt;0&lt;/R&gt;&lt;C&gt;0&lt;/C&gt;&lt;/FQL&gt;&lt;FQL&gt;&lt;Q&gt;WPX^FF_OG_RSRV_PROVED_UNDEV_NET(ANN_R_OIL_BOE,0)&lt;/Q&gt;&lt;R&gt;1&lt;/R&gt;&lt;C&gt;1&lt;/C&gt;&lt;D xsi:type="xsd:double"&gt;133.337&lt;/D&gt;&lt;/FQL&gt;&lt;FQL&gt;&lt;Q&gt;WPX^FF_OG_RSRV_PROVED_UNDEV_NET(ANN_R_NG_CFE,0)&lt;/Q&gt;&lt;R&gt;1&lt;/R&gt;&lt;C&gt;1&lt;/C&gt;&lt;D xsi:type="xsd:double"&gt;269785&lt;/D&gt;&lt;/FQL&gt;&lt;FQL&gt;&lt;Q&gt;XEC^FF_OG_RSRV_PROVED_DEV_NET(ANN_R_NGL_BOE,0)&lt;/Q&gt;&lt;R&gt;1&lt;/R&gt;&lt;C&gt;1&lt;/C&gt;&lt;D xsi:type="xsd:double"&gt;126.227&lt;/D&gt;&lt;/FQL&gt;&lt;FQL&gt;&lt;Q&gt;APA^FF_OG_RSRV_PROVED_UNDEV_NET(ANN_R_OIL_BOE,0)&lt;/Q&gt;&lt;R&gt;1&lt;/R&gt;&lt;C&gt;1&lt;/C&gt;&lt;D xsi:type="xsd:double"&gt;62.115&lt;/D&gt;&lt;/FQL&gt;&lt;FQL&gt;&lt;Q&gt;APA^FF_OG_RSRV_PROVED_UNDEV_NET(ANN_R_NG_CFE,0)&lt;/Q&gt;&lt;R&gt;1&lt;/R&gt;&lt;C&gt;1&lt;/C&gt;&lt;D xsi:type="xsd:double"&gt;355544&lt;/D&gt;&lt;/FQL&gt;&lt;FQL&gt;&lt;Q&gt;CRZO^FF_OG_RSRV_PROVED_UNDEV_NET(ANN_R_NGL_BOE,0)&lt;/Q&gt;&lt;R&gt;1&lt;/R&gt;&lt;C&gt;1&lt;/C&gt;&lt;D xsi:type="xsd:double"&gt;25.151&lt;/D&gt;&lt;/FQL&gt;&lt;FQL&gt;&lt;Q&gt;CXO^FF_OG_RSRV_PROVED_UNDEV_NET(ANN_R_OIL_BOE,0)&lt;/Q&gt;&lt;R&gt;1&lt;/R&gt;&lt;C&gt;1&lt;/C&gt;&lt;D xsi:type="xsd:double"&gt;164&lt;/D&gt;&lt;/FQL&gt;&lt;FQL&gt;&lt;Q&gt;CXO^FF_OG_RSRV_PROVED_UNDEV_NET(ANN_R_NG_CFE,0)&lt;/Q&gt;&lt;R&gt;1&lt;/R&gt;&lt;C&gt;1&lt;/C&gt;&lt;D xsi:type="xsd:double"&gt;531000&lt;/D&gt;&lt;/FQL&gt;&lt;FQL&gt;&lt;Q&gt;NBL^FF_OG_RSRV_PROVED_UNDEV_NET(ANN_R_NGL_BOE,0)&lt;/Q&gt;&lt;R&gt;1&lt;/R&gt;&lt;C&gt;1&lt;/C&gt;&lt;D xsi:type="xsd:double"&gt;99&lt;/D&gt;&lt;/FQL&gt;&lt;FQL&gt;&lt;Q&gt;OAS^FF_OG_RSRV_PROVED_UNDEV_NET(ANN_R_OIL_BOE,0)&lt;/Q&gt;&lt;R&gt;1&lt;/R&gt;&lt;C&gt;1&lt;/C&gt;&lt;D xsi:type="xsd:double"&gt;74.332&lt;/D&gt;&lt;/FQL&gt;&lt;FQL&gt;&lt;Q&gt;OAS^FF_OG_RSRV_PROVED_UNDEV_NET(ANN_R_NG_CFE,0)&lt;/Q&gt;&lt;R&gt;1&lt;/R&gt;&lt;C&gt;1&lt;/C&gt;&lt;D xsi:type="xsd:double"&gt;222355&lt;/D&gt;&lt;/FQL&gt;&lt;FQL&gt;&lt;Q&gt;PE^FF_OG_RSRV_PROVED_UNDEV_NET(ANN_R_NGL_BOE,0)&lt;/Q&gt;&lt;R&gt;1&lt;/R&gt;&lt;C&gt;1&lt;/C&gt;&lt;D xsi:type="xsd:double"&gt;42.881&lt;/D&gt;&lt;/FQL&gt;&lt;FQL&gt;&lt;Q&gt;PXD^FF_OG_RSRV_PROVED_UNDEV_NET(ANN_R_OIL_BOE,0)&lt;/Q&gt;&lt;R&gt;1&lt;/R&gt;&lt;C&gt;1&lt;/C&gt;&lt;D xsi:type="xsd:double"&gt;40.525&lt;/D&gt;&lt;/FQL&gt;&lt;FQL&gt;&lt;Q&gt;PXD^FF_OG_RSRV_PROVED_UNDEV_NET(ANN_R_NG_CFE,0)&lt;/Q&gt;&lt;R&gt;1&lt;/R&gt;&lt;C&gt;1&lt;/C&gt;&lt;D xsi:type="xsd:double"&gt;122429&lt;/D&gt;&lt;/FQL&gt;&lt;FQL&gt;&lt;Q&gt;ECA^FF_OG_RSRV_PROVED_UNDEV_NET(ANN_R_NGL_BOE,0)&lt;/Q&gt;&lt;R&gt;1&lt;/R&gt;&lt;C&gt;1&lt;/C&gt;&lt;D xsi:type="xsd:double"&gt;98.9&lt;/D&gt;&lt;/FQL&gt;&lt;FQL&gt;&lt;Q&gt;EGN^FF_OG_RSRV_PROVED_UNDEV_NET(ANN_R_OIL_BOE,0)&lt;/Q&gt;&lt;R&gt;1&lt;/R&gt;&lt;C&gt;1&lt;/C&gt;&lt;D xsi:type="xsd:double"&gt;113.103&lt;/D&gt;&lt;/FQL&gt;&lt;FQL&gt;&lt;Q&gt;EGN^FF_OG_RSRV_PROVED_UNDEV_NET(ANN_R_NG_CFE,0)&lt;/Q&gt;&lt;R&gt;1&lt;/R&gt;&lt;C&gt;1&lt;/C&gt;&lt;D xsi:type="xsd:double"&gt;234873&lt;/D&gt;&lt;/FQL&gt;&lt;FQL&gt;&lt;Q&gt;CPE^FF_OG_RSRV_PROVED_UNDEV_NET(ANN_R_NGL_BOE,0)&lt;/Q&gt;&lt;R&gt;0&lt;/R&gt;&lt;C&gt;0&lt;/C&gt;&lt;/FQL&gt;&lt;FQL&gt;&lt;Q&gt;CRZO^FF_OG_RSRV_PROVED_UNDEV_NET(ANN_R_OIL_BOE,0)&lt;/Q&gt;&lt;R&gt;1&lt;/R&gt;&lt;C&gt;1&lt;/C&gt;&lt;D xsi:type="xsd:double"&gt;97.742&lt;/D&gt;&lt;/FQL&gt;&lt;FQL&gt;&lt;Q&gt;CRZO^FF_OG_RSRV_PROVED_UNDEV_NET(ANN_R_NG_CFE,0)&lt;/Q&gt;&lt;R&gt;1&lt;/R&gt;&lt;C&gt;1&lt;/C&gt;&lt;D xsi:type="xsd:double"&gt;179115&lt;/D&gt;&lt;/FQL&gt;&lt;FQL&gt;&lt;Q&gt;PDCE^FF_OG_RSRV_PROVED_UNDEV_NET(ANN_R_NGL_BOE,0)&lt;/Q&gt;&lt;R&gt;1&lt;/R&gt;&lt;C&gt;1&lt;/C&gt;&lt;D xsi:type="xsd:double"&gt;70.472&lt;/D&gt;&lt;/FQL&gt;&lt;FQL&gt;&lt;Q&gt;PE^FF_OG_RSRV_PROVED_UNDEV_NET(ANN_R_OIL_BOE,0)&lt;/Q&gt;&lt;R&gt;1&lt;/R&gt;&lt;C&gt;1&lt;/C&gt;&lt;D xsi:type="xsd:double"&gt;128.94&lt;/D&gt;&lt;/FQL&gt;&lt;FQL&gt;&lt;Q&gt;PE^FF_OG_RSRV_PROVED_UNDEV_NET(ANN_R_NG_CFE,0)&lt;/Q&gt;&lt;R&gt;1&lt;/R&gt;&lt;C&gt;1&lt;/C&gt;&lt;D xsi:type="xsd:double"&gt;211366&lt;/D&gt;&lt;/FQL&gt;&lt;FQL&gt;&lt;Q&gt;ROSE^FF_OG_RSRV_PROVED_UNDEV_NET(ANN_R_NGL_BOE,0)&lt;/Q&gt;&lt;R&gt;0&lt;/R&gt;&lt;C&gt;0&lt;/C&gt;&lt;/FQL&gt;&lt;FQL&gt;&lt;Q&gt;RSPP^FF_OG_RSRV_PROVED_UNDEV_NET(ANN_R_OIL_BOE,0)&lt;/Q&gt;&lt;R&gt;1&lt;/R&gt;&lt;C&gt;1&lt;/C&gt;&lt;D xsi:type="xsd:double"&gt;154.667&lt;/D&gt;&lt;/FQL&gt;&lt;FQL&gt;&lt;Q&gt;RSPP^FF_OG_RSRV_PROVED_UNDEV_NET(ANN_R_NG_CFE,0)&lt;/Q&gt;&lt;R&gt;1&lt;/R&gt;&lt;C&gt;1&lt;/C&gt;&lt;D xsi:type="xsd:double"&gt;161903&lt;/D&gt;&lt;/FQL&gt;&lt;FQL&gt;&lt;Q&gt;COP^FF_OG_RSRV_PROVED_UNDEV_NET(ANN_R_NGL_BOE,0)&lt;/Q&gt;&lt;R&gt;1&lt;/R&gt;&lt;C&gt;1&lt;/C&gt;&lt;D xsi:type="xsd:double"&gt;128&lt;/D&gt;&lt;/FQL&gt;&lt;FQL&gt;&lt;Q&gt;CPE^FF_OG_RSRV_PROVED_UNDEV_NET(ANN_R_OIL_BOE,0)&lt;/Q&gt;&lt;R&gt;1&lt;/R&gt;&lt;C&gt;1&lt;/C&gt;&lt;D xsi:type="xsd:double"&gt;55.152&lt;/D&gt;&lt;/FQL&gt;&lt;FQL&gt;&lt;Q&gt;CPE^FF_OG_RSRV_PROVED_UNDEV_NET(ANN_R_NG_CFE,0)&lt;/Q&gt;&lt;R&gt;1&lt;/R&gt;&lt;C&gt;1&lt;/C&gt;&lt;D xsi:type="xsd:double"&gt;75021&lt;/D&gt;&lt;/FQL&gt;&lt;FQL&gt;&lt;Q&gt;ESTE^FF_OG_RSRV_PROVED_UNDEV_NET(ANN_R_NGL_BOE,0)&lt;/Q&gt;&lt;R&gt;1&lt;/R&gt;&lt;C&gt;1&lt;/C&gt;&lt;D xsi:type="xsd:double"&gt;13.345&lt;/D&gt;&lt;/FQL&gt;&lt;FQL&gt;&lt;Q&gt;FANG^FF_OG_RSRV_PROVED_UNDEV_NET(ANN_R_OIL_BOE,0)&lt;/Q&gt;&lt;R&gt;1&lt;/R&gt;&lt;C&gt;1&lt;/C&gt;&lt;D xsi:type="xsd:double"&gt;91.935&lt;/D&gt;&lt;/FQL&gt;&lt;FQL&gt;&lt;Q&gt;FANG^FF_OG_RSRV_PROVED_UNDEV_NET(ANN_R_NG_CFE,0)&lt;/Q&gt;&lt;R&gt;1&lt;/R&gt;&lt;C&gt;1&lt;/C&gt;&lt;D xsi:type="xsd:double"&gt;94629&lt;/D&gt;&lt;/FQL&gt;&lt;FQL&gt;&lt;Q&gt;EPE^FF_OG_RSRV_PROVED_UNDEV_NET(ANN_R_NGL_BOE,0)&lt;/Q&gt;&lt;R&gt;1&lt;/R&gt;&lt;C&gt;1&lt;/C&gt;&lt;D xsi:type="xsd:double"&gt;37.489&lt;/D&gt;&lt;/FQL&gt;&lt;FQL&gt;&lt;Q&gt;ESTE^FF_OG_RSRV_PROVED_UNDEV_NET(ANN_R_OIL_BOE,0)&lt;/Q&gt;&lt;R&gt;1&lt;/R&gt;&lt;C&gt;1&lt;/C&gt;&lt;D xsi:type="xsd:double"&gt;35.378&lt;/D&gt;&lt;/FQL&gt;&lt;FQL&gt;&lt;Q&gt;ESTE^FF_OG_RSRV_PROVED_UNDEV_NET(ANN_R_NG_CFE,0)&lt;/Q&gt;&lt;R&gt;1&lt;/R&gt;&lt;C&gt;1&lt;/C&gt;&lt;D xsi:type="xsd:double"&gt;67752&lt;/D&gt;&lt;/FQL&gt;&lt;FQL&gt;&lt;Q&gt;HK^FF_OG_RSRV_PROVED_UNDEV_NET(ANN_R_NGL_BOE,0)&lt;/Q&gt;&lt;R&gt;1&lt;/R&gt;&lt;C&gt;1&lt;/C&gt;&lt;D xsi:type="xsd:double"&gt;6.045&lt;/D&gt;&lt;/FQL&gt;&lt;FQL&gt;&lt;Q&gt;JAG^FF_OG_RSRV_PROVED_UNDEV_NET(ANN_R_OIL_BOE,0)&lt;/Q&gt;&lt;R&gt;1&lt;/R&gt;&lt;C&gt;1&lt;/C&gt;&lt;D xsi:type="xsd:double"&gt;35.732&lt;/D&gt;&lt;/FQL&gt;&lt;FQL&gt;&lt;Q&gt;JAG^FF_OG_RSRV_PROVED_UNDEV_NET(ANN_R_NG_CFE,0)&lt;/Q&gt;&lt;R&gt;1&lt;/R&gt;&lt;C&gt;1&lt;/C&gt;&lt;D xsi:type="xsd:double"&gt;27758&lt;/D&gt;&lt;/FQL&gt;&lt;FQL&gt;&lt;Q&gt;SM^FF_OG_RSRV_PROVED_UNDEV_NET(ANN_R_NGL_BOE,0)&lt;/Q&gt;&lt;R&gt;1&lt;/R&gt;&lt;C&gt;1&lt;/C&gt;&lt;D xsi:type="xsd:double"&gt;47.6&lt;/D&gt;&lt;/FQL&gt;&lt;FQL&gt;&lt;Q&gt;USEG^FF_OG_RSRV_PROVED_UNDEV_NET(ANN_R_OIL_BOE,0)&lt;/Q&gt;&lt;R&gt;0&lt;/R&gt;&lt;C&gt;0&lt;/C&gt;&lt;/FQL&gt;&lt;FQL&gt;&lt;Q&gt;USEG^FF_OG_RSRV_PROVED_UNDEV_NET(ANN_R_NG_CFE,0)&lt;/Q&gt;&lt;R&gt;0&lt;/R&gt;&lt;C&gt;0&lt;/C&gt;&lt;/FQL&gt;&lt;FQL&gt;&lt;Q&gt;AREX^FF_OG_RSRV_PROVED_UNDEV_NET(ANN_R_NGL_BOE,0)&lt;/Q&gt;&lt;R&gt;1&lt;/R&gt;&lt;C&gt;1&lt;/C&gt;&lt;D xsi:type="xsd:double"&gt;34.768&lt;/D&gt;&lt;/FQL&gt;&lt;FQL&gt;&lt;Q&gt;AXAS^FF_OG_RSRV_PROVED_UNDEV_NET(ANN_R_OIL_BOE,0)&lt;/Q&gt;&lt;R&gt;1&lt;/R&gt;&lt;C&gt;1&lt;/C&gt;&lt;D xsi:type="xsd:double"&gt;25.808&lt;/D&gt;&lt;/FQL&gt;&lt;FQL&gt;&lt;Q&gt;AXAS^FF_OG_RSRV_PROVED_UNDEV_NET(ANN_R_NG_CFE,0)&lt;/Q&gt;&lt;R&gt;1&lt;/R&gt;&lt;C&gt;1&lt;/C&gt;&lt;D xsi:type="xsd:double"&gt;57854&lt;/D&gt;&lt;/FQL&gt;&lt;FQL&gt;&lt;Q&gt;CDEV^FF_OG_RSRV_PROVED_UNDEV_NET(ANN_R_NGL_BOE,0)&lt;/Q&gt;&lt;R&gt;1&lt;/R&gt;&lt;C&gt;1&lt;/C&gt;&lt;D xsi:type="xsd:double"&gt;18.853&lt;/D&gt;&lt;/FQL&gt;&lt;FQL&gt;&lt;Q&gt;COP^FF_OG_RSRV_PROVED_UNDEV_NET(ANN_R_OIL_BOE,0)&lt;/Q&gt;&lt;R&gt;1&lt;/R&gt;&lt;C&gt;1&lt;/C&gt;&lt;D xsi:type="xsd:double"&gt;767&lt;/D&gt;&lt;/FQL&gt;&lt;FQL&gt;&lt;Q&gt;COP^FF_OG_RSRV_PROVED_UNDEV_NET(ANN_R_NG_CFE,0)&lt;/Q&gt;&lt;R&gt;1&lt;/R&gt;&lt;C&gt;1&lt;/C&gt;&lt;D xsi:type="xsd:double"&gt;1778000&lt;/D&gt;&lt;/FQL&gt;&lt;FQL&gt;&lt;Q&gt;LPI^FF_OG_RSRV_PROVED_UNDEV_NET(ANN_R_NGL_BOE,0)&lt;/Q&gt;&lt;R&gt;1&lt;/R&gt;&lt;C&gt;1&lt;/C&gt;&lt;D xsi:type="xsd:double"&gt;6.93&lt;/D&gt;&lt;/FQL&gt;&lt;FQL&gt;&lt;Q&gt;MRO^FF_OG_RSRV_PROVED_UNDEV_NET(ANN_R_OIL_BOE,0)&lt;/Q&gt;&lt;R&gt;1&lt;/R&gt;&lt;C&gt;1&lt;/C&gt;&lt;D xsi:type="xsd:double"&gt;316&lt;/D&gt;&lt;/FQL&gt;&lt;FQL&gt;&lt;Q&gt;MRO^FF_OG_RSRV_PROVED_UNDEV_NET(ANN_R_NG_CFE,0)&lt;/Q&gt;&lt;R&gt;1&lt;/R&gt;&lt;C&gt;1&lt;/C&gt;&lt;D xsi:type="xsd:double"&gt;714000&lt;/D&gt;&lt;/FQL&gt;&lt;FQL&gt;&lt;Q&gt;REN^FF_OG_RSRV_PROVED_UNDEV_NET(ANN_R_NGL_BOE,0)&lt;/Q&gt;&lt;R&gt;1&lt;/R&gt;&lt;C&gt;1&lt;/C&gt;&lt;D xsi:type="xsd:double"&gt;6.173&lt;/D&gt;&lt;/FQL&gt;&lt;FQL&gt;&lt;Q&gt;ROSE^FF_OG_RSRV_PROVED_UNDEV_NET(ANN_R_OIL_BOE,0)&lt;/Q&gt;&lt;R&gt;0&lt;/R&gt;&lt;C&gt;0&lt;/C&gt;&lt;/FQL&gt;&lt;FQL&gt;&lt;Q&gt;ROSE^FF_OG_RSRV_PROVED_UNDEV_NET(ANN_R_NG_CFE,0)&lt;/Q&gt;&lt;R&gt;0&lt;/R&gt;&lt;C&gt;0&lt;/C&gt;&lt;/FQL&gt;&lt;FQL&gt;&lt;Q&gt;HK^FE_GUIDANCE(PROD_DAY_OIL_ONLY,MIDPOINT,ANNUAL,+2,0,,,'')&lt;/Q&gt;&lt;R&gt;0&lt;/R&gt;&lt;C&gt;0&lt;/C&gt;&lt;/FQL&gt;&lt;FQL&gt;&lt;Q&gt;OAS^FE_GUIDANCE_DATE(DATEN,CAPEX,ANNUAL,2018,'MM/DD/YYYY',0)&lt;/Q&gt;&lt;R&gt;1&lt;/R&gt;&lt;C&gt;1&lt;/C&gt;&lt;D xsi:type="xsd:string"&gt;02/28/2018&lt;/D&gt;&lt;/FQL&gt;&lt;FQL&gt;&lt;Q&gt;COP^FE_GUIDANCE_DATE(DATEN,CAPEX,ANNUAL,2018,'MM/DD/YYYY',0)&lt;/Q&gt;&lt;R&gt;1&lt;/R&gt;&lt;C&gt;1&lt;/C&gt;&lt;D xsi:type="xsd:string"&gt;02/01/2018&lt;/D&gt;&lt;/FQL&gt;&lt;FQL&gt;&lt;Q&gt;APA^FF_OG_PROD_DAY(QTR_R_OIL_BOE,12/2017)&lt;/Q&gt;&lt;R&gt;1&lt;/R&gt;&lt;C&gt;1&lt;/C&gt;&lt;D xsi:type="xsd:double"&gt;242.58&lt;/D&gt;&lt;/FQL&gt;&lt;FQL&gt;&lt;Q&gt;SM^FE_TIMESERIES(PROD_DAY_OIL_ONLY,MEAN,2019/1F,2019/4F,FQ,'BKRACTMED=1,WIN=0,DATE=NOW')&lt;/Q&gt;&lt;R&gt;4&lt;/R&gt;&lt;C&gt;1&lt;/C&gt;&lt;D xsi:type="xsd:double"&gt;61.11077&lt;/D&gt;&lt;D xsi:type="xsd:double"&gt;64.310074&lt;/D&gt;&lt;D xsi:type="xsd:double"&gt;68.03823&lt;/D&gt;&lt;D xsi:type="xsd:double"&gt;71.32569&lt;/D&gt;&lt;/FQL&gt;&lt;FQL&gt;&lt;Q&gt;CPE^FE_TIMESERIES(PROD_DAY_OIL_ONLY,MEAN,2018/1F,2018/4F,FQ,'BKRACTMED=1,WIN=0,DATE=NOW')&lt;/Q&gt;&lt;R&gt;4&lt;/R&gt;&lt;C&gt;1&lt;/C&gt;&lt;D xsi:type="xsd:double"&gt;21.225883&lt;/D&gt;&lt;D xsi:type="xsd:double"&gt;23.751753&lt;/D&gt;&lt;D xsi:type="xsd:double"&gt;25.729841&lt;/D&gt;&lt;D xsi:type="xsd:double"&gt;27.246712&lt;/D&gt;&lt;/FQL&gt;&lt;FQL&gt;&lt;Q&gt;EPE^FF_OG_PROD_DAY(QTR_R_OIL_BOE,12/2017)&lt;/Q&gt;&lt;R&gt;1&lt;/R&gt;&lt;C&gt;1&lt;/C&gt;&lt;D xsi:type="xsd:double"&gt;43.6&lt;/D&gt;&lt;/FQL&gt;&lt;FQL&gt;&lt;Q&gt;LPI^FE_GUIDANCE_DATE(DATEN,CAPEX,ANNUAL,2018,'MM/DD/YYYY',0)&lt;/Q&gt;&lt;R&gt;1&lt;/R&gt;&lt;C&gt;1&lt;/C&gt;&lt;D xsi:type="xsd:string"&gt;01/25/2018&lt;/D&gt;&lt;/FQL&gt;&lt;FQL&gt;&lt;Q&gt;ECA^'FYE' + '  ' + CONVERT_DATE(FE_GUIDANCE_HISTO_DATE(DATEN,CAPEX,ANNUAL_ROLL,+1,'YYYY',NOW,-2AY,''),'MMM YY')&lt;/Q&gt;&lt;R&gt;3&lt;/R&gt;&lt;C&gt;1&lt;/C&gt;&lt;D xsi:type="xsd:string"&gt;FYE  Dec 18&lt;/D&gt;&lt;D xsi:type="xsd:string"&gt;FYE  Dec 17&lt;/D&gt;&lt;D xsi:type="xsd:string"&gt;FYE  Dec 16&lt;/D&gt;&lt;/FQL&gt;&lt;FQL&gt;&lt;Q&gt;WPX^FE_GUIDANCE(PROD_DAY_OIL_ONLY,MIDPOINT,ANNUAL,+2,0,,,'')&lt;/Q&gt;&lt;R&gt;0&lt;/R&gt;&lt;C&gt;0&lt;/C&gt;&lt;/FQL&gt;&lt;FQL&gt;&lt;Q&gt;WPX^FE_GUIDANCE(PRODPERDAY,MIDPOINT,ANNUAL,+2,0,,,'')&lt;/Q&gt;&lt;R&gt;0&lt;/R&gt;&lt;C&gt;0&lt;/C&gt;&lt;/FQL&gt;&lt;FQL&gt;&lt;Q&gt;EPE^FF_OG_TOT_RSRV_PROVED_NET(ANN_R_BOE,0)&lt;/Q&gt;&lt;R&gt;1&lt;/R&gt;&lt;C&gt;1&lt;/C&gt;&lt;D xsi:type="xsd:double"&gt;392.1&lt;/D&gt;&lt;/FQL&gt;&lt;FQL&gt;&lt;Q&gt;NBL^FF_OG_TOT_RSRV_PROVED_NET(ANN_R_BOE,0)&lt;/Q&gt;&lt;R&gt;1&lt;/R&gt;&lt;C&gt;1&lt;/C&gt;&lt;D xsi:type="xsd:double"&gt;1965&lt;/D&gt;&lt;/FQL&gt;&lt;FQL&gt;&lt;Q&gt;CPE^FF_OG_TOT_RSRV_PROVED_NET(ANN_R_BOE,0)&lt;/Q&gt;&lt;R&gt;1&lt;/R&gt;&lt;C&gt;1&lt;/C&gt;&lt;D xsi:type="xsd:double"&gt;136.974&lt;/D&gt;&lt;/FQL&gt;&lt;FQL&gt;&lt;Q&gt;JAG^FF_OG_TOT_RSRV_PROVED_NET(ANN_R_BOE,0)&lt;/Q&gt;&lt;R&gt;1&lt;/R&gt;&lt;C&gt;1&lt;/C&gt;&lt;D xsi:type="xsd:double"&gt;82.358&lt;/D&gt;&lt;/FQL&gt;&lt;FQL&gt;&lt;Q&gt;WPX^FF_OG_TOT_RSRV_PROVED_NET(ANN_R_BOE,0)&lt;/Q&gt;&lt;R&gt;1&lt;/R&gt;&lt;C&gt;1&lt;/C&gt;&lt;D xsi:type="xsd:double"&gt;436.184&lt;/D&gt;&lt;/FQL&gt;&lt;FQL&gt;&lt;Q&gt;EOG^FE_GUIDANCE(TOTAL_PROD,MIDPOINT,ANNUAL,+2,0,,,'')&lt;/Q&gt;&lt;R&gt;0&lt;/R&gt;&lt;C&gt;0&lt;/C&gt;&lt;/FQL&gt;&lt;FQL&gt;&lt;Q&gt;NBL^FE_GUIDANCE_DATE(DATEN,CAPEX,ANNUAL,2018,'MM/DD/YYYY',0)&lt;/Q&gt;&lt;R&gt;0&lt;/R&gt;&lt;C&gt;0&lt;/C&gt;&lt;/FQL&gt;&lt;FQL&gt;&lt;Q&gt;CDEV^'FYE' + '  ' + CONVERT_DATE(FE_GUIDANCE_HISTO_DATE(DATEN,CAPEX,ANNUAL_ROLL,+1,'YYYY',NOW,-2AY,''),'MMM YY')&lt;/Q&gt;&lt;R&gt;1&lt;/R&gt;&lt;C&gt;1&lt;/C&gt;&lt;D xsi:type="xsd:string"&gt;FYE  Dec 18&lt;/D&gt;&lt;/FQL&gt;&lt;FQL&gt;&lt;Q&gt;ECA^FE_GUIDANCE(PROD_DAY_OIL_ONLY,MIDPOINT,ANNUAL,+2,0,,,'')&lt;/Q&gt;&lt;R&gt;0&lt;/R&gt;&lt;C&gt;0&lt;/C&gt;&lt;/FQL&gt;&lt;FQL&gt;&lt;Q&gt;ECA^FE_GUIDANCE(PRODPERDAY,MIDPOINT,ANNUAL,+2,0,,,'')&lt;/Q&gt;&lt;R&gt;0&lt;/R&gt;&lt;C&gt;0&lt;/C&gt;&lt;/FQL&gt;&lt;FQL&gt;&lt;Q&gt;REN^FE_GUIDANCE(TOTAL_PROD,MIDPOINT,ANNUAL,+2,0,,,'')&lt;/Q&gt;&lt;R&gt;0&lt;/R&gt;&lt;C&gt;0&lt;/C&gt;&lt;/FQL&gt;&lt;FQL&gt;&lt;Q&gt;WPX^FE_GUIDANCE_DATE(DATEN,CAPEX,ANNUAL,2018,'MM/DD/YYYY',0)&lt;/Q&gt;&lt;R&gt;1&lt;/R&gt;&lt;C&gt;1&lt;/C&gt;&lt;D xsi:type="xsd:string"&gt;02/22/2018&lt;/D&gt;&lt;/FQL&gt;&lt;FQL&gt;&lt;Q&gt;PE^'FYE' + '  ' + CONVERT_DATE(FE_GUIDANCE_HISTO_DATE(DATEN,CAPEX,ANNUAL_ROLL,+1,'YYYY',NOW,-2AY,''),'MMM YY')&lt;/Q&gt;&lt;R&gt;4&lt;/R&gt;&lt;C&gt;1&lt;/C&gt;&lt;D xsi:type="xsd:string"&gt;FYE  Dec 17&lt;/D&gt;&lt;D xsi:type="xsd:string"&gt;FYE  Dec 17&lt;/D&gt;&lt;D xsi:type="xsd:string"&gt;FYE  Dec 16&lt;/D&gt;&lt;D xsi:type="xsd:string"&gt;FYE  Dec 16&lt;/D&gt;&lt;/FQL&gt;&lt;FQL&gt;&lt;Q&gt;LPI^FE_GUIDANCE(PROD_DAY_OIL_ONLY,MIDPOINT,ANNUAL,+2,0,,,'')&lt;/Q&gt;&lt;R&gt;0&lt;/R&gt;&lt;C&gt;0&lt;/C&gt;&lt;/FQL&gt;&lt;FQL&gt;&lt;Q&gt;LPI^FE_GUIDANCE(PRODPERDAY,MIDPOINT,ANNUAL,+2,0,,,'')&lt;/Q&gt;&lt;R&gt;0&lt;/R&gt;&lt;C&gt;0&lt;/C&gt;&lt;/FQL&gt;&lt;FQL&gt;&lt;Q&gt;SM^FF_OG_TOT_RSRV_PROVED_NET(ANN_R_BOE,0)&lt;/Q&gt;&lt;R&gt;1&lt;/R&gt;&lt;C&gt;1&lt;/C&gt;&lt;D xsi:type="xsd:double"&gt;468.1&lt;/D&gt;&lt;/FQL&gt;&lt;FQL&gt;&lt;Q&gt;AREX^FF_OG_TOT_RSRV_PROVED_NET(ANN_R_BOE,0)&lt;/Q&gt;&lt;R&gt;1&lt;/R&gt;&lt;C&gt;1&lt;/C&gt;&lt;D xsi:type="xsd:double"&gt;181.545&lt;/D&gt;&lt;/FQL&gt;&lt;FQL&gt;&lt;Q&gt;CRZO^FF_OG_TOT_RSRV_PROVED_NET(ANN_R_BOE,0)&lt;/Q&gt;&lt;R&gt;1&lt;/R&gt;&lt;C&gt;1&lt;/C&gt;&lt;D xsi:type="xsd:double"&gt;261.717&lt;/D&gt;&lt;/FQL&gt;&lt;FQL&gt;&lt;Q&gt;CXO^FF_OG_TOT_RSRV_PROVED_NET(ANN_R_BOE,0)&lt;/Q&gt;&lt;R&gt;1&lt;/R&gt;&lt;C&gt;1&lt;/C&gt;&lt;D xsi:type="xsd:double"&gt;840&lt;/D&gt;&lt;/FQL&gt;&lt;FQL&gt;&lt;Q&gt;APA^FF_OG_TOT_RSRV_PROVED_NET(ANN_R_BOE,0)&lt;/Q&gt;&lt;R&gt;1&lt;/R&gt;&lt;C&gt;1&lt;/C&gt;&lt;D xsi:type="xsd:double"&gt;1174.986&lt;/D&gt;&lt;/FQL&gt;&lt;FQL&gt;&lt;Q&gt;ECA^FE_GUIDANCE(TOTAL_PROD,MIDPOINT,ANNUAL,+2,0,,,'')&lt;/Q&gt;&lt;R&gt;0&lt;/R&gt;&lt;C&gt;0&lt;/C&gt;&lt;/FQL&gt;&lt;FQL&gt;&lt;Q&gt;CDEV^FF_OG_TOT_RSRV_PROVED_NET(ANN_R_BOE,0)&lt;/Q&gt;&lt;R&gt;1&lt;/R&gt;&lt;C&gt;1&lt;/C&gt;&lt;D xsi:type="xsd:double"&gt;186.454&lt;/D&gt;&lt;/FQL&gt;&lt;FQL&gt;&lt;Q&gt;OAS^FF_OG_TOT_RSRV_PROVED_NET(ANN_R_BOE,0)&lt;/Q&gt;&lt;R&gt;1&lt;/R&gt;&lt;C&gt;1&lt;/C&gt;&lt;D xsi:type="xsd:double"&gt;312.204&lt;/D&gt;&lt;/FQL&gt;&lt;FQL&gt;&lt;Q&gt;ROSE^FF_OG_TOT_RSRV_PROVED_NET(ANN_R_BOE,0)&lt;/Q&gt;&lt;R&gt;0&lt;/R&gt;&lt;C&gt;0&lt;/C&gt;&lt;/FQL&gt;&lt;FQL&gt;&lt;Q&gt;AXAS^FF_OG_TOT_RSRV_PROVED_NET(ANN_R_BOE,0)&lt;/Q&gt;&lt;R&gt;1&lt;/R&gt;&lt;C&gt;1&lt;/C&gt;&lt;D xsi:type="xsd:double"&gt;65.351&lt;/D&gt;&lt;/FQL&gt;&lt;FQL&gt;&lt;Q&gt;FANG^FE_GUIDANCE_DATE(DATEN,CAPEX,ANNUAL,2018,'MM/DD/YYYY',0)&lt;/Q&gt;&lt;R&gt;1&lt;/R&gt;&lt;C&gt;1&lt;/C&gt;&lt;D xsi:type="xsd:string"&gt;02/14/2018&lt;/D&gt;&lt;/FQL&gt;&lt;FQL&gt;&lt;Q&gt;PE^FE_GUIDANCE_DATE(DATEN,CAPEX,ANNUAL,2018,'MM/DD/YYYY',0)&lt;/Q&gt;&lt;R&gt;1&lt;/R&gt;&lt;C&gt;1&lt;/C&gt;&lt;D xsi:type="xsd:string"&gt;11/08/2017&lt;/D&gt;&lt;/FQL&gt;&lt;FQL&gt;&lt;Q&gt;WPX^'FYE' + '  ' + CONVERT_DATE(FE_GUIDANCE_HISTO_DATE(DATEN,CAPEX,ANNUAL_ROLL,+1,'YYYY',NOW,-2AY,''),'MMM YY')&lt;/Q&gt;&lt;R&gt;5&lt;/R&gt;&lt;C&gt;1&lt;/C&gt;&lt;D xsi:type="xsd:string"&gt;FYE  Dec 18&lt;/D&gt;&lt;D xsi:type="xsd:string"&gt;FYE  Dec 17&lt;/D&gt;&lt;D xsi:type="xsd:string"&gt;FYE  Dec 16&lt;/D&gt;&lt;D xsi:type="xsd:string"&gt;FYE  Dec 16&lt;/D&gt;&lt;D xsi:type="xsd:string"&gt;FYE  Dec 16&lt;/D&gt;&lt;/FQL&gt;&lt;FQL&gt;&lt;Q&gt;RSPP^FE_GUIDANCE(PROD_DAY_OIL_ONLY,MIDPOINT,ANNUAL,+2,0,,,'')&lt;/Q&gt;&lt;R&gt;0&lt;/R&gt;&lt;C&gt;0&lt;/C&gt;&lt;/FQL&gt;&lt;FQL&gt;&lt;Q&gt;RSPP^FE_GUIDANCE(PRODPERDAY,MIDPOINT,ANNUAL,+2,0,,,'')&lt;/Q&gt;&lt;R&gt;0&lt;/R&gt;&lt;C&gt;0&lt;/C&gt;&lt;/FQL&gt;&lt;FQL&gt;&lt;Q&gt;RSPP^FE_GUIDANCE(TOTAL_PROD,MIDPOINT,ANNUAL,+2,0,,,'')&lt;/Q&gt;&lt;R&gt;0&lt;/R&gt;&lt;C&gt;0&lt;/C&gt;&lt;/FQL&gt;&lt;FQL&gt;&lt;Q&gt;CRZO^FE_GUIDANCE_DATE(DATEN,CAPEX,ANNUAL,2018,'MM/DD/YYYY',0)&lt;/Q&gt;&lt;R&gt;1&lt;/R&gt;&lt;C&gt;1&lt;/C&gt;&lt;D xsi:type="xsd:string"&gt;02/27/2018&lt;/D&gt;&lt;/FQL&gt;&lt;FQL&gt;&lt;Q&gt;XEC^FE_TIMESERIES(PROD_DAY_OIL_ONLY,MEAN,2018/1F,2018/4F,FQ,'BKRACTMED=1,WIN=0,DATE=NOW')&lt;/Q&gt;&lt;R&gt;4&lt;/R&gt;&lt;C&gt;1&lt;/C&gt;&lt;D xsi:type="xsd:double"&gt;63.714&lt;/D&gt;&lt;D xsi:type="xsd:double"&gt;66.765335&lt;/D&gt;&lt;D xsi:type="xsd:double"&gt;73.68634&lt;/D&gt;&lt;D xsi:type="xsd:double"&gt;80.48007&lt;/D&gt;&lt;/FQL&gt;&lt;FQL&gt;&lt;Q&gt;USEG^FG_COMPANY_NAME&lt;/Q&gt;&lt;R&gt;1&lt;/R&gt;&lt;C&gt;1&lt;/C&gt;&lt;D xsi:type="xsd:string"&gt;U.S. Energy Corp.&lt;/D&gt;&lt;/FQL&gt;&lt;FQL&gt;&lt;Q&gt;XEC^FG_COMPANY_NAME&lt;/Q&gt;&lt;R&gt;1&lt;/R&gt;&lt;C&gt;1&lt;/C&gt;&lt;D xsi:type="xsd:string"&gt;Cimarex Energy Co.&lt;/D&gt;&lt;/FQL&gt;&lt;FQL&gt;&lt;Q&gt;APA^FE_GUIDANCE(TOTAL_PROD,MIDPOINT,ANNUAL,+2,0,,,'')&lt;/Q&gt;&lt;R&gt;0&lt;/R&gt;&lt;C&gt;0&lt;/C&gt;&lt;/FQL&gt;&lt;FQL&gt;&lt;Q&gt;HK^FE_GUIDANCE_DATE(DATEN,CAPEX,ANNUAL,2018,'MM/DD/YYYY',0)&lt;/Q&gt;&lt;R&gt;1&lt;/R&gt;&lt;C&gt;1&lt;/C&gt;&lt;D xsi:type="xsd:string"&gt;11/10/2017&lt;/D&gt;&lt;/FQL&gt;&lt;FQL&gt;&lt;Q&gt;RSPP^'FYE' + '  ' + CONVERT_DATE(FE_GUIDANCE_HISTO_DATE(DATEN,CAPEX,ANNUAL_ROLL,+1,'YYYY',NOW,-2AY,''),'MMM YY')&lt;/Q&gt;&lt;R&gt;7&lt;/R&gt;&lt;C&gt;1&lt;/C&gt;&lt;D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PXD^FE_GUIDANCE(PROD_DAY_OIL_ONLY,MIDPOINT,ANNUAL,+2,0,,,'')&lt;/Q&gt;&lt;R&gt;0&lt;/R&gt;&lt;C&gt;0&lt;/C&gt;&lt;/FQL&gt;&lt;FQL&gt;&lt;Q&gt;PXD^FE_GUIDANCE(PRODPERDAY,MIDPOINT,ANNUAL,+2,0,,,'')&lt;/Q&gt;&lt;R&gt;0&lt;/R&gt;&lt;C&gt;0&lt;/C&gt;&lt;/FQL&gt;&lt;FQL&gt;&lt;Q&gt;ROSE^FE_GUIDANCE_DATE(DATEN,CAPEX,ANNUAL,2018,'MM/DD/YYYY',0)&lt;/Q&gt;&lt;R&gt;0&lt;/R&gt;&lt;C&gt;0&lt;/C&gt;&lt;/FQL&gt;&lt;FQL&gt;&lt;Q&gt;ESTE^FE_GUIDANCE_DATE(DATEN,CAPEX,ANNUAL,2018,'MM/DD/YYYY',0)&lt;/Q&gt;&lt;R&gt;1&lt;/R&gt;&lt;C&gt;1&lt;/C&gt;&lt;D xsi:type="xsd:string"&gt;02/23/2018&lt;/D&gt;&lt;/FQL&gt;&lt;FQL&gt;&lt;Q&gt;EOG^'FYE' + '  ' + CONVERT_DATE(FE_GUIDANCE_HISTO_DATE(DATEN,CAPEX,ANNUAL_ROLL,+1,'YYYY',NOW,-2AY,''),'MMM YY')&lt;/Q&gt;&lt;R&gt;8&lt;/R&gt;&lt;C&gt;1&lt;/C&gt;&lt;D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JAG^FE_GUIDANCE(PROD_DAY_OIL_ONLY,MIDPOINT,ANNUAL,+2,0,,,'')&lt;/Q&gt;&lt;R&gt;0&lt;/R&gt;&lt;C&gt;0&lt;/C&gt;&lt;/FQL&gt;&lt;FQL&gt;&lt;Q&gt;JAG^FE_GUIDANCE(PRODPERDAY,MIDPOINT,ANNUAL,+2,0,,,'')&lt;/Q&gt;&lt;R&gt;0&lt;/R&gt;&lt;C&gt;0&lt;/C&gt;&lt;/FQL&gt;&lt;FQL&gt;&lt;Q&gt;JAG^FE_GUIDANCE(TOTAL_PROD,MIDPOINT,ANNUAL,+2,0,,,'')&lt;/Q&gt;&lt;R&gt;0&lt;/R&gt;&lt;C&gt;0&lt;/C&gt;&lt;/FQL&gt;&lt;FQL&gt;&lt;Q&gt;CDEV^FE_GUIDANCE_DATE(DATEN,CAPEX,ANNUAL,2018,'MM/DD/YYYY',0)&lt;/Q&gt;&lt;R&gt;1&lt;/R&gt;&lt;C&gt;1&lt;/C&gt;&lt;D xsi:type="xsd:string"&gt;02/27/2018&lt;/D&gt;&lt;/FQL&gt;&lt;FQL&gt;&lt;Q&gt;NBL^'FYE' + '  ' + CONVERT_DATE(FE_GUIDANCE_HISTO_DATE(DATEN,CAPEX,ANNUAL_ROLL,+1,'YYYY',NOW,-2AY,''),'MMM YY')&lt;/Q&gt;&lt;R&gt;0&lt;/R&gt;&lt;C&gt;0&lt;/C&gt;&lt;/FQL&gt;&lt;FQL&gt;&lt;Q&gt;CPE^FE_GUIDANCE(PROD_DAY_OIL_ONLY,MIDPOINT,ANNUAL,+2,0,,,'')&lt;/Q&gt;&lt;R&gt;0&lt;/R&gt;&lt;C&gt;0&lt;/C&gt;&lt;/FQL&gt;&lt;FQL&gt;&lt;Q&gt;CPE^FE_GUIDANCE(PRODPERDAY,MIDPOINT,ANNUAL,+2,0,,,'')&lt;/Q&gt;&lt;R&gt;0&lt;/R&gt;&lt;C&gt;0&lt;/C&gt;&lt;/FQL&gt;&lt;FQL&gt;&lt;Q&gt;PXD^FE_GUIDANCE_DATE(DATEN,PRODPERDAY,ANNUAL,2018,'MM/DD/YYYY',0)&lt;/Q&gt;&lt;R&gt;0&lt;/R&gt;&lt;C&gt;0&lt;/C&gt;&lt;/FQL&gt;&lt;FQL&gt;&lt;Q&gt;EOG^FE_GUIDANCE_DATE(DATEN,CAPEX,ANNUAL,2018,'MM/DD/YYYY',0)&lt;/Q&gt;&lt;R&gt;1&lt;/R&gt;&lt;C&gt;1&lt;/C&gt;&lt;D xsi:type="xsd:string"&gt;02/28/2018&lt;/D&gt;&lt;/FQL&gt;&lt;FQL&gt;&lt;Q&gt;ESTE^'FYE' + '  ' + CONVERT_DATE(FE_GUIDANCE_HISTO_DATE(DATEN,CAPEX,ANNUAL_ROLL,+1,'YYYY',NOW,-2AY,''),'MMM YY')&lt;/Q&gt;&lt;R&gt;0&lt;/R&gt;&lt;C&gt;0&lt;/C&gt;&lt;/FQL&gt;&lt;FQL&gt;&lt;Q&gt;REN^FE_GUIDANCE(PROD_DAY_OIL_ONLY,MIDPOINT,ANNUAL,+2,0,,,'')&lt;/Q&gt;&lt;R&gt;0&lt;/R&gt;&lt;C&gt;0&lt;/C&gt;&lt;/FQL&gt;&lt;FQL&gt;&lt;Q&gt;REN^FE_GUIDANCE(PRODPERDAY,MIDPOINT,ANNUAL,+2,0,,,'')&lt;/Q&gt;&lt;R&gt;0&lt;/R&gt;&lt;C&gt;0&lt;/C&gt;&lt;/FQL&gt;&lt;FQL&gt;&lt;Q&gt;CDEV^FE_GUIDANCE(TOTAL_PROD,MIDPOINT,ANNUAL,+2,0,,,'')&lt;/Q&gt;&lt;R&gt;0&lt;/R&gt;&lt;C&gt;0&lt;/C&gt;&lt;/FQL&gt;&lt;FQL&gt;&lt;Q&gt;AXAS^FE_GUIDANCE_DATE(DATEN,CAPEX,ANNUAL,2018,'MM/DD/YYYY',0)&lt;/Q&gt;&lt;R&gt;1&lt;/R&gt;&lt;C&gt;1&lt;/C&gt;&lt;D xsi:type="xsd:string"&gt;08/09/2017&lt;/D&gt;&lt;/FQL&gt;&lt;FQL&gt;&lt;Q&gt;PDCE^FE_TIMESERIES(PROD_DAY_OIL_ONLY,MEAN,2019/1F,2019/4F,FQ,'BKRACTMED=1,WIN=0,DATE=NOW')&lt;/Q&gt;&lt;R&gt;4&lt;/R&gt;&lt;C&gt;1&lt;/C&gt;&lt;D xsi:type="xsd:double"&gt;55.992188&lt;/D&gt;&lt;D xsi:type="xsd:double"&gt;59.608585&lt;/D&gt;&lt;D xsi:type="xsd:double"&gt;63.971115&lt;/D&gt;&lt;D xsi:type="xsd:double"&gt;67.706055&lt;/D&gt;&lt;/FQL&gt;&lt;FQL&gt;&lt;Q&gt;NBL^FF_OG_PROD_DAY(QTR_R_OIL_BOE,12/2017)&lt;/Q&gt;&lt;R&gt;1&lt;/R&gt;&lt;C&gt;1&lt;/C&gt;&lt;D xsi:type="xsd:double"&gt;141&lt;/D&gt;&lt;/FQL&gt;&lt;FQL&gt;&lt;Q&gt;CRZO^FE_TIMESERIES(PROD_DAY_OIL_ONLY,MEAN,2018/1F,2018/4F,FQ,'BKRACTMED=1,WIN=0,DATE=NOW')&lt;/Q&gt;&lt;R&gt;4&lt;/R&gt;&lt;C&gt;1&lt;/C&gt;&lt;D xsi:type="xsd:double"&gt;33.04009&lt;/D&gt;&lt;D xsi:type="xsd:double"&gt;37.724606&lt;/D&gt;&lt;D xsi:type="xsd:double"&gt;41.75736&lt;/D&gt;&lt;D xsi:type="xsd:double"&gt;44.41634&lt;/D&gt;&lt;/FQL&gt;&lt;FQL&gt;&lt;Q&gt;MRO^FE_GUIDANCE(TOTAL_PROD,MIDPOINT,ANNUAL,+2,0,,,'')&lt;/Q&gt;&lt;R&gt;0&lt;/R&gt;&lt;C&gt;0&lt;/C&gt;&lt;/FQL&gt;&lt;FQL&gt;&lt;Q&gt;CPE^FE_GUIDANCE_DATE(DATEN,PRODPERDAY,ANNUAL,2018,'MM/DD/YYYY',0)&lt;/Q&gt;&lt;R&gt;1&lt;/R&gt;&lt;C&gt;1&lt;/C&gt;&lt;D xsi:type="xsd:string"&gt;02/28/2018&lt;/D&gt;&lt;/FQL&gt;&lt;FQL&gt;&lt;Q&gt;EGN^'FYE' + '  ' + CONVERT_DATE(FE_GUIDANCE_HISTO_DATE(DATEN,CAPEX,ANNUAL_ROLL,+1,'YYYY',NOW,-2AY,''),'MMM YY')&lt;/Q&gt;&lt;R&gt;4&lt;/R&gt;&lt;C&gt;1&lt;/C&gt;&lt;D xsi:type="xsd:string"&gt;FYE  Dec 18&lt;/D&gt;&lt;D xsi:type="xsd:string"&gt;FYE  Dec 17&lt;/D&gt;&lt;D xsi:type="xsd:string"&gt;FYE  Dec 17&lt;/D&gt;&lt;D xsi:type="xsd:string"&gt;FYE  Dec 17&lt;/D&gt;&lt;/FQL&gt;&lt;FQL&gt;&lt;Q&gt;CDEV^FE_GUIDANCE(PROD_DAY_OIL_ONLY,MIDPOINT,ANNUAL,+2,0,,,'')&lt;/Q&gt;&lt;R&gt;0&lt;/R&gt;&lt;C&gt;0&lt;/C&gt;&lt;/FQL&gt;&lt;FQL&gt;&lt;Q&gt;CDEV^FE_GUIDANCE(PRODPERDAY,MIDPOINT,ANNUAL,+2,0,,,'')&lt;/Q&gt;&lt;R&gt;0&lt;/R&gt;&lt;C&gt;0&lt;/C&gt;&lt;/FQL&gt;&lt;FQL&gt;&lt;Q&gt;EOG^FF_OG_TOT_RSRV_PROVED_NET(ANN_R_BOE,0)&lt;/Q&gt;&lt;R&gt;1&lt;/R&gt;&lt;C&gt;1&lt;/C&gt;&lt;D xsi:type="xsd:double"&gt;2526.97&lt;/D&gt;&lt;/FQL&gt;&lt;FQL&gt;&lt;Q&gt;OXY^FF_OG_TOT_RSRV_PROVED_NET(ANN_R_BOE,0)&lt;/Q&gt;&lt;R&gt;1&lt;/R&gt;&lt;C&gt;1&lt;/C&gt;&lt;D xsi:type="xsd:double"&gt;2598&lt;/D&gt;&lt;/FQL&gt;&lt;FQL&gt;&lt;Q&gt;QEP^FF_OG_TOT_RSRV_PROVED_NET(ANN_R_BOE,0)&lt;/Q&gt;&lt;R&gt;1&lt;/R&gt;&lt;C&gt;1&lt;/C&gt;&lt;D xsi:type="xsd:double"&gt;684.7&lt;/D&gt;&lt;/FQL&gt;&lt;FQL&gt;&lt;Q&gt;RSPP^FF_OG_TOT_RSRV_PROVED_NET(ANN_R_BOE,0)&lt;/Q&gt;&lt;R&gt;1&lt;/R&gt;&lt;C&gt;1&lt;/C&gt;&lt;D xsi:type="xsd:double"&gt;375.942&lt;/D&gt;&lt;/FQL&gt;&lt;FQL&gt;&lt;Q&gt;REN^FF_OG_TOT_RSRV_PROVED_NET(ANN_R_BOE,0)&lt;/Q&gt;&lt;R&gt;1&lt;/R&gt;&lt;C&gt;1&lt;/C&gt;&lt;D xsi:type="xsd:double"&gt;53.43&lt;/D&gt;&lt;/FQL&gt;&lt;FQL&gt;&lt;Q&gt;ESTE^FE_GUIDANCE(TOTAL_PROD,MIDPOINT,ANNUAL,+2,0,,,'')&lt;/Q&gt;&lt;R&gt;0&lt;/R&gt;&lt;C&gt;0&lt;/C&gt;&lt;/FQL&gt;&lt;FQL&gt;&lt;Q&gt;EPE^FE_GUIDANCE_DATE(DATEN,CAPEX,ANNUAL,2018,'MM/DD/YYYY',0)&lt;/Q&gt;&lt;R&gt;0&lt;/R&gt;&lt;C&gt;0&lt;/C&gt;&lt;/FQL&gt;&lt;FQL&gt;&lt;Q&gt;PE^FE_TIMESERIES(PROD_DAY_OIL_ONLY,MEAN,2019/1F,2019/4F,FQ,'BKRACTMED=1,WIN=0,DATE=NOW')&lt;/Q&gt;&lt;R&gt;4&lt;/R&gt;&lt;C&gt;1&lt;/C&gt;&lt;D xsi:type="xsd:double"&gt;83.905396&lt;/D&gt;&lt;D xsi:type="xsd:double"&gt;89.53402&lt;/D&gt;&lt;D xsi:type="xsd:double"&gt;95.29684&lt;/D&gt;&lt;D xsi:type="xsd:double"&gt;100.444084&lt;/D&gt;&lt;/FQL&gt;&lt;FQL&gt;&lt;Q&gt;QEP^FE_TIMESERIES(PROD_DAY_OIL_ONLY,MEAN,2018/1F,2018/4F,FQ,'BKRACTMED=1,WIN=0,DATE=NOW')&lt;/Q&gt;&lt;R&gt;4&lt;/R&gt;&lt;C&gt;1&lt;/C&gt;&lt;D xsi:type="xsd:double"&gt;52.63143&lt;/D&gt;&lt;D xsi:type="xsd:double"&gt;57.543915&lt;/D&gt;&lt;D xsi:type="xsd:double"&gt;64.42971&lt;/D&gt;&lt;D xsi:type="xsd:double"&gt;65.77815&lt;/D&gt;&lt;/FQL&gt;&lt;FQL&gt;&lt;Q&gt;PE^FG_COMPANY_NAME&lt;/Q&gt;&lt;R&gt;1&lt;/R&gt;&lt;C&gt;1&lt;/C&gt;&lt;D xsi:type="xsd:string"&gt;Parsley Energy, Inc. Class A&lt;/D&gt;&lt;/FQL&gt;&lt;FQL&gt;&lt;Q&gt;PE^FE_GUIDANCE(TOTAL_PROD,MIDPOINT,ANNUAL,+2,0,,,'')&lt;/Q&gt;&lt;R&gt;0&lt;/R&gt;&lt;C&gt;0&lt;/C&gt;&lt;/FQL&gt;&lt;FQL&gt;&lt;Q&gt;FANG^FE_GUIDANCE(PROD_DAY_OIL_ONLY,MIDPOINT,ANNUAL,+2,0,,,'')&lt;/Q&gt;&lt;R&gt;0&lt;/R&gt;&lt;C&gt;0&lt;/C&gt;&lt;/FQL&gt;&lt;FQL&gt;&lt;Q&gt;FANG^FE_GUIDANCE(PRODPERDAY,MIDPOINT,ANNUAL,+2,0,,,'')&lt;/Q&gt;&lt;R&gt;0&lt;/R&gt;&lt;C&gt;0&lt;/C&gt;&lt;/FQL&gt;&lt;FQL&gt;&lt;Q&gt;FANG^FE_GUIDANCE(TOTAL_PROD,MIDPOINT,ANNUAL,+2,0,,,'')&lt;/Q&gt;&lt;R&gt;0&lt;/R&gt;&lt;C&gt;0&lt;/C&gt;&lt;/FQL&gt;&lt;FQL&gt;&lt;Q&gt;FANG^FE_GUIDANCE(CAPEX,MIDPOINT,ANNUAL,+2,0,,,'')&lt;/Q&gt;&lt;R&gt;0&lt;/R&gt;&lt;C&gt;0&lt;/C&gt;&lt;/FQL&gt;&lt;FQL&gt;&lt;Q&gt;CXO^FE_GUIDANCE(TOTAL_PROD,MIDPOINT,ANNUAL,+2,0,,,'')&lt;/Q&gt;&lt;R&gt;0&lt;/R&gt;&lt;C&gt;0&lt;/C&gt;&lt;/FQL&gt;&lt;FQL&gt;&lt;Q&gt;PDCE^FE_GUIDANCE_DATE(DATEN,CAPEX,ANNUAL,2018,'MM/DD/YYYY',0)&lt;/Q&gt;&lt;R&gt;1&lt;/R&gt;&lt;C&gt;1&lt;/C&gt;&lt;D xsi:type="xsd:string"&gt;02/27/2018&lt;/D&gt;&lt;/FQL&gt;&lt;FQL&gt;&lt;Q&gt;MRO^FG_COMPANY_NAME&lt;/Q&gt;&lt;R&gt;1&lt;/R&gt;&lt;C&gt;1&lt;/C&gt;&lt;D xsi:type="xsd:string"&gt;Marathon Oil Corporation&lt;/D&gt;&lt;/FQL&gt;&lt;FQL&gt;&lt;Q&gt;OXY^FE_GUIDANCE(PROD_DAY_OIL_ONLY,MIDPOINT,ANNUAL,+2,0,,,'')&lt;/Q&gt;&lt;R&gt;0&lt;/R&gt;&lt;C&gt;0&lt;/C&gt;&lt;/FQL&gt;&lt;FQL&gt;&lt;Q&gt;OXY^FE_GUIDANCE(PRODPERDAY,MIDPOINT,ANNUAL,+2,0,,,'')&lt;/Q&gt;&lt;R&gt;0&lt;/R&gt;&lt;C&gt;0&lt;/C&gt;&lt;/FQL&gt;&lt;FQL&gt;&lt;Q&gt;LPI^FE_GUIDANCE(TOTAL_PROD,MIDPOINT,ANNUAL,+2,0,,,'')&lt;/Q&gt;&lt;R&gt;0&lt;/R&gt;&lt;C&gt;0&lt;/C&gt;&lt;/FQL&gt;&lt;FQL&gt;&lt;Q&gt;ROSE^FE_GUIDANCE(PROD_DAY_OIL_ONLY,MIDPOINT,ANNUAL,+2,0,,,'')&lt;/Q&gt;&lt;R&gt;0&lt;/R&gt;&lt;C&gt;0&lt;/C&gt;&lt;/FQL&gt;&lt;FQL&gt;&lt;Q&gt;ROSE^FE_GUIDANCE(PRODPERDAY,MIDPOINT,ANNUAL,+2,0,,,'')&lt;/Q&gt;&lt;R&gt;0&lt;/R&gt;&lt;C&gt;0&lt;/C&gt;&lt;/FQL&gt;&lt;FQL&gt;&lt;Q&gt;ROSE^FE_GUIDANCE(TOTAL_PROD,MIDPOINT,ANNUAL,+2,0,,,'')&lt;/Q&gt;&lt;R&gt;0&lt;/R&gt;&lt;C&gt;0&lt;/C&gt;&lt;/FQL&gt;&lt;FQL&gt;&lt;Q&gt;ROSE^FE_GUIDANCE(CAPEX,MIDPOINT,ANNUAL,+2,0,,,'')&lt;/Q&gt;&lt;R&gt;0&lt;/R&gt;&lt;C&gt;0&lt;/C&gt;&lt;/FQL&gt;&lt;FQL&gt;&lt;Q&gt;PDCE^FE_GUIDANCE(CAPEX,MIDPOINT,ANNUAL,+2,0,,,'')&lt;/Q&gt;&lt;R&gt;0&lt;/R&gt;&lt;C&gt;0&lt;/C&gt;&lt;/FQL&gt;&lt;FQL&gt;&lt;Q&gt;REN^FE_GUIDANCE_DATE(DATEN,CAPEX,ANNUAL,2018,'MM/DD/YYYY',0)&lt;/Q&gt;&lt;R&gt;0&lt;/R&gt;&lt;C&gt;0&lt;/C&gt;&lt;/FQL&gt;&lt;FQL&gt;&lt;Q&gt;CXO^'FYE' + '  ' + CONVERT_DATE(FE_GUIDANCE_HISTO_DATE(DATEN,CAPEX,ANNUAL_ROLL,+1,'YYYY',NOW,-2AY,''),'MMM YY')&lt;/Q&gt;&lt;R&gt;4&lt;/R&gt;&lt;C&gt;1&lt;/C&gt;&lt;D xsi:type="xsd:string"&gt;FYE  Dec 18&lt;/D&gt;&lt;D xsi:type="xsd:string"&gt;FYE  Dec 17&lt;/D&gt;&lt;D xsi:type="xsd:string"&gt;FYE  Dec 16&lt;/D&gt;&lt;D xsi:type="xsd:string"&gt;FYE  Dec 16&lt;/D&gt;&lt;/FQL&gt;&lt;FQL&gt;&lt;Q&gt;EOG^FE_GUIDANCE(PROD_DAY_OIL_ONLY,MIDPOINT,ANNUAL,+2,0,,,'')&lt;/Q&gt;&lt;R&gt;0&lt;/R&gt;&lt;C&gt;0&lt;/C&gt;&lt;/FQL&gt;&lt;FQL&gt;&lt;Q&gt;EOG^FE_GUIDANCE(PRODPERDAY,MIDPOINT,ANNUAL,+2,0,,,'')&lt;/Q&gt;&lt;R&gt;0&lt;/R&gt;&lt;C&gt;0&lt;/C&gt;&lt;/FQL&gt;&lt;FQL&gt;&lt;Q&gt;USEG^FF_OG_PROD_TOT_NET(QTR_R_OIL_BOE,12/2017)&lt;/Q&gt;&lt;R&gt;1&lt;/R&gt;&lt;C&gt;1&lt;/C&gt;&lt;D xsi:type="xsd:double"&gt;16.875&lt;/D&gt;&lt;/FQL&gt;&lt;FQL&gt;&lt;Q&gt;DVN^FE_GUIDANCE_DATE(DATEN,CAPEX,ANNUAL,2018,'MM/DD/YYYY',0)&lt;/Q&gt;&lt;R&gt;1&lt;/R&gt;&lt;C&gt;1&lt;/C&gt;&lt;D xsi:type="xsd:string"&gt;02/21/2018&lt;/D&gt;&lt;/FQL&gt;&lt;FQL&gt;&lt;Q&gt;PXD^'FYE' + '  ' + CONVERT_DATE(FE_GUIDANCE_HISTO_DATE(DATEN,CAPEX,ANNUAL_ROLL,+1,'YYYY',NOW,-2AY,''),'MMM YY')&lt;/Q&gt;&lt;R&gt;8&lt;/R&gt;&lt;C&gt;1&lt;/C&gt;&lt;D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MRO^FE_GUIDANCE(PROD_DAY_OIL_ONLY,MIDPOINT,ANNUAL,+2,0,,,'')&lt;/Q&gt;&lt;R&gt;0&lt;/R&gt;&lt;C&gt;0&lt;/C&gt;&lt;/FQL&gt;&lt;FQL&gt;&lt;Q&gt;MRO^FE_GUIDANCE(PRODPERDAY,MIDPOINT,ANNUAL,+2,0,,,'')&lt;/Q&gt;&lt;R&gt;0&lt;/R&gt;&lt;C&gt;0&lt;/C&gt;&lt;/FQL&gt;&lt;FQL&gt;&lt;Q&gt;AREX^FE_GUIDANCE(TOTAL_PROD,MIDPOINT,ANNUAL,+2,0,,,'')&lt;/Q&gt;&lt;R&gt;0&lt;/R&gt;&lt;C&gt;0&lt;/C&gt;&lt;/FQL&gt;&lt;FQL&gt;&lt;Q&gt;RSPP^FE_GUIDANCE_DATE(DATEN,CAPEX,ANNUAL,2018,'MM/DD/YYYY',0)&lt;/Q&gt;&lt;R&gt;1&lt;/R&gt;&lt;C&gt;1&lt;/C&gt;&lt;D xsi:type="xsd:string"&gt;02/28/2018&lt;/D&gt;&lt;/FQL&gt;&lt;FQL&gt;&lt;Q&gt;HK^'FYE' + '  ' + CONVERT_DATE(FE_GUIDANCE_HISTO_DATE(DATEN,CAPEX,ANNUAL_ROLL,+1,'YYYY',NOW,-2AY,''),'MMM YY')&lt;/Q&gt;&lt;R&gt;0&lt;/R&gt;&lt;C&gt;0&lt;/C&gt;&lt;/FQL&gt;&lt;FQL&gt;&lt;Q&gt;PE^FE_GUIDANCE(PROD_DAY_OIL_ONLY,MIDPOINT,ANNUAL,+2,0,,,'')&lt;/Q&gt;&lt;R&gt;0&lt;/R&gt;&lt;C&gt;0&lt;/C&gt;&lt;/FQL&gt;&lt;FQL&gt;&lt;Q&gt;PE^FE_GUIDANCE(PRODPERDAY,MIDPOINT,ANNUAL,+2,0,,,'')&lt;/Q&gt;&lt;R&gt;0&lt;/R&gt;&lt;C&gt;0&lt;/C&gt;&lt;/FQL&gt;&lt;FQL&gt;&lt;Q&gt;CPE^FE_GUIDANCE(TOTAL_PROD,MIDPOINT,ANNUAL,+2,0,,,'')&lt;/Q&gt;&lt;R&gt;0&lt;/R&gt;&lt;C&gt;0&lt;/C&gt;&lt;/FQL&gt;&lt;FQL&gt;&lt;Q&gt;CXO-US^FE_TIMESERIES_PERIOD(,2018,2018,FY,'')&lt;/Q&gt;&lt;R&gt;1&lt;/R&gt;&lt;C&gt;1&lt;/C&gt;&lt;D xsi:type="xsd:string"&gt;2018&lt;/D&gt;&lt;/FQL&gt;&lt;FQL&gt;&lt;Q&gt;CXO-US^FE_TIMESERIES_PERIOD(,2018/1F,2018/4F,FQ,'')&lt;/Q&gt;&lt;R&gt;4&lt;/R&gt;&lt;C&gt;1&lt;/C&gt;&lt;D xsi:type="xsd:string"&gt;2018/1F&lt;/D&gt;&lt;D xsi:type="xsd:string"&gt;2018/2F&lt;/D&gt;&lt;D xsi:type="xsd:string"&gt;2018/3F&lt;/D&gt;&lt;D xsi:type="xsd:string"&gt;2018/4F&lt;/D&gt;&lt;/FQL&gt;&lt;FQL&gt;&lt;Q&gt;CXO-US^PROPER(CONVERT_DATE(FE_TIMESERIES_PERIOD(,2018,2018,FY,'DISPLAY=YYYYMMDD'),"MMM 'YY"))&lt;/Q&gt;&lt;R&gt;1&lt;/R&gt;&lt;C&gt;1&lt;/C&gt;&lt;D xsi:type="xsd:string"&gt;Dec '18&lt;/D&gt;&lt;/FQL&gt;&lt;FQL&gt;&lt;Q&gt;CXO-US^PROPER(CONVERT_DATE(FE_TIMESERIES_PERIOD(,2018/1F,2018/4F,FQ,'DISPLAY=YYYYMMDD'),"MMM 'YY"))&lt;/Q&gt;&lt;R&gt;4&lt;/R&gt;&lt;C&gt;1&lt;/C&gt;&lt;D xsi:type="xsd:string"&gt;Mar '18&lt;/D&gt;&lt;D xsi:type="xsd:string"&gt;Jun '18&lt;/D&gt;&lt;D xsi:type="xsd:string"&gt;Sep '18&lt;/D&gt;&lt;D xsi:type="xsd:string"&gt;Dec '18&lt;/D&gt;&lt;/FQL&gt;&lt;FQL&gt;&lt;Q&gt;MTDR^FF_OG_TOT_RSRV_PROVED_NET(ANN_R_BOE,0)&lt;/Q&gt;&lt;R&gt;1&lt;/R&gt;&lt;C&gt;1&lt;/C&gt;&lt;D xsi:type="xsd:double"&gt;152.771&lt;/D&gt;&lt;/FQL&gt;&lt;FQL&gt;&lt;Q&gt;ECA^FF_OG_TOT_RSRV_PROVED_NET(ANN_R_BOE,0)&lt;/Q&gt;&lt;R&gt;1&lt;/R&gt;&lt;C&gt;1&lt;/C&gt;&lt;D xsi:type="xsd:double"&gt;861.5&lt;/D&gt;&lt;/FQL&gt;&lt;FQL&gt;&lt;Q&gt;HK^FF_OG_TOT_RSRV_PROVED_NET(ANN_R_BOE,0)&lt;/Q&gt;&lt;R&gt;1&lt;/R&gt;&lt;C&gt;1&lt;/C&gt;&lt;D xsi:type="xsd:double"&gt;51.119&lt;/D&gt;&lt;/FQL&gt;&lt;FQL&gt;&lt;Q&gt;MRO^FF_OG_TOT_RSRV_PROVED_NET(ANN_R_BOE,0)&lt;/Q&gt;&lt;R&gt;1&lt;/R&gt;&lt;C&gt;1&lt;/C&gt;&lt;D xsi:type="xsd:double"&gt;1449&lt;/D&gt;&lt;/FQL&gt;&lt;FQL&gt;&lt;Q&gt;PE^FF_OG_TOT_RSRV_PROVED_NET(ANN_R_BOE,0)&lt;/Q&gt;&lt;R&gt;1&lt;/R&gt;&lt;C&gt;1&lt;/C&gt;&lt;D xsi:type="xsd:double"&gt;416.447&lt;/D&gt;&lt;/FQL&gt;&lt;FQL&gt;&lt;Q&gt;DVN^FF_OG_PROD_DAY(QTR_R_OIL_BOE,12/2017)&lt;/Q&gt;&lt;R&gt;1&lt;/R&gt;&lt;C&gt;1&lt;/C&gt;&lt;D xsi:type="xsd:double"&gt;246&lt;/D&gt;&lt;/FQL&gt;&lt;FQL&gt;&lt;Q&gt;CXO^FE_GUIDANCE_DATE(DATEN,CAPEX,ANNUAL,2018,'MM/DD/YYYY',0)&lt;/Q&gt;&lt;R&gt;1&lt;/R&gt;&lt;C&gt;1&lt;/C&gt;&lt;D xsi:type="xsd:string"&gt;02/21/2018&lt;/D&gt;&lt;/FQL&gt;&lt;FQL&gt;&lt;Q&gt;REN^'FYE' + '  ' + CONVERT_DATE(FE_GUIDANCE_HISTO_DATE(DATEN,CAPEX,ANNUAL_ROLL,+1,'YYYY',NOW,-2AY,''),'MMM YY')&lt;/Q&gt;&lt;R&gt;2&lt;/R&gt;&lt;C&gt;1&lt;/C&gt;&lt;D xsi:type="xsd:string"&gt;FYE  Dec 16&lt;/D&gt;&lt;D xsi:type="xsd:string"&gt;FYE  Dec 16&lt;/D&gt;&lt;/FQL&gt;&lt;FQL&gt;&lt;Q&gt;AREX^FE_GUIDANCE(PROD_DAY_OIL_ONLY,MIDPOINT,ANNUAL,+2,0,,,'')&lt;/Q&gt;&lt;R&gt;0&lt;/R&gt;&lt;C&gt;0&lt;/C&gt;&lt;/FQL&gt;&lt;FQL&gt;&lt;Q&gt;AREX^FE_GUIDANCE(PRODPERDAY,MIDPOINT,ANNUAL,+2,0,,,'')&lt;/Q&gt;&lt;R&gt;0&lt;/R&gt;&lt;C&gt;0&lt;/C&gt;&lt;/FQL&gt;&lt;FQL&gt;&lt;Q&gt;XEC^FE_GUIDANCE(TOTAL_PROD,MIDPOINT,ANNUAL,+2,0,,,'')&lt;/Q&gt;&lt;R&gt;0&lt;/R&gt;&lt;C&gt;0&lt;/C&gt;&lt;/FQL&gt;&lt;FQL&gt;&lt;Q&gt;OAS^FE_GUIDANCE(PROD_DAY_OIL_ONLY,MIDPOINT,ANNUAL,+2,0,,,'')&lt;/Q&gt;&lt;R&gt;0&lt;/R&gt;&lt;C&gt;0&lt;/C&gt;&lt;/FQL&gt;&lt;FQL&gt;&lt;Q&gt;OAS^FE_GUIDANCE(PRODPERDAY,MIDPOINT,ANNUAL,+2,0,,,'')&lt;/Q&gt;&lt;R&gt;0&lt;/R&gt;&lt;C&gt;0&lt;/C&gt;&lt;/FQL&gt;&lt;FQL&gt;&lt;Q&gt;OAS^FE_GUIDANCE(TOTAL_PROD,MIDPOINT,ANNUAL,+2,0,,,'')&lt;/Q&gt;&lt;R&gt;0&lt;/R&gt;&lt;C&gt;0&lt;/C&gt;&lt;/FQL&gt;&lt;FQL&gt;&lt;Q&gt;OAS^FE_GUIDANCE(CAPEX,MIDPOINT,ANNUAL,+2,0,,,'')&lt;/Q&gt;&lt;R&gt;0&lt;/R&gt;&lt;C&gt;0&lt;/C&gt;&lt;/FQL&gt;&lt;FQL&gt;&lt;Q&gt;LPI^FF_OG_PROD_DAY(QTR_R_OIL_BOE,12/2017)&lt;/Q&gt;&lt;R&gt;1&lt;/R&gt;&lt;C&gt;1&lt;/C&gt;&lt;D xsi:type="xsd:double"&gt;26.6265&lt;/D&gt;&lt;/FQL&gt;&lt;FQL&gt;&lt;Q&gt;XEC^FE_GUIDANCE_DATE(DATEN,CAPEX,ANNUAL,2018,'MM/DD/YYYY',0)&lt;/Q&gt;&lt;R&gt;0&lt;/R&gt;&lt;C&gt;0&lt;/C&gt;&lt;/FQL&gt;&lt;FQL&gt;&lt;Q&gt;MRO^'FYE' + '  ' + CONVERT_DATE(FE_GUIDANCE_HISTO_DATE(DATEN,CAPEX,ANNUAL_ROLL,+1,'YYYY',NOW,-2AY,''),'MMM YY')&lt;/Q&gt;&lt;R&gt;2&lt;/R&gt;&lt;C&gt;1&lt;/C&gt;&lt;D xsi:type="xsd:string"&gt;FYE  Dec 17&lt;/D&gt;&lt;D xsi:type="xsd:string"&gt;FYE  Dec 16&lt;/D&gt;&lt;/FQL&gt;&lt;FQL&gt;&lt;Q&gt;XEC^FE_GUIDANCE(PROD_DAY_OIL_ONLY,MIDPOINT,ANNUAL,+2,0,,,'')&lt;/Q&gt;&lt;R&gt;0&lt;/R&gt;&lt;C&gt;0&lt;/C&gt;&lt;/FQL&gt;&lt;FQL&gt;&lt;Q&gt;XEC^FE_GUIDANCE(PRODPERDAY,MIDPOINT,ANNUAL,+2,0,,,'')&lt;/Q&gt;&lt;R&gt;0&lt;/R&gt;&lt;C&gt;0&lt;/C&gt;&lt;/FQL&gt;&lt;FQL&gt;&lt;Q&gt;PDCE^FF_OG_PROD_TOT_NET(QTR_R_OIL_BOE,12/2017)&lt;/Q&gt;&lt;R&gt;1&lt;/R&gt;&lt;C&gt;1&lt;/C&gt;&lt;D xsi:type="xsd:double"&gt;3718&lt;/D&gt;&lt;/FQL&gt;&lt;FQL&gt;&lt;Q&gt;EGN^FE_GUIDANCE_DATE(DATEN,CAPEX,ANNUAL,2018,'MM/DD/YYYY',0)&lt;/Q&gt;&lt;R&gt;1&lt;/R&gt;&lt;C&gt;1&lt;/C&gt;&lt;D xsi:type="xsd:string"&gt;02/20/2018&lt;/D&gt;&lt;/FQL&gt;&lt;FQL&gt;&lt;Q&gt;CPE^'FYE' + '  ' + CONVERT_DATE(FE_GUIDANCE_HISTO_DATE(DATEN,CAPEX,ANNUAL_ROLL,+1,'YYYY',NOW,-2AY,''),'MMM YY')&lt;/Q&gt;&lt;R&gt;7&lt;/R&gt;&lt;C&gt;1&lt;/C&gt;&lt;D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16&lt;/D&gt;&lt;/FQL&gt;&lt;FQL&gt;&lt;Q&gt;APA^FE_GUIDANCE(PROD_DAY_OIL_ONLY,MIDPOINT,ANNUAL,+2,0,,,'')&lt;/Q&gt;&lt;R&gt;0&lt;/R&gt;&lt;C&gt;0&lt;/C&gt;&lt;/FQL&gt;&lt;FQL&gt;&lt;Q&gt;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APA^FE_GUIDANCE(PRODPERDAY,MIDPOINT,ANNUAL,+2,0,,,'')&lt;/Q&gt;&lt;R&gt;0&lt;/R&gt;&lt;C&gt;0&lt;/C&gt;&lt;/FQL&gt;&lt;FQL&gt;&lt;Q&gt;PDCE^FF_OG_TOT_RSRV_PROVED_NET(ANN_R_BOE,0)&lt;/Q&gt;&lt;R&gt;1&lt;/R&gt;&lt;C&gt;1&lt;/C&gt;&lt;D xsi:type="xsd:double"&gt;452.917&lt;/D&gt;&lt;/FQL&gt;&lt;FQL&gt;&lt;Q&gt;FANG^FF_OG_TOT_RSRV_PROVED_NET(ANN_R_BOE,0)&lt;/Q&gt;&lt;R&gt;1&lt;/R&gt;&lt;C&gt;1&lt;/C&gt;&lt;D xsi:type="xsd:double"&gt;335.352&lt;/D&gt;&lt;/FQL&gt;&lt;FQL&gt;&lt;Q&gt;XEC^FF_OG_TOT_RSRV_PROVED_NET(ANN_R_BOE,0)&lt;/Q&gt;&lt;R&gt;1&lt;/R&gt;&lt;C&gt;1&lt;/C&gt;&lt;D xsi:type="xsd:double"&gt;559.037&lt;/D&gt;&lt;/FQL&gt;&lt;FQL&gt;&lt;Q&gt;ESTE^FF_OG_TOT_RSRV_PROVED_NET(ANN_R_BOE,0)&lt;/Q&gt;&lt;R&gt;1&lt;/R&gt;&lt;C&gt;1&lt;/C&gt;&lt;D xsi:type="xsd:double"&gt;79.976&lt;/D&gt;&lt;/FQL&gt;&lt;FQL&gt;&lt;Q&gt;EGN^FF_OG_TOT_RSRV_PROVED_NET(ANN_R_BOE,0)&lt;/Q&gt;&lt;R&gt;1&lt;/R&gt;&lt;C&gt;1&lt;/C&gt;&lt;D xsi:type="xsd:double"&gt;444.038&lt;/D&gt;&lt;/FQL&gt;&lt;FQL&gt;&lt;Q&gt;WPX^FE_GUIDANCE(TOTAL_PROD,MIDPOINT,ANNUAL,+2,0,,,'')&lt;/Q&gt;&lt;R&gt;0&lt;/R&gt;&lt;C&gt;0&lt;/C&gt;&lt;/FQL&gt;&lt;FQL&gt;&lt;Q&gt;AREX^FE_GUIDANCE_DATE(DATEN,CAPEX,ANNUAL,2018,'MM/DD/YYYY',0)&lt;/Q&gt;&lt;R&gt;1&lt;/R&gt;&lt;C&gt;1&lt;/C&gt;&lt;D xsi:type="xsd:string"&gt;03/09/2018&lt;/D&gt;&lt;/FQL&gt;&lt;FQL&gt;&lt;Q&gt;MTDR^'FYE' + '  ' + CONVERT_DATE(FE_GUIDANCE_HISTO_DATE(DATEN,CAPEX,ANNUAL_ROLL,+1,'YYYY',NOW,-2AY,''),'MMM YY')&lt;/Q&gt;&lt;R&gt;8&lt;/R&gt;&lt;C&gt;1&lt;/C&gt;&lt;D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CXO^FE_GUIDANCE(PROD_DAY_OIL_ONLY,MIDPOINT,ANNUAL,+2,0,,,'')&lt;/Q&gt;&lt;R&gt;0&lt;/R&gt;&lt;C&gt;0&lt;/C&gt;&lt;/FQL&gt;&lt;FQL&gt;&lt;Q&gt;CXO^FE_GUIDANCE(PRODPERDAY,MIDPOINT,ANNUAL,+2,0,,,'')&lt;/Q&gt;&lt;R&gt;0&lt;/R&gt;&lt;C&gt;0&lt;/C&gt;&lt;/FQL&gt;&lt;FQL&gt;&lt;Q&gt;OXY^FE_GUIDANCE(TOTAL_PROD,MIDPOINT,ANNUAL,+2,0,,,'')&lt;/Q&gt;&lt;R&gt;0&lt;/R&gt;&lt;C&gt;0&lt;/C&gt;&lt;/FQL&gt;&lt;FQL&gt;&lt;Q&gt;QEP^FE_GUIDANCE_DATE(DATEN,CAPEX,ANNUAL,2018,'MM/DD/YYYY',0)&lt;/Q&gt;&lt;R&gt;1&lt;/R&gt;&lt;C&gt;1&lt;/C&gt;&lt;D xsi:type="xsd:string"&gt;03/01/2018&lt;/D&gt;&lt;/FQL&gt;&lt;FQL&gt;&lt;Q&gt;AXAS^FG_COMPANY_NAME&lt;/Q&gt;&lt;R&gt;1&lt;/R&gt;&lt;C&gt;1&lt;/C&gt;&lt;D xsi:type="xsd:string"&gt;Abraxas Petroleum Corporation&lt;/D&gt;&lt;/FQL&gt;&lt;FQL&gt;&lt;Q&gt;HK^FG_COMPANY_NAME&lt;/Q&gt;&lt;R&gt;1&lt;/R&gt;&lt;C&gt;1&lt;/C&gt;&lt;D xsi:type="xsd:string"&gt;Halcon Resources Corp&lt;/D&gt;&lt;/FQL&gt;&lt;FQL&gt;&lt;Q&gt;AXAS^FE_TIMESERIES(PROD_DAY_OIL_ONLY,MEAN,2018/1F,2018/4F,FQ,'BKRACTMED=1,WIN=0,DATE=NOW')&lt;/Q&gt;&lt;R&gt;4&lt;/R&gt;&lt;C&gt;1&lt;/C&gt;&lt;D xsi:type="xsd:double"&gt;6.800667&lt;/D&gt;&lt;D xsi:type="xsd:double"&gt;6.6123333&lt;/D&gt;&lt;D xsi:type="xsd:double"&gt;7.6176667&lt;/D&gt;&lt;D xsi:type="xsd:double"&gt;8.194667&lt;/D&gt;&lt;/FQL&gt;&lt;FQL&gt;&lt;Q&gt;PXD^FE_GUIDANCE(TOTAL_PROD,MIDPOINT,ANNUAL,+2,0,,,'')&lt;/Q&gt;&lt;R&gt;0&lt;/R&gt;&lt;C&gt;0&lt;/C&gt;&lt;/FQL&gt;&lt;FQL&gt;&lt;Q&gt;APA^FE_GUIDANCE_DATE(DATEN,CAPEX,ANNUAL,2018,'MM/DD/YYYY',0)&lt;/Q&gt;&lt;R&gt;1&lt;/R&gt;&lt;C&gt;1&lt;/C&gt;&lt;D xsi:type="xsd:string"&gt;02/22/2018&lt;/D&gt;&lt;/FQL&gt;&lt;FQL&gt;&lt;Q&gt;JAG^'FYE' + '  ' + CONVERT_DATE(FE_GUIDANCE_HISTO_DATE(DATEN,CAPEX,ANNUAL_ROLL,+1,'YYYY',NOW,-2AY,''),'MMM YY')&lt;/Q&gt;&lt;R&gt;4&lt;/R&gt;&lt;C&gt;1&lt;/C&gt;&lt;D xsi:type="xsd:string"&gt;FYE  Dec 18&lt;/D&gt;&lt;D xsi:type="xsd:string"&gt;FYE  Dec 17&lt;/D&gt;&lt;D xsi:type="xsd:string"&gt;FYE  Dec 17&lt;/D&gt;&lt;D xsi:type="xsd:string"&gt;FYE  Dec 17&lt;/D&gt;&lt;/FQL&gt;&lt;FQL&gt;&lt;Q&gt;EGN^FE_GUIDANCE(PROD_DAY_OIL_ONLY,MIDPOINT,ANNUAL,+2,0,,,'')&lt;/Q&gt;&lt;R&gt;0&lt;/R&gt;&lt;C&gt;0&lt;/C&gt;&lt;/FQL&gt;&lt;FQL&gt;&lt;Q&gt;EGN^FE_GUIDANCE(PRODPERDAY,MIDPOINT,ANNUAL,+2,0,,,'')&lt;/Q&gt;&lt;R&gt;0&lt;/R&gt;&lt;C&gt;0&lt;/C&gt;&lt;/FQL&gt;&lt;FQL&gt;&lt;Q&gt;COP^FF_OG_TOT_RSRV_PROVED_NET(ANN_R_BOE,0)&lt;/Q&gt;&lt;R&gt;1&lt;/R&gt;&lt;C&gt;1&lt;/C&gt;&lt;D xsi:type="xsd:double"&gt;5038&lt;/D&gt;&lt;/FQL&gt;&lt;FQL&gt;&lt;Q&gt;USEG^FF_OG_TOT_RSRV_PROVED_NET(ANN_R_BOE,0)&lt;/Q&gt;&lt;R&gt;1&lt;/R&gt;&lt;C&gt;1&lt;/C&gt;&lt;D xsi:type="xsd:double"&gt;0.8241&lt;/D&gt;&lt;/FQL&gt;&lt;FQL&gt;&lt;Q&gt;DVN^FF_OG_TOT_RSRV_PROVED_NET(ANN_R_BOE,0)&lt;/Q&gt;&lt;R&gt;1&lt;/R&gt;&lt;C&gt;1&lt;/C&gt;&lt;D xsi:type="xsd:double"&gt;2152&lt;/D&gt;&lt;/FQL&gt;&lt;FQL&gt;&lt;Q&gt;LPI^FF_OG_TOT_RSRV_PROVED_NET(ANN_R_BOE,0)&lt;/Q&gt;&lt;R&gt;1&lt;/R&gt;&lt;C&gt;1&lt;/C&gt;&lt;D xsi:type="xsd:double"&gt;215.883&lt;/D&gt;&lt;/FQL&gt;&lt;FQL&gt;&lt;Q&gt;PXD^FF_OG_TOT_RSRV_PROVED_NET(ANN_R_BOE,0)&lt;/Q&gt;&lt;R&gt;1&lt;/R&gt;&lt;C&gt;1&lt;/C&gt;&lt;D xsi:type="xsd:double"&gt;985.366&lt;/D&gt;&lt;/FQL&gt;&lt;FQL&gt;&lt;Q&gt;CXO-US^FF_FY_LENGTH_DAYS(QTR_R,0)&lt;/Q&gt;&lt;R&gt;1&lt;/R&gt;&lt;C&gt;1&lt;/C&gt;&lt;D xsi:type="xsd:double"&gt;92&lt;/D&gt;&lt;/FQL&gt;&lt;FQL&gt;&lt;Q&gt;CXO^FF_FISCAL_DATE(QTR_R,0,,,,DATE)&lt;/Q&gt;&lt;R&gt;1&lt;/R&gt;&lt;C&gt;1&lt;/C&gt;&lt;D xsi:type="xsd:string"&gt;12/2017&lt;/D&gt;&lt;/FQL&gt;&lt;FQL&gt;&lt;Q&gt;CXO^FF_FISCAL_DATE(QTR_R,-3AM,,,,DATE)&lt;/Q&gt;&lt;R&gt;1&lt;/R&gt;&lt;C&gt;1&lt;/C&gt;&lt;D xsi:type="xsd:string"&gt;09/2017&lt;/D&gt;&lt;/FQL&gt;&lt;FQL&gt;&lt;Q&gt;FANG^'FYE' + '  ' + CONVERT_DATE(FE_GUIDANCE_HISTO_DATE(DATEN,CAPEX,ANNUAL_ROLL,+1,'YYYY',NOW,-2AY,''),'MMM YY')&lt;/Q&gt;&lt;R&gt;8&lt;/R&gt;&lt;C&gt;1&lt;/C&gt;&lt;D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16&lt;/D&gt;&lt;/FQL&gt;&lt;FQL&gt;&lt;Q&gt;PDCE^'FYE' + '  ' + CONVERT_DATE(FE_GUIDANCE_HISTO_DATE(DATEN,CAPEX,ANNUAL_ROLL,+1,'YYYY',NOW,-2AY,''),'MMM YY')&lt;/Q&gt;&lt;R&gt;7&lt;/R&gt;&lt;C&gt;1&lt;/C&gt;&lt;D xsi:type="xsd:string"&gt;FYE  Dec 18&lt;/D&gt;&lt;D xsi:type="xsd:string"&gt;FYE  Dec 18&lt;/D&gt;&lt;D xsi:type="xsd:string"&gt;FYE  Dec 17&lt;/D&gt;&lt;D xsi:type="xsd:string"&gt;FYE  Dec 17&lt;/D&gt;&lt;D xsi:type="xsd:string"&gt;FYE  Dec 17&lt;/D&gt;&lt;D xsi:type="xsd:string"&gt;FYE  Dec 16&lt;/D&gt;&lt;D xsi:type="xsd:string"&gt;FYE  Dec 16&lt;/D&gt;&lt;/FQL&gt;&lt;FQL&gt;&lt;Q&gt;CRZO^FE_GUIDANCE(PROD_DAY_OIL_ONLY,MIDPOINT,ANNUAL,+2,0,,,'')&lt;/Q&gt;&lt;R&gt;0&lt;/R&gt;&lt;C&gt;0&lt;/C&gt;&lt;/FQL&gt;&lt;FQL&gt;&lt;Q&gt;CRZO^FE_GUIDANCE(PRODPERDAY,MIDPOINT,ANNUAL,+2,0,,,'')&lt;/Q&gt;&lt;R&gt;0&lt;/R&gt;&lt;C&gt;0&lt;/C&gt;&lt;/FQL&gt;&lt;FQL&gt;&lt;Q&gt;CRZO^FE_GUIDANCE(TOTAL_PROD,MIDPOINT,ANNUAL,+2,0,,,'')&lt;/Q&gt;&lt;R&gt;0&lt;/R&gt;&lt;C&gt;0&lt;/C&gt;&lt;/FQL&gt;&lt;FQL&gt;&lt;Q&gt;CRZO^FE_GUIDANCE(CAPEX,MIDPOINT,ANNUAL,+2,0,,,'')&lt;/Q&gt;&lt;R&gt;0&lt;/R&gt;&lt;C&gt;0&lt;/C&gt;&lt;/FQL&gt;&lt;FQL&gt;&lt;Q&gt;CRZO^'FYE' + '  ' + CONVERT_DATE(FE_GUIDANCE_HISTO_DATE(DATEN,CAPEX,ANNUAL_ROLL,+1,'YYYY',NOW,-2AY,''),'MMM YY')&lt;/Q&gt;&lt;R&gt;8&lt;/R&gt;&lt;C&gt;1&lt;/C&gt;&lt;D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QEP^FE_GUIDANCE(PROD_DAY_OIL_ONLY,MIDPOINT,ANNUAL,+2,0,,,'')&lt;/Q&gt;&lt;R&gt;0&lt;/R&gt;&lt;C&gt;0&lt;/C&gt;&lt;/FQL&gt;&lt;FQL&gt;&lt;Q&gt;QEP^FE_GUIDANCE(PRODPERDAY,MIDPOINT,ANNUAL,+2,0,,,'')&lt;/Q&gt;&lt;R&gt;0&lt;/R&gt;&lt;C&gt;0&lt;/C&gt;&lt;/FQL&gt;&lt;FQL&gt;&lt;Q&gt;QEP^FE_GUIDANCE(TOTAL_PROD,MIDPOINT,ANNUAL,+2,0,,,'')&lt;/Q&gt;&lt;R&gt;0&lt;/R&gt;&lt;C&gt;0&lt;/C&gt;&lt;/FQL&gt;&lt;FQL&gt;&lt;Q&gt;QEP^FE_GUIDANCE(CAPEX,MIDPOINT,ANNUAL,+2,0,,,'')&lt;/Q&gt;&lt;R&gt;0&lt;/R&gt;&lt;C&gt;0&lt;/C&gt;&lt;/FQL&gt;&lt;FQL&gt;&lt;Q&gt;EGN^FE_GUIDANCE(TOTAL_PROD,MIDPOINT,ANNUAL,+2,0,,,'')&lt;/Q&gt;&lt;R&gt;0&lt;/R&gt;&lt;C&gt;0&lt;/C&gt;&lt;/FQL&gt;&lt;FQL&gt;&lt;Q&gt;QEP^'FYE' + '  ' + CONVERT_DATE(FE_GUIDANCE_HISTO_DATE(DATEN,CAPEX,ANNUAL_ROLL,+1,'YYYY',NOW,-2AY,''),'MMM YY')&lt;/Q&gt;&lt;R&gt;8&lt;/R&gt;&lt;C&gt;1&lt;/C&gt;&lt;D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EPE^FE_GUIDANCE(PROD_DAY_OIL_ONLY,MIDPOINT,ANNUAL,+2,0,,,'')&lt;/Q&gt;&lt;R&gt;0&lt;/R&gt;&lt;C&gt;0&lt;/C&gt;&lt;/FQL&gt;&lt;FQL&gt;&lt;Q&gt;EPE^FE_GUIDANCE(PRODPERDAY,MIDPOINT,ANNUAL,+2,0,,,'')&lt;/Q&gt;&lt;R&gt;0&lt;/R&gt;&lt;C&gt;0&lt;/C&gt;&lt;/FQL&gt;&lt;FQL&gt;&lt;Q&gt;EPE^FE_GUIDANCE(TOTAL_PROD,MIDPOINT,ANNUAL,+2,0,,,'')&lt;/Q&gt;&lt;R&gt;0&lt;/R&gt;&lt;C&gt;0&lt;/C&gt;&lt;/FQL&gt;&lt;FQL&gt;&lt;Q&gt;EPE^FE_GUIDANCE(CAPEX,MIDPOINT,ANNUAL,+2,0,,,'')&lt;/Q&gt;&lt;R&gt;0&lt;/R&gt;&lt;C&gt;0&lt;/C&gt;&lt;/FQL&gt;&lt;FQL&gt;&lt;Q&gt;EPE^'FYE' + '  ' + CONVERT_DATE(FE_GUIDANCE_HISTO_DATE(DATEN,CAPEX,ANNUAL_ROLL,+1,'YYYY',NOW,-2AY,''),'MMM YY')&lt;/Q&gt;&lt;R&gt;5&lt;/R&gt;&lt;C&gt;1&lt;/C&gt;&lt;D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AXAS^FE_GUIDANCE(PROD_DAY_OIL_ONLY,MIDPOINT,ANNUAL,+2,0,,,'')&lt;/Q&gt;&lt;R&gt;0&lt;/R&gt;&lt;C&gt;0&lt;/C&gt;&lt;/FQL&gt;&lt;FQL&gt;&lt;Q&gt;AXAS^FE_GUIDANCE(PRODPERDAY,MIDPOINT,ANNUAL,+2,0,,,'')&lt;/Q&gt;&lt;R&gt;1&lt;/R&gt;&lt;C&gt;1&lt;/C&gt;&lt;D xsi:type="xsd:double"&gt;12.75&lt;/D&gt;&lt;/FQL&gt;&lt;FQL&gt;&lt;Q&gt;DVN^FE_GUIDANCE(TOTAL_PROD,MIDPOINT,ANNUAL,+2,0,,,'')&lt;/Q&gt;&lt;R&gt;0&lt;/R&gt;&lt;C&gt;0&lt;/C&gt;&lt;/FQL&gt;&lt;FQL&gt;&lt;Q&gt;AXAS^FE_GUIDANCE(TOTAL_PROD,MIDPOINT,ANNUAL,+2,0,,,'')&lt;/Q&gt;&lt;R&gt;0&lt;/R&gt;&lt;C&gt;0&lt;/C&gt;&lt;/FQL&gt;&lt;FQL&gt;&lt;Q&gt;AXAS^FE_GUIDANCE(CAPEX,MIDPOINT,ANNUAL,+2,0,,,'')&lt;/Q&gt;&lt;R&gt;1&lt;/R&gt;&lt;C&gt;1&lt;/C&gt;&lt;D xsi:type="xsd:double"&gt;90&lt;/D&gt;&lt;/FQL&gt;&lt;FQL&gt;&lt;Q&gt;AXAS^'FYE' + '  ' + CONVERT_DATE(FE_GUIDANCE_HISTO_DATE(DATEN,CAPEX,ANNUAL_ROLL,+1,'YYYY',NOW,-2AY,''),'MMM YY')&lt;/Q&gt;&lt;R&gt;3&lt;/R&gt;&lt;C&gt;1&lt;/C&gt;&lt;D xsi:type="xsd:string"&gt;FYE  Dec 17&lt;/D&gt;&lt;D xsi:type="xsd:string"&gt;FYE  Dec 17&lt;/D&gt;&lt;D xsi:type="xsd:string"&gt;FYE  Dec 17&lt;/D&gt;&lt;/FQL&gt;&lt;FQL&gt;&lt;Q&gt;COP^FE_GUIDANCE(PROD_DAY_OIL_ONLY,MIDPOINT,ANNUAL,+2,0,,,'')&lt;/Q&gt;&lt;R&gt;0&lt;/R&gt;&lt;C&gt;0&lt;/C&gt;&lt;/FQL&gt;&lt;FQL&gt;&lt;Q&gt;COP^FE_GUIDANCE(PRODPERDAY,MIDPOINT,ANNUAL,+2,0,,,'')&lt;/Q&gt;&lt;R&gt;0&lt;/R&gt;&lt;C&gt;0&lt;/C&gt;&lt;/FQL&gt;&lt;FQL&gt;&lt;Q&gt;COP^FE_GUIDANCE(TOTAL_PROD,MIDPOINT,ANNUAL,+2,0,,,'')&lt;/Q&gt;&lt;R&gt;0&lt;/R&gt;&lt;C&gt;0&lt;/C&gt;&lt;/FQL&gt;&lt;FQL&gt;&lt;Q&gt;COP^FE_GUIDANCE(CAPEX,MIDPOINT,ANNUAL,+2,0,,,'')&lt;/Q&gt;&lt;R&gt;0&lt;/R&gt;&lt;C&gt;0&lt;/C&gt;&lt;/FQL&gt;&lt;FQL&gt;&lt;Q&gt;COP^'FYE' + '  ' + CONVERT_DATE(FE_GUIDANCE_HISTO_DATE(DATEN,CAPEX,ANNUAL_ROLL,+1,'YYYY',NOW,-2AY,''),'MMM YY')&lt;/Q&gt;&lt;R&gt;7&lt;/R&gt;&lt;C&gt;1&lt;/C&gt;&lt;D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/FQL&gt;&lt;FQL&gt;&lt;Q&gt;USEG^FE_GUIDANCE(PROD_DAY_OIL_ONLY,MIDPOINT,ANNUAL,+2,0,,,'')&lt;/Q&gt;&lt;R&gt;0&lt;/R&gt;&lt;C&gt;0&lt;/C&gt;&lt;/FQL&gt;&lt;FQL&gt;&lt;Q&gt;USEG^FE_GUIDANCE(PRODPERDAY,MIDPOINT,ANNUAL,+2,0,,,'')&lt;/Q&gt;&lt;R&gt;0&lt;/R&gt;&lt;C&gt;0&lt;/C&gt;&lt;/FQL&gt;&lt;FQL&gt;&lt;Q&gt;USEG^FE_GUIDANCE(TOTAL_PROD,MIDPOINT,ANNUAL,+2,0,,,'')&lt;/Q&gt;&lt;R&gt;0&lt;/R&gt;&lt;C&gt;0&lt;/C&gt;&lt;/FQL&gt;&lt;FQL&gt;&lt;Q&gt;USEG^FE_GUIDANCE(CAPEX,MIDPOINT,ANNUAL,+2,0,,,'')&lt;/Q&gt;&lt;R&gt;0&lt;/R&gt;&lt;C&gt;0&lt;/C&gt;&lt;/FQL&gt;&lt;FQL&gt;&lt;Q&gt;USEG^'FYE' + '  ' + CONVERT_DATE(FE_GUIDANCE_HISTO_DATE(DATEN,CAPEX,ANNUAL_ROLL,+1,'YYYY',NOW,-2AY,''),'MMM YY')&lt;/Q&gt;&lt;R&gt;0&lt;/R&gt;&lt;C&gt;0&lt;/C&gt;&lt;/FQL&gt;&lt;FQL&gt;&lt;Q&gt;APA^FF_OG_FUT_CF(ANN_R_DISCNT_NET,0)&lt;/Q&gt;&lt;R&gt;1&lt;/R&gt;&lt;C&gt;1&lt;/C&gt;&lt;D xsi:type="xsd:double"&gt;10083&lt;/D&gt;&lt;/FQL&gt;&lt;FQL&gt;&lt;Q&gt;AREX^FF_OG_FUT_CF(ANN_R_DISCNT_NET,0)&lt;/Q&gt;&lt;R&gt;1&lt;/R&gt;&lt;C&gt;1&lt;/C&gt;&lt;D xsi:type="xsd:double"&gt;461.031&lt;/D&gt;&lt;/FQL&gt;&lt;FQL&gt;&lt;Q&gt;AXAS^FF_OG_FUT_CF(ANN_R_DISCNT_NET,0)&lt;/Q&gt;&lt;R&gt;1&lt;/R&gt;&lt;C&gt;1&lt;/C&gt;&lt;D xsi:type="xsd:double"&gt;405.741&lt;/D&gt;&lt;/FQL&gt;&lt;FQL&gt;&lt;Q&gt;CDEV^FF_OG_FUT_CF(ANN_R_DISCNT_NET,0)&lt;/Q&gt;&lt;R&gt;1&lt;/R&gt;&lt;C&gt;1&lt;/C&gt;&lt;D xsi:type="xsd:double"&gt;1503.326&lt;/D&gt;&lt;/FQL&gt;&lt;FQL&gt;&lt;Q&gt;COP^FF_OG_FUT_CF(ANN_R_DISCNT_NET,0)&lt;/Q&gt;&lt;R&gt;1&lt;/R&gt;&lt;C&gt;1&lt;/C&gt;&lt;D xsi:type="xsd:double"&gt;20609&lt;/D&gt;&lt;/FQL&gt;&lt;FQL&gt;&lt;Q&gt;CPE^FF_OG_FUT_CF(ANN_R_DISCNT_NET,0)&lt;/Q&gt;&lt;R&gt;1&lt;/R&gt;&lt;C&gt;1&lt;/C&gt;&lt;D xsi:type="xsd:double"&gt;1556.682&lt;/D&gt;&lt;/FQL&gt;&lt;FQL&gt;&lt;Q&gt;CRZO^FF_OG_FUT_CF(ANN_R_DISCNT_NET,0)&lt;/Q&gt;&lt;R&gt;1&lt;/R&gt;&lt;C&gt;1&lt;/C&gt;&lt;D xsi:type="xsd:double"&gt;2465.042&lt;/D&gt;&lt;/FQL&gt;&lt;FQL&gt;&lt;Q&gt;CXO^FF_OG_FUT_CF(ANN_R_DISCNT_NET,0)&lt;/Q&gt;&lt;R&gt;1&lt;/R&gt;&lt;C&gt;1&lt;/C&gt;&lt;D xsi:type="xsd:double"&gt;7478&lt;/D&gt;&lt;/FQL&gt;&lt;FQL&gt;&lt;Q&gt;DVN^FF_OG_FUT_CF(ANN_R_DISCNT_NET,0)&lt;/Q&gt;&lt;R&gt;1&lt;/R&gt;&lt;C&gt;1&lt;/C&gt;&lt;D xsi:type="xsd:double"&gt;11337&lt;/D&gt;&lt;/FQL&gt;&lt;FQL&gt;&lt;Q&gt;ECA^FF_OG_FUT_CF(ANN_R_DISCNT_NET,0)&lt;/Q&gt;&lt;R&gt;1&lt;/R&gt;&lt;C&gt;1&lt;/C&gt;&lt;D xsi:type="xsd:double"&gt;4313&lt;/D&gt;&lt;/FQL&gt;&lt;FQL&gt;&lt;Q&gt;EGN^FF_OG_FUT_CF(ANN_R_DISCNT_NET,0)&lt;/Q&gt;&lt;R&gt;1&lt;/R&gt;&lt;C&gt;1&lt;/C&gt;&lt;D xsi:type="xsd:double"&gt;3319.795&lt;/D&gt;&lt;/FQL&gt;&lt;FQL&gt;&lt;Q&gt;EOG^FF_OG_FUT_CF(ANN_R_DISCNT_NET,0)&lt;/Q&gt;&lt;R&gt;1&lt;/R&gt;&lt;C&gt;1&lt;/C&gt;&lt;D xsi:type="xsd:double"&gt;18327.66&lt;/D&gt;&lt;/FQL&gt;&lt;FQL&gt;&lt;Q&gt;EPE^FF_OG_FUT_CF(ANN_R_DISCNT_NET,0)&lt;/Q&gt;&lt;R&gt;1&lt;/R&gt;&lt;C&gt;1&lt;/C&gt;&lt;D xsi:type="xsd:double"&gt;2033&lt;/D&gt;&lt;/FQL&gt;&lt;FQL&gt;&lt;Q&gt;ESTE^FF_OG_FUT_CF(ANN_R_DISCNT_NET,0)&lt;/Q&gt;&lt;R&gt;1&lt;/R&gt;&lt;C&gt;1&lt;/C&gt;&lt;D xsi:type="xsd:double"&gt;592.7&lt;/D&gt;&lt;/FQL&gt;&lt;FQL&gt;&lt;Q&gt;FANG^FF_OG_FUT_CF(ANN_R_DISCNT_NET,0)&lt;/Q&gt;&lt;R&gt;1&lt;/R&gt;&lt;C&gt;1&lt;/C&gt;&lt;D xsi:type="xsd:double"&gt;3757.059&lt;/D&gt;&lt;/FQL&gt;&lt;FQL&gt;&lt;Q&gt;HK^FF_OG_FUT_CF(ANN_R_DISCNT_NET,0)&lt;/Q&gt;&lt;R&gt;1&lt;/R&gt;&lt;C&gt;1&lt;/C&gt;&lt;D xsi:type="xsd:double"&gt;336.033&lt;/D&gt;&lt;/FQL&gt;&lt;FQL&gt;&lt;Q&gt;JAG^FF_OG_FUT_CF(ANN_R_DISCNT_NET,0)&lt;/Q&gt;&lt;R&gt;1&lt;/R&gt;&lt;C&gt;1&lt;/C&gt;&lt;D xsi:type="xsd:double"&gt;771.872&lt;/D&gt;&lt;/FQL&gt;&lt;FQL&gt;&lt;Q&gt;LPI^FF_OG_FUT_CF(ANN_R_DISCNT_NET,0)&lt;/Q&gt;&lt;R&gt;1&lt;/R&gt;&lt;C&gt;1&lt;/C&gt;&lt;D xsi:type="xsd:double"&gt;1770.321&lt;/D&gt;&lt;/FQL&gt;&lt;FQL&gt;&lt;Q&gt;MRO^FF_OG_FUT_CF(ANN_R_DISCNT_NET,0)&lt;/Q&gt;&lt;R&gt;1&lt;/R&gt;&lt;C&gt;1&lt;/C&gt;&lt;D xsi:type="xsd:double"&gt;7863&lt;/D&gt;&lt;/FQL&gt;&lt;FQL&gt;&lt;Q&gt;MTDR^FF_OG_FUT_CF(ANN_R_DISCNT_NET,0)&lt;/Q&gt;&lt;R&gt;1&lt;/R&gt;&lt;C&gt;1&lt;/C&gt;&lt;D xsi:type="xsd:double"&gt;1258.646&lt;/D&gt;&lt;/FQL&gt;&lt;FQL&gt;&lt;Q&gt;NBL^FF_OG_FUT_CF(ANN_R_DISCNT_NET,0)&lt;/Q&gt;&lt;R&gt;1&lt;/R&gt;&lt;C&gt;1&lt;/C&gt;&lt;D xsi:type="xsd:double"&gt;11258&lt;/D&gt;&lt;/FQL&gt;&lt;FQL&gt;&lt;Q&gt;OXY^FF_OG_FUT_CF(ANN_R_DISCNT_NET,0)&lt;/Q&gt;&lt;R&gt;1&lt;/R&gt;&lt;C&gt;1&lt;/C&gt;&lt;D xsi:type="xsd:double"&gt;16220&lt;/D&gt;&lt;/FQL&gt;&lt;FQL&gt;&lt;Q&gt;PDCE^FF_OG_FUT_CF(ANN_R_DISCNT_NET,0)&lt;/Q&gt;&lt;R&gt;1&lt;/R&gt;&lt;C&gt;1&lt;/C&gt;&lt;D xsi:type="xsd:double"&gt;2880.105&lt;/D&gt;&lt;/FQL&gt;&lt;FQL&gt;&lt;Q&gt;PE^FF_OG_FUT_CF(ANN_R_DISCNT_NET,0)&lt;/Q&gt;&lt;R&gt;1&lt;/R&gt;&lt;C&gt;1&lt;/C&gt;&lt;D xsi:type="xsd:double"&gt;3015.505&lt;/D&gt;&lt;/FQL&gt;&lt;FQL&gt;&lt;Q&gt;PXD^FF_OG_FUT_CF(ANN_R_DISCNT_NET,0)&lt;/Q&gt;&lt;R&gt;1&lt;/R&gt;&lt;C&gt;1&lt;/C&gt;&lt;D xsi:type="xsd:double"&gt;8151&lt;/D&gt;&lt;/FQL&gt;&lt;FQL&gt;&lt;Q&gt;QEP^FF_OG_FUT_CF(ANN_R_DISCNT_NET,0)&lt;/Q&gt;&lt;R&gt;1&lt;/R&gt;&lt;C&gt;1&lt;/C&gt;&lt;D xsi:type="xsd:double"&gt;3097.3&lt;/D&gt;&lt;/FQL&gt;&lt;FQL&gt;&lt;Q&gt;REN^FF_OG_FUT_CF(ANN_R_DISCNT_NET,0)&lt;/Q&gt;&lt;R&gt;1&lt;/R&gt;&lt;C&gt;1&lt;/C&gt;&lt;D xsi:type="xsd:double"&gt;433&lt;/D&gt;&lt;/FQL&gt;&lt;FQL&gt;&lt;Q&gt;RSPP^FF_OG_FUT_CF(ANN_R_DISCNT_NET,0)&lt;/Q&gt;&lt;R&gt;1&lt;/R&gt;&lt;C&gt;1&lt;/C&gt;&lt;D xsi:type="xsd:double"&gt;3030.776&lt;/D&gt;&lt;/FQL&gt;&lt;FQL&gt;&lt;Q&gt;SM^FF_OG_FUT_CF(ANN_R_DISCNT_NET,0)&lt;/Q&gt;&lt;R&gt;1&lt;/R&gt;&lt;C&gt;1&lt;/C&gt;&lt;D xsi:type="xsd:double"&gt;3024.142&lt;/D&gt;&lt;/FQL&gt;&lt;FQL&gt;&lt;Q&gt;USEG^FF_OG_FUT_CF(ANN_R_DISCNT_NET,0)&lt;/Q&gt;&lt;R&gt;1&lt;/R&gt;&lt;C&gt;1&lt;/C&gt;&lt;D xsi:type="xsd:double"&gt;9.253&lt;/D&gt;&lt;/FQL&gt;&lt;FQL&gt;&lt;Q&gt;WPX^FF_OG_FUT_CF(ANN_R_DISCNT_NET,0)&lt;/Q&gt;&lt;R&gt;1&lt;/R&gt;&lt;C&gt;1&lt;/C&gt;&lt;D xsi:type="xsd:double"&gt;3161&lt;/D&gt;&lt;/FQL&gt;&lt;FQL&gt;&lt;Q&gt;XEC^FF_OG_FUT_CF(ANN_R_DISCNT_NET,0)&lt;/Q&gt;&lt;R&gt;1&lt;/R&gt;&lt;C&gt;1&lt;/C&gt;&lt;D xsi:type="xsd:double"&gt;3285.001&lt;/D&gt;&lt;/FQL&gt;&lt;FQL&gt;&lt;Q&gt;OXY^RTP_PRICE_HIGH_52W&lt;/Q&gt;&lt;R&gt;1&lt;/R&gt;&lt;C&gt;1&lt;/C&gt;&lt;D xsi:type="xsd:double"&gt;78.09&lt;/D&gt;&lt;/FQL&gt;&lt;FQL&gt;&lt;Q&gt;PDCE^FF_OG_AREA_TOT(ANN_R_GROSS_ACRE,12/2017)&lt;/Q&gt;&lt;R&gt;1&lt;/R&gt;&lt;C&gt;1&lt;/C&gt;&lt;D xsi:type="xsd:double"&gt;241400&lt;/D&gt;&lt;/FQL&gt;&lt;FQL&gt;&lt;Q&gt;APA^RTP_PRICE_HIGH_52W&lt;/Q&gt;&lt;R&gt;1&lt;/R&gt;&lt;C&gt;1&lt;/C&gt;&lt;D xsi:type="xsd:double"&gt;52.67&lt;/D&gt;&lt;/FQL&gt;&lt;FQL&gt;&lt;Q&gt;AREX^FF_OG_AREA_TOT(ANN_R_GROSS_ACRE,12/2017)&lt;/Q&gt;&lt;R&gt;1&lt;/R&gt;&lt;C&gt;1&lt;/C&gt;&lt;D xsi:type="xsd:double"&gt;168175&lt;/D&gt;&lt;/FQL&gt;&lt;FQL&gt;&lt;Q&gt;PXD^RTP_PRICE_HIGH_52W&lt;/Q&gt;&lt;R&gt;1&lt;/R&gt;&lt;C&gt;1&lt;/C&gt;&lt;D xsi:type="xsd:double"&gt;194.73&lt;/D&gt;&lt;/FQL&gt;&lt;FQL&gt;&lt;Q&gt;QEP^FF_OG_AREA_TOT(ANN_R_GROSS_ACRE,12/2017)&lt;/Q&gt;&lt;R&gt;1&lt;/R&gt;&lt;C&gt;1&lt;/C&gt;&lt;D xsi:type="xsd:double"&gt;2164241&lt;/D&gt;&lt;/FQL&gt;&lt;FQL&gt;&lt;Q&gt;LPI^RTP_PRICE_HIGH_52W&lt;/Q&gt;&lt;R&gt;1&lt;/R&gt;&lt;C&gt;1&lt;/C&gt;&lt;D xsi:type="xsd:double"&gt;14.36&lt;/D&gt;&lt;/FQL&gt;&lt;FQL&gt;&lt;Q&gt;MRO^FF_OG_AREA_TOT(ANN_R_GROSS_ACRE,12/2017)&lt;/Q&gt;&lt;R&gt;1&lt;/R&gt;&lt;C&gt;1&lt;/C&gt;&lt;D xsi:type="xsd:double"&gt;15496000&lt;/D&gt;&lt;/FQL&gt;&lt;FQL&gt;&lt;Q&gt;XEC^FF_OG_PROD_DAY(QTR_R_NGL_BOE,09/2017)&lt;/Q&gt;&lt;R&gt;1&lt;/R&gt;&lt;C&gt;1&lt;/C&gt;&lt;D xsi:type="xsd:double"&gt;47.84&lt;/D&gt;&lt;/FQL&gt;&lt;FQL&gt;&lt;Q&gt;APA^FF_OG_AREA_TOT(ANN_R_GROSS_ACRE,12/2017)&lt;/Q&gt;&lt;R&gt;1&lt;/R&gt;&lt;C&gt;1&lt;/C&gt;&lt;D xsi:type="xsd:double"&gt;14937000&lt;/D&gt;&lt;/FQL&gt;&lt;FQL&gt;&lt;Q&gt;MTDR^RTP_PRICE_HIGH_52W&lt;/Q&gt;&lt;R&gt;1&lt;/R&gt;&lt;C&gt;1&lt;/C&gt;&lt;D xsi:type="xsd:double"&gt;33.96&lt;/D&gt;&lt;/FQL&gt;&lt;FQL&gt;&lt;Q&gt;NBL^FF_OG_AREA_TOT(ANN_R_GROSS_ACRE,12/2017)&lt;/Q&gt;&lt;R&gt;1&lt;/R&gt;&lt;C&gt;1&lt;/C&gt;&lt;D xsi:type="xsd:double"&gt;8138000&lt;/D&gt;&lt;/FQL&gt;&lt;FQL&gt;&lt;Q&gt;OAS^RTP_PRICE_HIGH_52W&lt;/Q&gt;&lt;R&gt;1&lt;/R&gt;&lt;C&gt;1&lt;/C&gt;&lt;D xsi:type="xsd:double"&gt;13.37&lt;/D&gt;&lt;/FQL&gt;&lt;FQL&gt;&lt;Q&gt;OXY^FF_OG_AREA_TOT(ANN_R_GROSS_ACRE,12/2017)&lt;/Q&gt;&lt;R&gt;1&lt;/R&gt;&lt;C&gt;1&lt;/C&gt;&lt;D xsi:type="xsd:double"&gt;11060000&lt;/D&gt;&lt;/FQL&gt;&lt;FQL&gt;&lt;Q&gt;FANG^RTP_PRICE_HIGH_52W&lt;/Q&gt;&lt;R&gt;1&lt;/R&gt;&lt;C&gt;1&lt;/C&gt;&lt;D xsi:type="xsd:double"&gt;134.6&lt;/D&gt;&lt;/FQL&gt;&lt;FQL&gt;&lt;Q&gt;HK^FF_OG_AREA_TOT(ANN_R_GROSS_ACRE,12/2017)&lt;/Q&gt;&lt;R&gt;1&lt;/R&gt;&lt;C&gt;1&lt;/C&gt;&lt;D xsi:type="xsd:double"&gt;214559&lt;/D&gt;&lt;/FQL&gt;&lt;FQL&gt;&lt;Q&gt;USEG^RTP_PRICE_HIGH_52W&lt;/Q&gt;&lt;R&gt;1&lt;/R&gt;&lt;C&gt;1&lt;/C&gt;&lt;D xsi:type="xsd:double"&gt;1.96&lt;/D&gt;&lt;/FQL&gt;&lt;FQL&gt;&lt;Q&gt;WPX^FF_OG_AREA_TOT(ANN_R_GROSS_ACRE,12/2017)&lt;/Q&gt;&lt;R&gt;1&lt;/R&gt;&lt;C&gt;1&lt;/C&gt;&lt;D xsi:type="xsd:double"&gt;630279&lt;/D&gt;&lt;/FQL&gt;&lt;FQL&gt;&lt;Q&gt;RSPP^RTP_PRICE_HIGH_52W&lt;/Q&gt;&lt;R&gt;1&lt;/R&gt;&lt;C&gt;1&lt;/C&gt;&lt;D xsi:type="xsd:double"&gt;48.35&lt;/D&gt;&lt;/FQL&gt;&lt;FQL&gt;&lt;Q&gt;SM^FF_OG_AREA_TOT(ANN_R_GROSS_ACRE,12/2017)&lt;/Q&gt;&lt;R&gt;1&lt;/R&gt;&lt;C&gt;1&lt;/C&gt;&lt;D xsi:type="xsd:double"&gt;918526&lt;/D&gt;&lt;/FQL&gt;&lt;FQL&gt;&lt;Q&gt;EGN^RTP_PRICE_HIGH_52W&lt;/Q&gt;&lt;R&gt;1&lt;/R&gt;&lt;C&gt;1&lt;/C&gt;&lt;D xsi:type="xsd:double"&gt;66.12&lt;/D&gt;&lt;/FQL&gt;&lt;FQL&gt;&lt;Q&gt;EOG^FF_OG_AREA_TOT(ANN_R_GROSS_ACRE,12/2017)&lt;/Q&gt;&lt;R&gt;1&lt;/R&gt;&lt;C&gt;1&lt;/C&gt;&lt;D xsi:type="xsd:double"&gt;6462006&lt;/D&gt;&lt;/FQL&gt;&lt;FQL&gt;&lt;Q&gt;DVN^RTP_PRICE_HIGH_52W&lt;/Q&gt;&lt;R&gt;1&lt;/R&gt;&lt;C&gt;1&lt;/C&gt;&lt;D xsi:type="xsd:double"&gt;45.16&lt;/D&gt;&lt;/FQL&gt;&lt;FQL&gt;&lt;Q&gt;ECA^FF_OG_AREA_TOT(ANN_R_GROSS_ACRE,12/2017)&lt;/Q&gt;&lt;R&gt;1&lt;/R&gt;&lt;C&gt;1&lt;/C&gt;&lt;D xsi:type="xsd:double"&gt;3468986.124&lt;/D&gt;&lt;/FQL&gt;&lt;FQL&gt;&lt;Q&gt;CRZO^RTP_PRICE_HIGH_52W&lt;/Q&gt;&lt;R&gt;1&lt;/R&gt;&lt;C&gt;1&lt;/C&gt;&lt;D xsi:type="xsd:double"&gt;28.295&lt;/D&gt;&lt;/FQL&gt;&lt;FQL&gt;&lt;Q&gt;CXO^FF_OG_AREA_TOT(ANN_R_GROSS_ACRE,12/2017)&lt;/Q&gt;&lt;R&gt;1&lt;/R&gt;&lt;C&gt;1&lt;/C&gt;&lt;D xsi:type="xsd:double"&gt;905000&lt;/D&gt;&lt;/FQL&gt;&lt;FQL&gt;&lt;Q&gt;EOG^RTP_PRICE_HIGH_52W&lt;/Q&gt;&lt;R&gt;1&lt;/R&gt;&lt;C&gt;1&lt;/C&gt;&lt;D xsi:type="xsd:double"&gt;119&lt;/D&gt;&lt;/FQL&gt;&lt;FQL&gt;&lt;Q&gt;EPE^FF_OG_AREA_TOT(ANN_R_GROSS_ACRE,12/2017)&lt;/Q&gt;&lt;R&gt;1&lt;/R&gt;&lt;C&gt;1&lt;/C&gt;&lt;D xsi:type="xsd:double"&gt;935003&lt;/D&gt;&lt;/FQL&gt;&lt;FQL&gt;&lt;Q&gt;ECA^RTP_PRICE_HIGH_52W&lt;/Q&gt;&lt;R&gt;1&lt;/R&gt;&lt;C&gt;1&lt;/C&gt;&lt;D xsi:type="xsd:double"&gt;14.31&lt;/D&gt;&lt;/FQL&gt;&lt;FQL&gt;&lt;Q&gt;EGN^FF_OG_AREA_TOT(ANN_R_GROSS_ACRE,12/2017)&lt;/Q&gt;&lt;R&gt;1&lt;/R&gt;&lt;C&gt;1&lt;/C&gt;&lt;D xsi:type="xsd:double"&gt;401205&lt;/D&gt;&lt;/FQL&gt;&lt;FQL&gt;&lt;Q&gt;MRO^RTP_PRICE_HIGH_52W&lt;/Q&gt;&lt;R&gt;1&lt;/R&gt;&lt;C&gt;1&lt;/C&gt;&lt;D xsi:type="xsd:double"&gt;19.52&lt;/D&gt;&lt;/FQL&gt;&lt;FQL&gt;&lt;Q&gt;MTDR^FF_OG_AREA_TOT(ANN_R_GROSS_ACRE,12/2017)&lt;/Q&gt;&lt;R&gt;1&lt;/R&gt;&lt;C&gt;1&lt;/C&gt;&lt;D xsi:type="xsd:double"&gt;256900&lt;/D&gt;&lt;/FQL&gt;&lt;FQL&gt;&lt;Q&gt;HK^RTP_PRICE_HIGH_52W&lt;/Q&gt;&lt;R&gt;1&lt;/R&gt;&lt;C&gt;1&lt;/C&gt;&lt;D xsi:type="xsd:double"&gt;9.07&lt;/D&gt;&lt;/FQL&gt;&lt;FQL&gt;&lt;Q&gt;JAG^FF_OG_AREA_TOT(ANN_R_GROSS_ACRE,12/2017)&lt;/Q&gt;&lt;R&gt;1&lt;/R&gt;&lt;C&gt;1&lt;/C&gt;&lt;D xsi:type="xsd:double"&gt;87600&lt;/D&gt;&lt;/FQL&gt;&lt;FQL&gt;&lt;Q&gt;QEP^RTP_PRICE_HIGH_52W&lt;/Q&gt;&lt;R&gt;1&lt;/R&gt;&lt;C&gt;1&lt;/C&gt;&lt;D xsi:type="xsd:double"&gt;12.9&lt;/D&gt;&lt;/FQL&gt;&lt;FQL&gt;&lt;Q&gt;REN^FF_OG_AREA_TOT(ANN_R_GROSS_ACRE,12/2017)&lt;/Q&gt;&lt;R&gt;1&lt;/R&gt;&lt;C&gt;1&lt;/C&gt;&lt;D xsi:type="xsd:double"&gt;27574&lt;/D&gt;&lt;/FQL&gt;&lt;FQL&gt;&lt;Q&gt;EPE^RTP_PRICE_HIGH_52W&lt;/Q&gt;&lt;R&gt;1&lt;/R&gt;&lt;C&gt;1&lt;/C&gt;&lt;D xsi:type="xsd:double"&gt;5.06&lt;/D&gt;&lt;/FQL&gt;&lt;FQL&gt;&lt;Q&gt;ESTE^FF_OG_AREA_TOT(ANN_R_GROSS_ACRE,12/2017)&lt;/Q&gt;&lt;R&gt;1&lt;/R&gt;&lt;C&gt;1&lt;/C&gt;&lt;D xsi:type="xsd:double"&gt;108625&lt;/D&gt;&lt;/FQL&gt;&lt;FQL&gt;&lt;Q&gt;PE^RTP_PRICE_HIGH_52W&lt;/Q&gt;&lt;R&gt;1&lt;/R&gt;&lt;C&gt;1&lt;/C&gt;&lt;D xsi:type="xsd:double"&gt;32.9&lt;/D&gt;&lt;/FQL&gt;&lt;FQL&gt;&lt;Q&gt;PXD^FF_OG_AREA_TOT(ANN_R_GROSS_ACRE,12/2017)&lt;/Q&gt;&lt;R&gt;1&lt;/R&gt;&lt;C&gt;1&lt;/C&gt;&lt;D xsi:type="xsd:double"&gt;1427334&lt;/D&gt;&lt;/FQL&gt;&lt;FQL&gt;&lt;Q&gt;CPE^RTP_PRICE_HIGH_52W&lt;/Q&gt;&lt;R&gt;1&lt;/R&gt;&lt;C&gt;1&lt;/C&gt;&lt;D xsi:type="xsd:double"&gt;13.64&lt;/D&gt;&lt;/FQL&gt;&lt;FQL&gt;&lt;Q&gt;CRZO^FF_OG_AREA_TOT(ANN_R_GROSS_ACRE,12/2017)&lt;/Q&gt;&lt;R&gt;1&lt;/R&gt;&lt;C&gt;1&lt;/C&gt;&lt;D xsi:type="xsd:double"&gt;352676&lt;/D&gt;&lt;/FQL&gt;&lt;FQL&gt;&lt;Q&gt;PDCE^RTP_PRICE_HIGH_52W&lt;/Q&gt;&lt;R&gt;1&lt;/R&gt;&lt;C&gt;1&lt;/C&gt;&lt;D xsi:type="xsd:double"&gt;63.8&lt;/D&gt;&lt;/FQL&gt;&lt;FQL&gt;&lt;Q&gt;PE^FF_OG_AREA_TOT(ANN_R_GROSS_ACRE,12/2017)&lt;/Q&gt;&lt;R&gt;1&lt;/R&gt;&lt;C&gt;1&lt;/C&gt;&lt;D xsi:type="xsd:double"&gt;351857&lt;/D&gt;&lt;/FQL&gt;&lt;FQL&gt;&lt;Q&gt;WPX^RTP_PRICE_HIGH_52W&lt;/Q&gt;&lt;R&gt;1&lt;/R&gt;&lt;C&gt;1&lt;/C&gt;&lt;D xsi:type="xsd:double"&gt;16.09&lt;/D&gt;&lt;/FQL&gt;&lt;FQL&gt;&lt;Q&gt;XEC^FF_OG_AREA_TOT(ANN_R_GROSS_ACRE,12/2017)&lt;/Q&gt;&lt;R&gt;1&lt;/R&gt;&lt;C&gt;1&lt;/C&gt;&lt;D xsi:type="xsd:double"&gt;7353587&lt;/D&gt;&lt;/FQL&gt;&lt;FQL&gt;&lt;Q&gt;AXAS^RTP_PRICE_HIGH_52W&lt;/Q&gt;&lt;R&gt;1&lt;/R&gt;&lt;C&gt;1&lt;/C&gt;&lt;D xsi:type="xsd:double"&gt;2.89&lt;/D&gt;&lt;/FQL&gt;&lt;FQL&gt;&lt;Q&gt;CDEV^FF_OG_AREA_TOT(ANN_R_GROSS_ACRE,12/2017)&lt;/Q&gt;&lt;R&gt;1&lt;/R&gt;&lt;C&gt;1&lt;/C&gt;&lt;D xsi:type="xsd:double"&gt;127444&lt;/D&gt;&lt;/FQL&gt;&lt;FQL&gt;&lt;Q&gt;JAG^RTP_PRICE_HIGH_52W&lt;/Q&gt;&lt;R&gt;1&lt;/R&gt;&lt;C&gt;1&lt;/C&gt;&lt;D xsi:type="xsd:double"&gt;16.55&lt;/D&gt;&lt;/FQL&gt;&lt;FQL&gt;&lt;Q&gt;LPI^FF_OG_AREA_TOT(ANN_R_GROSS_ACRE,12/2017)&lt;/Q&gt;&lt;R&gt;1&lt;/R&gt;&lt;C&gt;1&lt;/C&gt;&lt;D xsi:type="xsd:double"&gt;152310&lt;/D&gt;&lt;/FQL&gt;&lt;FQL&gt;&lt;Q&gt;COP^RTP_PRICE_HIGH_52W&lt;/Q&gt;&lt;R&gt;1&lt;/R&gt;&lt;C&gt;1&lt;/C&gt;&lt;D xsi:type="xsd:double"&gt;66.91&lt;/D&gt;&lt;/FQL&gt;&lt;FQL&gt;&lt;Q&gt;CPE^FF_OG_AREA_TOT(ANN_R_GROSS_ACRE,12/2017)&lt;/Q&gt;&lt;R&gt;1&lt;/R&gt;&lt;C&gt;1&lt;/C&gt;&lt;D xsi:type="xsd:double"&gt;87705&lt;/D&gt;&lt;/FQL&gt;&lt;FQL&gt;&lt;Q&gt;ROSE^RTP_PRICE_HIGH_52W&lt;/Q&gt;&lt;R&gt;1&lt;/R&gt;&lt;C&gt;1&lt;/C&gt;&lt;D xsi:type="xsd:double"&gt;11.69&lt;/D&gt;&lt;/FQL&gt;&lt;FQL&gt;&lt;Q&gt;RSPP^FF_OG_AREA_TOT(ANN_R_GROSS_ACRE,12/2017)&lt;/Q&gt;&lt;R&gt;1&lt;/R&gt;&lt;C&gt;1&lt;/C&gt;&lt;D xsi:type="xsd:double"&gt;142108&lt;/D&gt;&lt;/FQL&gt;&lt;FQL&gt;&lt;Q&gt;ESTE^RTP_PRICE_HIGH_52W&lt;/Q&gt;&lt;R&gt;1&lt;/R&gt;&lt;C&gt;1&lt;/C&gt;&lt;D xsi:type="xsd:double"&gt;14.75&lt;/D&gt;&lt;/FQL&gt;&lt;FQL&gt;&lt;Q&gt;FANG^FF_OG_AREA_TOT(ANN_R_GROSS_ACRE,12/2017)&lt;/Q&gt;&lt;R&gt;1&lt;/R&gt;&lt;C&gt;1&lt;/C&gt;&lt;D xsi:type="xsd:double"&gt;246012&lt;/D&gt;&lt;/FQL&gt;&lt;FQL&gt;&lt;Q&gt;CXO^RTP_PRICE_HIGH_52W&lt;/Q&gt;&lt;R&gt;1&lt;/R&gt;&lt;C&gt;1&lt;/C&gt;&lt;D xsi:type="xsd:double"&gt;162.91&lt;/D&gt;&lt;/FQL&gt;&lt;FQL&gt;&lt;Q&gt;DVN^FF_OG_AREA_TOT(ANN_R_GROSS_ACRE,12/2017)&lt;/Q&gt;&lt;R&gt;1&lt;/R&gt;&lt;C&gt;1&lt;/C&gt;&lt;D xsi:type="xsd:double"&gt;8171000&lt;/D&gt;&lt;/FQL&gt;&lt;FQL&gt;&lt;Q&gt;AREX^RTP_PRICE_HIGH_52W&lt;/Q&gt;&lt;R&gt;1&lt;/R&gt;&lt;C&gt;1&lt;/C&gt;&lt;D xsi:type="xsd:double"&gt;4.21&lt;/D&gt;&lt;/FQL&gt;&lt;FQL&gt;&lt;Q&gt;AXAS^FF_OG_AREA_TOT(ANN_R_GROSS_ACRE,12/2017)&lt;/Q&gt;&lt;R&gt;1&lt;/R&gt;&lt;C&gt;1&lt;/C&gt;&lt;D xsi:type="xsd:double"&gt;89101&lt;/D&gt;&lt;/FQL&gt;&lt;FQL&gt;&lt;Q&gt;CDEV^RTP_PRICE_HIGH_52W&lt;/Q&gt;&lt;R&gt;1&lt;/R&gt;&lt;C&gt;1&lt;/C&gt;&lt;D xsi:type="xsd:double"&gt;22.1397&lt;/D&gt;&lt;/FQL&gt;&lt;FQL&gt;&lt;Q&gt;COP^FF_OG_AREA_TOT(ANN_R_GROSS_ACRE,12/2017)&lt;/Q&gt;&lt;R&gt;1&lt;/R&gt;&lt;C&gt;1&lt;/C&gt;&lt;D xsi:type="xsd:double"&gt;55480000&lt;/D&gt;&lt;/FQL&gt;&lt;FQL&gt;&lt;Q&gt;SM^RTP_PRICE_HIGH_52W&lt;/Q&gt;&lt;R&gt;1&lt;/R&gt;&lt;C&gt;1&lt;/C&gt;&lt;D xsi:type="xsd:double"&gt;28.2&lt;/D&gt;&lt;/FQL&gt;&lt;FQL&gt;&lt;Q&gt;USEG^FF_OG_AREA_TOT(ANN_R_GROSS_ACRE,12/2017)&lt;/Q&gt;&lt;R&gt;1&lt;/R&gt;&lt;C&gt;1&lt;/C&gt;&lt;D xsi:type="xsd:double"&gt;95078&lt;/D&gt;&lt;/FQL&gt;&lt;FQL&gt;&lt;Q&gt;AXAS^FF_OG_RSRV_PROVED_DEV_NET(ANN_R_NGL_BOE,0)&lt;/Q&gt;&lt;R&gt;1&lt;/R&gt;&lt;C&gt;1&lt;/C&gt;&lt;D xsi:type="xsd:double"&gt;3.794&lt;/D&gt;&lt;/FQL&gt;&lt;FQL&gt;&lt;Q&gt;CDEV^FF_OG_RSRV_PROVED_DEV_NET(ANN_R_OIL_BOE,0)&lt;/Q&gt;&lt;R&gt;1&lt;/R&gt;&lt;C&gt;1&lt;/C&gt;&lt;D xsi:type="xsd:double"&gt;41.786&lt;/D&gt;&lt;/FQL&gt;&lt;FQL&gt;&lt;Q&gt;CDEV^FF_OG_RSRV_PROVED_DEV_NET(ANN_R_NG_CFE,0)&lt;/Q&gt;&lt;R&gt;1&lt;/R&gt;&lt;C&gt;1&lt;/C&gt;&lt;D xsi:type="xsd:double"&gt;126065&lt;/D&gt;&lt;/FQL&gt;&lt;FQL&gt;&lt;Q&gt;AXAS^FF_OG_RSRV_PROVED_UNDEV_NET(ANN_R_NGL_BOE,0)&lt;/Q&gt;&lt;R&gt;1&lt;/R&gt;&lt;C&gt;1&lt;/C&gt;&lt;D xsi:type="xsd:double"&gt;8.181&lt;/D&gt;&lt;/FQL&gt;&lt;FQL&gt;&lt;Q&gt;CDEV^FF_OG_RSRV_PROVED_UNDEV_NET(ANN_R_OIL_BOE,0)&lt;/Q&gt;&lt;R&gt;1&lt;/R&gt;&lt;C&gt;1&lt;/C&gt;&lt;D xsi:type="xsd:double"&gt;59.147&lt;/D&gt;&lt;/FQL&gt;&lt;FQL&gt;&lt;Q&gt;CDEV^FF_OG_RSRV_PROVED_UNDEV_NET(ANN_R_NG_CFE,0)&lt;/Q&gt;&lt;R&gt;1&lt;/R&gt;&lt;C&gt;1&lt;/C&gt;&lt;D xsi:type="xsd:double"&gt;201147&lt;/D&gt;&lt;/FQL&gt;&lt;FQL&gt;&lt;Q&gt;EOG^FE_TIMESERIES(PROD_DAY_OIL_ONLY,MEAN,2019/1F,2019/4F,FQ,'BKRACTMED=1,WIN=0,DATE=NOW')&lt;/Q&gt;&lt;R&gt;4&lt;/R&gt;&lt;C&gt;1&lt;/C&gt;&lt;D xsi:type="xsd:double"&gt;440.749&lt;/D&gt;&lt;D xsi:type="xsd:double"&gt;459.65945&lt;/D&gt;&lt;D xsi:type="xsd:double"&gt;479.0151&lt;/D&gt;&lt;D xsi:type="xsd:double"&gt;497.55923&lt;/D&gt;&lt;/FQL&gt;&lt;FQL&gt;&lt;Q&gt;USEG^FE_GUIDANCE_DATE(DATEN,CAPEX,ANNUAL,2018,'MM/DD/YYYY',0)&lt;/Q&gt;&lt;R&gt;0&lt;/R&gt;&lt;C&gt;0&lt;/C&gt;&lt;/FQL&gt;&lt;FQL&gt;&lt;Q&gt;PXD^FF_OG_PROD_DAY(QTR_R_NGL_BOE,12/2017)&lt;/Q&gt;&lt;R&gt;1&lt;/R&gt;&lt;C&gt;1&lt;/C&gt;&lt;D xsi:type="xsd:double"&gt;62.395&lt;/D&gt;&lt;/FQL&gt;&lt;FQL&gt;&lt;Q&gt;PXD^FF_OG_PROD_DAY(QTR_R_NG_CFE,12/2017)&lt;/Q&gt;&lt;R&gt;1&lt;/R&gt;&lt;C&gt;1&lt;/C&gt;&lt;D xsi:type="xsd:double"&gt;377141&lt;/D&gt;&lt;/FQL&gt;&lt;FQL&gt;&lt;Q&gt;SM^FF_DEP_AMORT_EXP(QTR_R,12/2017)&lt;/Q&gt;&lt;R&gt;1&lt;/R&gt;&lt;C&gt;1&lt;/C&gt;&lt;D xsi:type="xsd:double"&gt;145.889&lt;/D&gt;&lt;/FQL&gt;&lt;FQL&gt;&lt;Q&gt;RSPP^FF_SGA(QTR_R,12/2017)&lt;/Q&gt;&lt;R&gt;1&lt;/R&gt;&lt;C&gt;1&lt;/C&gt;&lt;D xsi:type="xsd:double"&gt;11.233&lt;/D&gt;&lt;/FQL&gt;&lt;FQL&gt;&lt;Q&gt;RSPP^FF_DEP_AMORT_EXP(QTR_R,12/2017)&lt;/Q&gt;&lt;R&gt;1&lt;/R&gt;&lt;C&gt;1&lt;/C&gt;&lt;D xsi:type="xsd:double"&gt;130.245&lt;/D&gt;&lt;/FQL&gt;&lt;FQL&gt;&lt;Q&gt;OAS^FF_OG_PROD_TOT_NET(QTR_R_NGL_BOE,12/2017)&lt;/Q&gt;&lt;R&gt;0&lt;/R&gt;&lt;C&gt;0&lt;/C&gt;&lt;/FQL&gt;&lt;FQL&gt;&lt;Q&gt;OAS^FF_OG_PROD_DAY(QTR_R_NG_CFE,12/2017)&lt;/Q&gt;&lt;R&gt;1&lt;/R&gt;&lt;C&gt;1&lt;/C&gt;&lt;D xsi:type="xsd:double"&gt;95812&lt;/D&gt;&lt;/FQL&gt;&lt;FQL&gt;&lt;Q&gt;OAS^FF_OG_PROD_DAY(QTR_R_OIL_BOE,12/2017)&lt;/Q&gt;&lt;R&gt;1&lt;/R&gt;&lt;C&gt;1&lt;/C&gt;&lt;D xsi:type="xsd:double"&gt;57.238&lt;/D&gt;&lt;/FQL&gt;&lt;FQL&gt;&lt;Q&gt;OAS^FG_COMPANY_NAME&lt;/Q&gt;&lt;R&gt;1&lt;/R&gt;&lt;C&gt;1&lt;/C&gt;&lt;D xsi:type="xsd:string"&gt;Oasis Petroleum Inc.&lt;/D&gt;&lt;/FQL&gt;&lt;FQL&gt;&lt;Q&gt;ROSE^FF_OG_PROD_DAY(QTR_R_NGL_BOE,12/2017)&lt;/Q&gt;&lt;R&gt;0&lt;/R&gt;&lt;C&gt;0&lt;/C&gt;&lt;/FQL&gt;&lt;FQL&gt;&lt;Q&gt;ROSE^FF_OG_PROD_TOT_NET(QTR_R_NG_CFE,12/2017)&lt;/Q&gt;&lt;R&gt;0&lt;/R&gt;&lt;C&gt;0&lt;/C&gt;&lt;/FQL&gt;&lt;FQL&gt;&lt;Q&gt;ROSE^FF_OG_PROD_DAY(QTR_R_NG_CFE,12/2017)&lt;/Q&gt;&lt;R&gt;0&lt;/R&gt;&lt;C&gt;0&lt;/C&gt;&lt;/FQL&gt;&lt;FQL&gt;&lt;Q&gt;WPX^FF_DEP_AMORT_EXP(QTR_R,12/2017)&lt;/Q&gt;&lt;R&gt;1&lt;/R&gt;&lt;C&gt;1&lt;/C&gt;&lt;D xsi:type="xsd:double"&gt;206&lt;/D&gt;&lt;/FQL&gt;&lt;FQL&gt;&lt;Q&gt;USEG^FF_SGA(QTR_R,12/2017)&lt;/Q&gt;&lt;R&gt;1&lt;/R&gt;&lt;C&gt;1&lt;/C&gt;&lt;D xsi:type="xsd:double"&gt;0.626&lt;/D&gt;&lt;/FQL&gt;&lt;FQL&gt;&lt;Q&gt;USEG^FF_DEP_AMORT_EXP(QTR_R,12/2017)&lt;/Q&gt;&lt;R&gt;1&lt;/R&gt;&lt;C&gt;1&lt;/C&gt;&lt;D xsi:type="xsd:double"&gt;0.167&lt;/D&gt;&lt;/FQL&gt;&lt;FQL&gt;&lt;Q&gt;REN^FF_OG_PROD_DAY(QTR_R_NG_CFE,12/2017)&lt;/Q&gt;&lt;R&gt;0&lt;/R&gt;&lt;C&gt;0&lt;/C&gt;&lt;/FQL&gt;&lt;FQL&gt;&lt;Q&gt;RSPP^FF_OG_PROD_DAY(QTR_R_OIL_BOE,12/2017)&lt;/Q&gt;&lt;R&gt;1&lt;/R&gt;&lt;C&gt;1&lt;/C&gt;&lt;D xsi:type="xsd:double"&gt;44.304&lt;/D&gt;&lt;/FQL&gt;&lt;FQL&gt;&lt;Q&gt;RSPP^FE_TIMESERIES(PROD_DAY_OIL_ONLY,MEAN,2018/1F,2018/4F,FQ,'BKRACTMED=1,WIN=0,DATE=NOW')&lt;/Q&gt;&lt;R&gt;4&lt;/R&gt;&lt;C&gt;1&lt;/C&gt;&lt;D xsi:type="xsd:double"&gt;47.040787&lt;/D&gt;&lt;D xsi:type="xsd:double"&gt;51.679237&lt;/D&gt;&lt;D xsi:type="xsd:double"&gt;55.232277&lt;/D&gt;&lt;D xsi:type="xsd:double"&gt;59.322544&lt;/D&gt;&lt;/FQL&gt;&lt;FQL&gt;&lt;Q&gt;QEP^FF_OG_PROD_TOT_NET(QTR_R_NGL_BOE,12/2017)&lt;/Q&gt;&lt;R&gt;1&lt;/R&gt;&lt;C&gt;1&lt;/C&gt;&lt;D xsi:type="xsd:double"&gt;1140.9&lt;/D&gt;&lt;/FQL&gt;&lt;FQL&gt;&lt;Q&gt;QEP^FF_OG_PROD_DAY(QTR_R_NGL_BOE,12/2017)&lt;/Q&gt;&lt;R&gt;0&lt;/R&gt;&lt;C&gt;0&lt;/C&gt;&lt;/FQL&gt;&lt;FQL&gt;&lt;Q&gt;QEP^FF_OG_PROD_TOT_NET(QTR_R_NG_CFE,12/2017)&lt;/Q&gt;&lt;R&gt;1&lt;/R&gt;&lt;C&gt;1&lt;/C&gt;&lt;D xsi:type="xsd:double"&gt;34100000&lt;/D&gt;&lt;/FQL&gt;&lt;FQL&gt;&lt;Q&gt;USEG^FF_OG_PROD_TOT_NET(QTR_R_NGL_BOE,12/2017)&lt;/Q&gt;&lt;R&gt;0&lt;/R&gt;&lt;C&gt;0&lt;/C&gt;&lt;/FQL&gt;&lt;FQL&gt;&lt;Q&gt;USEG^FF_OG_PROD_TOT_NET(QTR_R_NG_CFE,12/2017)&lt;/Q&gt;&lt;R&gt;1&lt;/R&gt;&lt;C&gt;1&lt;/C&gt;&lt;D xsi:type="xsd:double"&gt;113469&lt;/D&gt;&lt;/FQL&gt;&lt;FQL&gt;&lt;Q&gt;USEG^FF_OG_PROD_DAY(QTR_R_NG_CFE,12/2017)&lt;/Q&gt;&lt;R&gt;0&lt;/R&gt;&lt;C&gt;0&lt;/C&gt;&lt;/FQL&gt;&lt;FQL&gt;&lt;Q&gt;FANG^FE_TIMESERIES(PROD_DAY_OIL_ONLY,MEAN,2018/1F,2018/4F,FQ,'BKRACTMED=1,WIN=0,DATE=NOW')&lt;/Q&gt;&lt;R&gt;4&lt;/R&gt;&lt;C&gt;1&lt;/C&gt;&lt;D xsi:type="xsd:double"&gt;75.37315&lt;/D&gt;&lt;D xsi:type="xsd:double"&gt;80.85111&lt;/D&gt;&lt;D xsi:type="xsd:double"&gt;86.901886&lt;/D&gt;&lt;D xsi:type="xsd:double"&gt;93.39114&lt;/D&gt;&lt;/FQL&gt;&lt;FQL&gt;&lt;Q&gt;HK^FF_OG_PROD_DAY(QTR_R_NGL_BOE,12/2017)&lt;/Q&gt;&lt;R&gt;0&lt;/R&gt;&lt;C&gt;0&lt;/C&gt;&lt;/FQL&gt;&lt;FQL&gt;&lt;Q&gt;HK^FF_OG_PROD_TOT_NET(QTR_R_NG_CFE,12/2017)&lt;/Q&gt;&lt;R&gt;1&lt;/R&gt;&lt;C&gt;1&lt;/C&gt;&lt;D xsi:type="xsd:double"&gt;547000&lt;/D&gt;&lt;/FQL&gt;&lt;FQL&gt;&lt;Q&gt;HK^FF_OG_PROD_DAY(QTR_R_NG_CFE,12/2017)&lt;/Q&gt;&lt;R&gt;0&lt;/R&gt;&lt;C&gt;0&lt;/C&gt;&lt;/FQL&gt;&lt;FQL&gt;&lt;Q&gt;LPI^FF_OG_PROD_DAY(QTR_R_NGL_BOE,12/2017)&lt;/Q&gt;&lt;R&gt;1&lt;/R&gt;&lt;C&gt;1&lt;/C&gt;&lt;D xsi:type="xsd:double"&gt;17.3382&lt;/D&gt;&lt;/FQL&gt;&lt;FQL&gt;&lt;Q&gt;LPI^FF_OG_PROD_DAY(QTR_R_NG_CFE,12/2017)&lt;/Q&gt;&lt;R&gt;1&lt;/R&gt;&lt;C&gt;1&lt;/C&gt;&lt;D xsi:type="xsd:double"&gt;211773.24&lt;/D&gt;&lt;/FQL&gt;&lt;FQL&gt;&lt;Q&gt;HK^FE_TIMESERIES(PROD_DAY_OIL_ONLY,MEAN,2018/1F,2018/4F,FQ,'BKRACTMED=1,WIN=0,DATE=NOW')&lt;/Q&gt;&lt;R&gt;4&lt;/R&gt;&lt;C&gt;1&lt;/C&gt;&lt;D xsi:type="xsd:double"&gt;7.8765774&lt;/D&gt;&lt;D xsi:type="xsd:double"&gt;11.087829&lt;/D&gt;&lt;D xsi:type="xsd:double"&gt;13.988057&lt;/D&gt;&lt;D xsi:type="xsd:double"&gt;16.735386&lt;/D&gt;&lt;/FQL&gt;&lt;FQL&gt;&lt;Q&gt;CXO^FF_DEP_AMORT_EXP(QTR_R,12/2017)&lt;/Q&gt;&lt;R&gt;1&lt;/R&gt;&lt;C&gt;1&lt;/C&gt;&lt;D xsi:type="xsd:double"&gt;298&lt;/D&gt;&lt;/FQL&gt;&lt;FQL&gt;&lt;Q&gt;CRZO^FF_SGA(QTR_R,12/2017)&lt;/Q&gt;&lt;R&gt;1&lt;/R&gt;&lt;C&gt;1&lt;/C&gt;&lt;D xsi:type="xsd:double"&gt;16.901&lt;/D&gt;&lt;/FQL&gt;&lt;FQL&gt;&lt;Q&gt;CRZO^FF_DEP_AMORT_EXP(QTR_R,12/2017)&lt;/Q&gt;&lt;R&gt;1&lt;/R&gt;&lt;C&gt;1&lt;/C&gt;&lt;D xsi:type="xsd:double"&gt;81.571&lt;/D&gt;&lt;/FQL&gt;&lt;FQL&gt;&lt;Q&gt;EOG^FF_DEP_AMORT_EXP(QTR_R,12/2017)&lt;/Q&gt;&lt;R&gt;1&lt;/R&gt;&lt;C&gt;1&lt;/C&gt;&lt;D xsi:type="xsd:double"&gt;886.277&lt;/D&gt;&lt;/FQL&gt;&lt;FQL&gt;&lt;Q&gt;EGN^FF_SGA(QTR_R,12/2017)&lt;/Q&gt;&lt;R&gt;1&lt;/R&gt;&lt;C&gt;1&lt;/C&gt;&lt;D xsi:type="xsd:double"&gt;23.158&lt;/D&gt;&lt;/FQL&gt;&lt;FQL&gt;&lt;Q&gt;EGN^FF_DEP_AMORT_EXP(QTR_R,12/2017)&lt;/Q&gt;&lt;R&gt;1&lt;/R&gt;&lt;C&gt;1&lt;/C&gt;&lt;D xsi:type="xsd:double"&gt;131.92&lt;/D&gt;&lt;/FQL&gt;&lt;FQL&gt;&lt;Q&gt;HK^FF_SGA(QTR_R,12/2017)&lt;/Q&gt;&lt;R&gt;1&lt;/R&gt;&lt;C&gt;1&lt;/C&gt;&lt;D xsi:type="xsd:double"&gt;24.385&lt;/D&gt;&lt;/FQL&gt;&lt;FQL&gt;&lt;Q&gt;HK^FF_DEP_AMORT_EXP(QTR_R,12/2017)&lt;/Q&gt;&lt;R&gt;1&lt;/R&gt;&lt;C&gt;1&lt;/C&gt;&lt;D xsi:type="xsd:double"&gt;9.419&lt;/D&gt;&lt;/FQL&gt;&lt;FQL&gt;&lt;Q&gt;FANG^FF_SGA(QTR_R,12/2017)&lt;/Q&gt;&lt;R&gt;1&lt;/R&gt;&lt;C&gt;1&lt;/C&gt;&lt;D xsi:type="xsd:double"&gt;11.145&lt;/D&gt;&lt;/FQL&gt;&lt;FQL&gt;&lt;Q&gt;CPE^FF_DEP_AMORT_EXP(QTR_R,12/2017)&lt;/Q&gt;&lt;R&gt;1&lt;/R&gt;&lt;C&gt;1&lt;/C&gt;&lt;D xsi:type="xsd:double"&gt;37.376&lt;/D&gt;&lt;/FQL&gt;&lt;FQL&gt;&lt;Q&gt;COP^FF_SGA(QTR_R,12/2017)&lt;/Q&gt;&lt;R&gt;1&lt;/R&gt;&lt;C&gt;1&lt;/C&gt;&lt;D xsi:type="xsd:double"&gt;138&lt;/D&gt;&lt;/FQL&gt;&lt;FQL&gt;&lt;Q&gt;COP^FF_DEP_AMORT_EXP(QTR_R,12/2017)&lt;/Q&gt;&lt;R&gt;1&lt;/R&gt;&lt;C&gt;1&lt;/C&gt;&lt;D xsi:type="xsd:double"&gt;1764&lt;/D&gt;&lt;/FQL&gt;&lt;FQL&gt;&lt;Q&gt;ECA^FF_DEP_AMORT_EXP(QTR_R,12/2017)&lt;/Q&gt;&lt;R&gt;1&lt;/R&gt;&lt;C&gt;1&lt;/C&gt;&lt;D xsi:type="xsd:double"&gt;250&lt;/D&gt;&lt;/FQL&gt;&lt;FQL&gt;&lt;Q&gt;DVN^FF_SGA(QTR_R,12/2017)&lt;/Q&gt;&lt;R&gt;1&lt;/R&gt;&lt;C&gt;1&lt;/C&gt;&lt;D xsi:type="xsd:double"&gt;222&lt;/D&gt;&lt;/FQL&gt;&lt;FQL&gt;&lt;Q&gt;DVN^FF_DEP_AMORT_EXP(QTR_R,12/2017)&lt;/Q&gt;&lt;R&gt;1&lt;/R&gt;&lt;C&gt;1&lt;/C&gt;&lt;D xsi:type="xsd:double"&gt;682&lt;/D&gt;&lt;/FQL&gt;&lt;FQL&gt;&lt;Q&gt;ROSE^FF_OG_PROD_DAY(QTR_R_OIL_BOE,12/2017)&lt;/Q&gt;&lt;R&gt;0&lt;/R&gt;&lt;C&gt;0&lt;/C&gt;&lt;/FQL&gt;&lt;FQL&gt;&lt;Q&gt;ROSE^FG_COMPANY_NAME&lt;/Q&gt;&lt;R&gt;1&lt;/R&gt;&lt;C&gt;1&lt;/C&gt;&lt;D xsi:type="xsd:string"&gt;Rosehill Resources Inc. Class A&lt;/D&gt;&lt;/FQL&gt;&lt;FQL&gt;&lt;Q&gt;REN^FF_OG_PROD_TOT_NET(QTR_R_NGL_BOE,12/2017)&lt;/Q&gt;&lt;R&gt;1&lt;/R&gt;&lt;C&gt;1&lt;/C&gt;&lt;D xsi:type="xsd:double"&gt;585&lt;/D&gt;&lt;/FQL&gt;&lt;FQL&gt;&lt;Q&gt;SM^FF_OG_PROD_DAY(QTR_R_NG_CFE,12/2017)&lt;/Q&gt;&lt;R&gt;1&lt;/R&gt;&lt;C&gt;1&lt;/C&gt;&lt;D xsi:type="xsd:double"&gt;282500&lt;/D&gt;&lt;/FQL&gt;&lt;FQL&gt;&lt;Q&gt;ECA^FF_OG_PROD_DAY(QTR_R_OIL_BOE,12/2017)&lt;/Q&gt;&lt;R&gt;1&lt;/R&gt;&lt;C&gt;1&lt;/C&gt;&lt;D xsi:type="xsd:double"&gt;111.4&lt;/D&gt;&lt;/FQL&gt;&lt;FQL&gt;&lt;Q&gt;REN^FE_GUIDANCE(CAPEX,MIDPOINT,ANNUAL,+2,0,,,'')&lt;/Q&gt;&lt;R&gt;0&lt;/R&gt;&lt;C&gt;0&lt;/C&gt;&lt;/FQL&gt;&lt;FQL&gt;&lt;Q&gt;RSPP^FF_OG_PROD_DAY(QTR_R_NGL_BOE,12/2017)&lt;/Q&gt;&lt;R&gt;1&lt;/R&gt;&lt;C&gt;1&lt;/C&gt;&lt;D xsi:type="xsd:double"&gt;10.608&lt;/D&gt;&lt;/FQL&gt;&lt;FQL&gt;&lt;Q&gt;DVN^FE_TIMESERIES(PROD_DAY_OIL_ONLY,MEAN,2019/1F,2019/4F,FQ,'BKRACTMED=1,WIN=0,DATE=NOW')&lt;/Q&gt;&lt;R&gt;4&lt;/R&gt;&lt;C&gt;1&lt;/C&gt;&lt;D xsi:type="xsd:double"&gt;263.41644&lt;/D&gt;&lt;D xsi:type="xsd:double"&gt;265.36945&lt;/D&gt;&lt;D xsi:type="xsd:double"&gt;273.9859&lt;/D&gt;&lt;D xsi:type="xsd:double"&gt;280.82446&lt;/D&gt;&lt;/FQL&gt;&lt;FQL&gt;&lt;Q&gt;MTDR^FF_OG_PROD_TOT_NET(QTR_R_NGL_BOE,12/2017)&lt;/Q&gt;&lt;R&gt;0&lt;/R&gt;&lt;C&gt;0&lt;/C&gt;&lt;/FQL&gt;&lt;FQL&gt;&lt;Q&gt;MTDR^FF_OG_PROD_DAY(QTR_R_NGL_BOE,12/2017)&lt;/Q&gt;&lt;R&gt;0&lt;/R&gt;&lt;C&gt;0&lt;/C&gt;&lt;/FQL&gt;&lt;FQL&gt;&lt;Q&gt;MTDR^FF_OG_PROD_DAY(QTR_R_NG_CFE,12/2017)&lt;/Q&gt;&lt;R&gt;1&lt;/R&gt;&lt;C&gt;1&lt;/C&gt;&lt;D xsi:type="xsd:double"&gt;114300&lt;/D&gt;&lt;/FQL&gt;&lt;FQL&gt;&lt;Q&gt;CDEV^FF_DEP_AMORT_EXP(QTR_R,12/2017)&lt;/Q&gt;&lt;R&gt;1&lt;/R&gt;&lt;C&gt;1&lt;/C&gt;&lt;D xsi:type="xsd:double"&gt;58.781&lt;/D&gt;&lt;/FQL&gt;&lt;FQL&gt;&lt;Q&gt;AXAS^FF_DEP_AMORT_EXP(QTR_R,12/2017)&lt;/Q&gt;&lt;R&gt;1&lt;/R&gt;&lt;C&gt;1&lt;/C&gt;&lt;D xsi:type="xsd:double"&gt;8.673&lt;/D&gt;&lt;/FQL&gt;&lt;FQL&gt;&lt;Q&gt;AREX^FF_OG_PROD_EXP(QTR_R,12/2017)&lt;/Q&gt;&lt;R&gt;1&lt;/R&gt;&lt;C&gt;1&lt;/C&gt;&lt;D xsi:type="xsd:double"&gt;7.295&lt;/D&gt;&lt;/FQL&gt;&lt;FQL&gt;&lt;Q&gt;APA^FF_OG_PROD_EXP(QTR_R,12/2017)&lt;/Q&gt;&lt;R&gt;1&lt;/R&gt;&lt;C&gt;1&lt;/C&gt;&lt;D xsi:type="xsd:double"&gt;368&lt;/D&gt;&lt;/FQL&gt;&lt;FQL&gt;&lt;Q&gt;PDCE^FF_OG_PROD_TOT_NET(QTR_R_NGL_BOE,12/2017)&lt;/Q&gt;&lt;R&gt;1&lt;/R&gt;&lt;C&gt;1&lt;/C&gt;&lt;D xsi:type="xsd:double"&gt;1732&lt;/D&gt;&lt;/FQL&gt;&lt;FQL&gt;&lt;Q&gt;OXY^FF_OG_PROD_DAY(QTR_R_NG_CFE,12/2017)&lt;/Q&gt;&lt;R&gt;1&lt;/R&gt;&lt;C&gt;1&lt;/C&gt;&lt;D xsi:type="xsd:double"&gt;810000&lt;/D&gt;&lt;/FQL&gt;&lt;FQL&gt;&lt;Q&gt;COP^FE_TIMESERIES(PROD_DAY_OIL_ONLY,MEAN,2019/1F,2019/4F,FQ,'BKRACTMED=1,WIN=0,DATE=NOW')&lt;/Q&gt;&lt;R&gt;4&lt;/R&gt;&lt;C&gt;1&lt;/C&gt;&lt;D xsi:type="xsd:string"&gt;@NA&lt;/D&gt;&lt;D xsi:type="xsd:string"&gt;@NA&lt;/D&gt;&lt;D xsi:type="xsd:string"&gt;@NA&lt;/D&gt;&lt;D xsi:type="xsd:string"&gt;@NA&lt;/D&gt;&lt;/FQL&gt;&lt;FQL&gt;&lt;Q&gt;LPI^FF_SGA(QTR_R,12/2017)&lt;/Q&gt;&lt;R&gt;1&lt;/R&gt;&lt;C&gt;1&lt;/C&gt;&lt;D xsi:type="xsd:double"&gt;23.707&lt;/D&gt;&lt;/FQL&gt;&lt;FQL&gt;&lt;Q&gt;LPI^FF_DEP_AMORT_EXP(QTR_R,12/2017)&lt;/Q&gt;&lt;R&gt;1&lt;/R&gt;&lt;C&gt;1&lt;/C&gt;&lt;D xsi:type="xsd:double"&gt;46.031&lt;/D&gt;&lt;/FQL&gt;&lt;FQL&gt;&lt;Q&gt;JAG^FF_SGA(QTR_R,12/2017)&lt;/Q&gt;&lt;R&gt;1&lt;/R&gt;&lt;C&gt;1&lt;/C&gt;&lt;D xsi:type="xsd:double"&gt;16.563&lt;/D&gt;&lt;/FQL&gt;&lt;FQL&gt;&lt;Q&gt;PE^FF_OG_PROD_TOT_NET(QTR_R_NGL_BOE,12/2017)&lt;/Q&gt;&lt;R&gt;1&lt;/R&gt;&lt;C&gt;1&lt;/C&gt;&lt;D xsi:type="xsd:double"&gt;1449&lt;/D&gt;&lt;/FQL&gt;&lt;FQL&gt;&lt;Q&gt;PE^FF_OG_PROD_TOT_NET(QTR_R_NG_CFE,12/2017)&lt;/Q&gt;&lt;R&gt;1&lt;/R&gt;&lt;C&gt;1&lt;/C&gt;&lt;D xsi:type="xsd:double"&gt;7221000&lt;/D&gt;&lt;/FQL&gt;&lt;FQL&gt;&lt;Q&gt;PE^FF_OG_PROD_DAY(QTR_R_NG_CFE,12/2017)&lt;/Q&gt;&lt;R&gt;0&lt;/R&gt;&lt;C&gt;0&lt;/C&gt;&lt;/FQL&gt;&lt;FQL&gt;&lt;Q&gt;PE^FF_OG_PROD_TOT_NET(QTR_R_OIL_BOE,12/2017)&lt;/Q&gt;&lt;R&gt;1&lt;/R&gt;&lt;C&gt;1&lt;/C&gt;&lt;D xsi:type="xsd:double"&gt;4737&lt;/D&gt;&lt;/FQL&gt;&lt;FQL&gt;&lt;Q&gt;FANG^FF_OG_PROD_DAY(QTR_R_NG_CFE,12/2017)&lt;/Q&gt;&lt;R&gt;0&lt;/R&gt;&lt;C&gt;0&lt;/C&gt;&lt;/FQL&gt;&lt;FQL&gt;&lt;Q&gt;USEG^FE_TIMESERIES(PROD_DAY_OIL_ONLY,MEAN,2018/1F,2018/4F,FQ,'BKRACTMED=1,WIN=0,DATE=NOW')&lt;/Q&gt;&lt;R&gt;4&lt;/R&gt;&lt;C&gt;1&lt;/C&gt;&lt;D xsi:type="xsd:string"&gt;@NA&lt;/D&gt;&lt;D xsi:type="xsd:string"&gt;@NA&lt;/D&gt;&lt;D xsi:type="xsd:string"&gt;@NA&lt;/D&gt;&lt;D xsi:type="xsd:string"&gt;@NA&lt;/D&gt;&lt;/FQL&gt;&lt;FQL&gt;&lt;Q&gt;HK^FF_OG_PROD_TOT_NET(QTR_R_OIL_BOE,12/2017)&lt;/Q&gt;&lt;R&gt;1&lt;/R&gt;&lt;C&gt;1&lt;/C&gt;&lt;D xsi:type="xsd:double"&gt;403&lt;/D&gt;&lt;/FQL&gt;&lt;FQL&gt;&lt;Q&gt;PXD^FF_DEP_AMORT_EXP(QTR_R,12/2017)&lt;/Q&gt;&lt;R&gt;1&lt;/R&gt;&lt;C&gt;1&lt;/C&gt;&lt;D xsi:type="xsd:double"&gt;372&lt;/D&gt;&lt;/FQL&gt;&lt;FQL&gt;&lt;Q&gt;PE^FF_SGA(QTR_R,12/2017)&lt;/Q&gt;&lt;R&gt;1&lt;/R&gt;&lt;C&gt;1&lt;/C&gt;&lt;D xsi:type="xsd:double"&gt;34.879&lt;/D&gt;&lt;/FQL&gt;&lt;FQL&gt;&lt;Q&gt;PE^FF_DEP_AMORT_EXP(QTR_R,12/2017)&lt;/Q&gt;&lt;R&gt;1&lt;/R&gt;&lt;C&gt;1&lt;/C&gt;&lt;D xsi:type="xsd:double"&gt;105.517&lt;/D&gt;&lt;/FQL&gt;&lt;FQL&gt;&lt;Q&gt;ECA^FE_GUIDANCE(CAPEX,MIDPOINT,ANNUAL,+2,0,,,'')&lt;/Q&gt;&lt;R&gt;0&lt;/R&gt;&lt;C&gt;0&lt;/C&gt;&lt;/FQL&gt;&lt;FQL&gt;&lt;Q&gt;EOG^FF_OG_PROD_EXP(QTR_R,12/2017)&lt;/Q&gt;&lt;R&gt;0&lt;/R&gt;&lt;C&gt;0&lt;/C&gt;&lt;/FQL&gt;&lt;FQL&gt;&lt;Q&gt;MRO^FE_GUIDANCE_DATE(DATEN,CAPEX,ANNUAL,2018,'MM/DD/YYYY',0)&lt;/Q&gt;&lt;R&gt;0&lt;/R&gt;&lt;C&gt;0&lt;/C&gt;&lt;/FQL&gt;&lt;FQL&gt;&lt;Q&gt;NBL^FF_DEP_AMORT_EXP(QTR_R,12/2017)&lt;/Q&gt;&lt;R&gt;1&lt;/R&gt;&lt;C&gt;1&lt;/C&gt;&lt;D xsi:type="xsd:double"&gt;506&lt;/D&gt;&lt;/FQL&gt;&lt;FQL&gt;&lt;Q&gt;MTDR^FF_SGA(QTR_R,12/2017)&lt;/Q&gt;&lt;R&gt;1&lt;/R&gt;&lt;C&gt;1&lt;/C&gt;&lt;D xsi:type="xsd:double"&gt;16.345&lt;/D&gt;&lt;/FQL&gt;&lt;FQL&gt;&lt;Q&gt;MTDR^FF_DEP_AMORT_EXP(QTR_R,12/2017)&lt;/Q&gt;&lt;R&gt;1&lt;/R&gt;&lt;C&gt;1&lt;/C&gt;&lt;D xsi:type="xsd:double"&gt;54.789&lt;/D&gt;&lt;/FQL&gt;&lt;FQL&gt;&lt;Q&gt;MRO^FF_OG_PROD_DAY(QTR_R_NGL_BOE,12/2017)&lt;/Q&gt;&lt;R&gt;1&lt;/R&gt;&lt;C&gt;1&lt;/C&gt;&lt;D xsi:type="xsd:double"&gt;62&lt;/D&gt;&lt;/FQL&gt;&lt;FQL&gt;&lt;Q&gt;MRO^FF_OG_PROD_DAY(QTR_R_NG_CFE,12/2017)&lt;/Q&gt;&lt;R&gt;1&lt;/R&gt;&lt;C&gt;1&lt;/C&gt;&lt;D xsi:type="xsd:double"&gt;869000&lt;/D&gt;&lt;/FQL&gt;&lt;FQL&gt;&lt;Q&gt;APA^FE_TIMESERIES(PROD_DAY_OIL_ONLY,MEAN,2019/1F,2019/4F,FQ,'BKRACTMED=1,WIN=0,DATE=NOW')&lt;/Q&gt;&lt;R&gt;4&lt;/R&gt;&lt;C&gt;1&lt;/C&gt;&lt;D xsi:type="xsd:double"&gt;238.62976&lt;/D&gt;&lt;D xsi:type="xsd:double"&gt;240.31213&lt;/D&gt;&lt;D xsi:type="xsd:double"&gt;242.09676&lt;/D&gt;&lt;D xsi:type="xsd:double"&gt;244.46262&lt;/D&gt;&lt;/FQL&gt;&lt;FQL&gt;&lt;Q&gt;CPE^FE_TIMESERIES(PROD_DAY_OIL_ONLY,MEAN,2019/1F,2019/4F,FQ,'BKRACTMED=1,WIN=0,DATE=NOW')&lt;/Q&gt;&lt;R&gt;4&lt;/R&gt;&lt;C&gt;1&lt;/C&gt;&lt;D xsi:type="xsd:double"&gt;29.0585&lt;/D&gt;&lt;D xsi:type="xsd:double"&gt;31.421417&lt;/D&gt;&lt;D xsi:type="xsd:double"&gt;33.539165&lt;/D&gt;&lt;D xsi:type="xsd:double"&gt;35.78375&lt;/D&gt;&lt;/FQL&gt;&lt;FQL&gt;&lt;Q&gt;PXD^FE_GUIDANCE(CAPEX,MIDPOINT,ANNUAL,+2,0,,,'')&lt;/Q&gt;&lt;R&gt;0&lt;/R&gt;&lt;C&gt;0&lt;/C&gt;&lt;/FQL&gt;&lt;FQL&gt;&lt;Q&gt;WPX^FF_OG_PROD_DAY(QTR_R_NGL_BOE,12/2017)&lt;/Q&gt;&lt;R&gt;1&lt;/R&gt;&lt;C&gt;1&lt;/C&gt;&lt;D xsi:type="xsd:double"&gt;16.8&lt;/D&gt;&lt;/FQL&gt;&lt;FQL&gt;&lt;Q&gt;WPX^FF_OG_PROD_DAY(QTR_R_NG_CFE,12/2017)&lt;/Q&gt;&lt;R&gt;1&lt;/R&gt;&lt;C&gt;1&lt;/C&gt;&lt;D xsi:type="xsd:double"&gt;231000&lt;/D&gt;&lt;/FQL&gt;&lt;FQL&gt;&lt;Q&gt;ESTE^FF_DEP_AMORT_EXP(QTR_R,12/2017)&lt;/Q&gt;&lt;R&gt;1&lt;/R&gt;&lt;C&gt;1&lt;/C&gt;&lt;D xsi:type="xsd:double"&gt;8.713&lt;/D&gt;&lt;/FQL&gt;&lt;FQL&gt;&lt;Q&gt;EPE^FF_SGA(QTR_R,12/2017)&lt;/Q&gt;&lt;R&gt;1&lt;/R&gt;&lt;C&gt;1&lt;/C&gt;&lt;D xsi:type="xsd:double"&gt;10&lt;/D&gt;&lt;/FQL&gt;&lt;FQL&gt;&lt;Q&gt;EPE^FF_DEP_AMORT_EXP(QTR_R,12/2017)&lt;/Q&gt;&lt;R&gt;1&lt;/R&gt;&lt;C&gt;1&lt;/C&gt;&lt;D xsi:type="xsd:double"&gt;119&lt;/D&gt;&lt;/FQL&gt;&lt;FQL&gt;&lt;Q&gt;REN^FF_DEP_AMORT_EXP(QTR_R,12/2017)&lt;/Q&gt;&lt;R&gt;1&lt;/R&gt;&lt;C&gt;1&lt;/C&gt;&lt;D xsi:type="xsd:double"&gt;28.2&lt;/D&gt;&lt;/FQL&gt;&lt;FQL&gt;&lt;Q&gt;QEP^FF_SGA(QTR_R,12/2017)&lt;/Q&gt;&lt;R&gt;1&lt;/R&gt;&lt;C&gt;1&lt;/C&gt;&lt;D xsi:type="xsd:double"&gt;45.2&lt;/D&gt;&lt;/FQL&gt;&lt;FQL&gt;&lt;Q&gt;QEP^FF_DEP_AMORT_EXP(QTR_R,12/2017)&lt;/Q&gt;&lt;R&gt;1&lt;/R&gt;&lt;C&gt;1&lt;/C&gt;&lt;D xsi:type="xsd:double"&gt;195&lt;/D&gt;&lt;/FQL&gt;&lt;FQL&gt;&lt;Q&gt;PDCE^FF_DEP_AMORT_EXP(QTR_R,12/2017)&lt;/Q&gt;&lt;R&gt;1&lt;/R&gt;&lt;C&gt;1&lt;/C&gt;&lt;D xsi:type="xsd:double"&gt;113.415&lt;/D&gt;&lt;/FQL&gt;&lt;FQL&gt;&lt;Q&gt;OXY^FF_SGA(QTR_R,12/2017)&lt;/Q&gt;&lt;R&gt;1&lt;/R&gt;&lt;C&gt;1&lt;/C&gt;&lt;D xsi:type="xsd:double"&gt;448&lt;/D&gt;&lt;/FQL&gt;&lt;FQL&gt;&lt;Q&gt;OXY^FF_DEP_AMORT_EXP(QTR_R,12/2017)&lt;/Q&gt;&lt;R&gt;1&lt;/R&gt;&lt;C&gt;1&lt;/C&gt;&lt;D xsi:type="xsd:double"&gt;1119&lt;/D&gt;&lt;/FQL&gt;&lt;FQL&gt;&lt;Q&gt;JAG^FF_OG_PROD_TOT_NET(QTR_R_NGL_BOE,12/2017)&lt;/Q&gt;&lt;R&gt;1&lt;/R&gt;&lt;C&gt;1&lt;/C&gt;&lt;D xsi:type="xsd:double"&gt;211&lt;/D&gt;&lt;/FQL&gt;&lt;FQL&gt;&lt;Q&gt;JAG^FF_OG_PROD_TOT_NET(QTR_R_NG_CFE,12/2017)&lt;/Q&gt;&lt;R&gt;1&lt;/R&gt;&lt;C&gt;1&lt;/C&gt;&lt;D xsi:type="xsd:double"&gt;1377000&lt;/D&gt;&lt;/FQL&gt;&lt;FQL&gt;&lt;Q&gt;JAG^FF_OG_PROD_DAY(QTR_R_NG_CFE,12/2017)&lt;/Q&gt;&lt;R&gt;0&lt;/R&gt;&lt;C&gt;0&lt;/C&gt;&lt;/FQL&gt;&lt;FQL&gt;&lt;Q&gt;QEP^FG_COMPANY_NAME&lt;/Q&gt;&lt;R&gt;1&lt;/R&gt;&lt;C&gt;1&lt;/C&gt;&lt;D xsi:type="xsd:string"&gt;QEP Resources, Inc.&lt;/D&gt;&lt;/FQL&gt;&lt;FQL&gt;&lt;Q&gt;AREX^FE_GUIDANCE(CAPEX,MIDPOINT,ANNUAL,+2,0,,,'')&lt;/Q&gt;&lt;R&gt;0&lt;/R&gt;&lt;C&gt;0&lt;/C&gt;&lt;/FQL&gt;&lt;FQL&gt;&lt;Q&gt;CDEV^FG_COMPANY_NAME&lt;/Q&gt;&lt;R&gt;1&lt;/R&gt;&lt;C&gt;1&lt;/C&gt;&lt;D xsi:type="xsd:string"&gt;Centennial Resource Development, Inc. Class A&lt;/D&gt;&lt;/FQL&gt;&lt;FQL&gt;&lt;Q&gt;PDCE^FF_OG_PROD_DAY(QTR_R_NG_CFE,12/2017)&lt;/Q&gt;&lt;R&gt;0&lt;/R&gt;&lt;C&gt;0&lt;/C&gt;&lt;/FQL&gt;&lt;FQL&gt;&lt;Q&gt;PDCE^FF_OG_PROD_TOT_NET(QTR_R_NG_CFE,12/2017)&lt;/Q&gt;&lt;R&gt;1&lt;/R&gt;&lt;C&gt;1&lt;/C&gt;&lt;D xsi:type="xsd:double"&gt;19252000&lt;/D&gt;&lt;/FQL&gt;&lt;FQL&gt;&lt;Q&gt;OXY^FF_OG_PROD_DAY(QTR_R_NGL_BOE,09/2017)&lt;/Q&gt;&lt;R&gt;1&lt;/R&gt;&lt;C&gt;1&lt;/C&gt;&lt;D xsi:type="xsd:double"&gt;87&lt;/D&gt;&lt;/FQL&gt;&lt;FQL&gt;&lt;Q&gt;PDCE^FF_OG_PROD_DAY(QTR_R_OIL_BOE,09/2017)&lt;/Q&gt;&lt;R&gt;1&lt;/R&gt;&lt;C&gt;1&lt;/C&gt;&lt;D xsi:type="xsd:double"&gt;36.9964&lt;/D&gt;&lt;/FQL&gt;&lt;FQL&gt;&lt;Q&gt;PDCE^FF_OG_PROD_DAY(QTR_R_NG_CFE,09/2017)&lt;/Q&gt;&lt;R&gt;0&lt;/R&gt;&lt;C&gt;0&lt;/C&gt;&lt;/FQL&gt;&lt;FQL&gt;&lt;Q&gt;PDCE^FF_OG_PROD_TOT_NET(QTR_R_NG_CFE,09/2017)&lt;/Q&gt;&lt;R&gt;1&lt;/R&gt;&lt;C&gt;1&lt;/C&gt;&lt;D xsi:type="xsd:double"&gt;19070000&lt;/D&gt;&lt;/FQL&gt;&lt;FQL&gt;&lt;Q&gt;APA^FF_OG_PROD_DAY(QTR_R_NGL_BOE,09/2017)&lt;/Q&gt;&lt;R&gt;1&lt;/R&gt;&lt;C&gt;1&lt;/C&gt;&lt;D xsi:type="xsd:double"&gt;53.467&lt;/D&gt;&lt;/FQL&gt;&lt;FQL&gt;&lt;Q&gt;AREX^FF_OG_PROD_DAY(QTR_R_OIL_BOE,09/2017)&lt;/Q&gt;&lt;R&gt;1&lt;/R&gt;&lt;C&gt;1&lt;/C&gt;&lt;D xsi:type="xsd:double"&gt;2.99&lt;/D&gt;&lt;/FQL&gt;&lt;FQL&gt;&lt;Q&gt;AREX^FF_OG_PROD_DAY(QTR_R_NG_CFE,09/2017)&lt;/Q&gt;&lt;R&gt;1&lt;/R&gt;&lt;C&gt;1&lt;/C&gt;&lt;D xsi:type="xsd:double"&gt;26910&lt;/D&gt;&lt;/FQL&gt;&lt;FQL&gt;&lt;Q&gt;PXD^FF_OG_PROD_DAY(QTR_R_NGL_BOE,09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/2017)&lt;/Q&gt;&lt;R&gt;1&lt;/R&gt;&lt;C&gt;1&lt;/C&gt;&lt;D xsi:type="xsd:double"&gt;57.346&lt;/D&gt;&lt;/FQL&gt;&lt;FQL&gt;&lt;Q&gt;QEP^FF_OG_PROD_TOT_NET(QTR_R_OIL_BOE,09/2017)&lt;/Q&gt;&lt;R&gt;1&lt;/R&gt;&lt;C&gt;1&lt;/C&gt;&lt;D xsi:type="xsd:double"&gt;4827.1&lt;/D&gt;&lt;/FQL&gt;&lt;FQL&gt;&lt;Q&gt;QEP^FF_OG_PROD_DAY(QTR_R_NG_CFE,09/2017)&lt;/Q&gt;&lt;R&gt;0&lt;/R&gt;&lt;C&gt;0&lt;/C&gt;&lt;/FQL&gt;&lt;FQL&gt;&lt;Q&gt;QEP^FF_OG_PROD_TOT_NET(QTR_R_NG_CFE,09/2017)&lt;/Q&gt;&lt;R&gt;1&lt;/R&gt;&lt;C&gt;1&lt;/C&gt;&lt;D xsi:type="xsd:double"&gt;46700000&lt;/D&gt;&lt;/FQL&gt;&lt;FQL&gt;&lt;Q&gt;LPI^FF_OG_PROD_TOT_NET(QTR_R_NGL_BOE,09/2017)&lt;/Q&gt;&lt;R&gt;1&lt;/R&gt;&lt;C&gt;1&lt;/C&gt;&lt;D xsi:type="xsd:double"&gt;1491&lt;/D&gt;&lt;/FQL&gt;&lt;FQL&gt;&lt;Q&gt;MRO^FF_OG_PROD_DAY(QTR_R_OIL_BOE,09/2017)&lt;/Q&gt;&lt;R&gt;1&lt;/R&gt;&lt;C&gt;1&lt;/C&gt;&lt;D xsi:type="xsd:double"&gt;207&lt;/D&gt;&lt;/FQL&gt;&lt;FQL&gt;&lt;Q&gt;MRO^FF_OG_PROD_DAY(QTR_R_NG_CFE,09/2017)&lt;/Q&gt;&lt;R&gt;1&lt;/R&gt;&lt;C&gt;1&lt;/C&gt;&lt;D xsi:type="xsd:double"&gt;876000&lt;/D&gt;&lt;/FQL&gt;&lt;FQL&gt;&lt;Q&gt;XEC^FF_SGA(QTR_R,12/2017)&lt;/Q&gt;&lt;R&gt;1&lt;/R&gt;&lt;C&gt;1&lt;/C&gt;&lt;D xsi:type="xsd:double"&gt;27.798&lt;/D&gt;&lt;/FQL&gt;&lt;FQL&gt;&lt;Q&gt;APA^FF_OG_PROD_DAY(QTR_R_OIL_BOE,09/2017)&lt;/Q&gt;&lt;R&gt;1&lt;/R&gt;&lt;C&gt;1&lt;/C&gt;&lt;D xsi:type="xsd:double"&gt;238.018&lt;/D&gt;&lt;/FQL&gt;&lt;FQL&gt;&lt;Q&gt;APA^FF_OG_PROD_DAY(QTR_R_NG_CFE,09/2017)&lt;/Q&gt;&lt;R&gt;1&lt;/R&gt;&lt;C&gt;1&lt;/C&gt;&lt;D xsi:type="xsd:double"&gt;940493&lt;/D&gt;&lt;/FQL&gt;&lt;FQL&gt;&lt;Q&gt;MTDR^FF_OG_PROD_TOT_NET(QTR_R_NGL_BOE,09/2017)&lt;/Q&gt;&lt;R&gt;0&lt;/R&gt;&lt;C&gt;0&lt;/C&gt;&lt;/FQL&gt;&lt;FQL&gt;&lt;Q&gt;NBL^FF_OG_PROD_DAY(QTR_R_OIL_BOE,09/2017)&lt;/Q&gt;&lt;R&gt;1&lt;/R&gt;&lt;C&gt;1&lt;/C&gt;&lt;D xsi:type="xsd:double"&gt;129&lt;/D&gt;&lt;/FQL&gt;&lt;FQL&gt;&lt;Q&gt;NBL^FF_OG_PROD_DAY(QTR_R_NG_CFE,09/2017)&lt;/Q&gt;&lt;R&gt;1&lt;/R&gt;&lt;C&gt;1&lt;/C&gt;&lt;D xsi:type="xsd:double"&gt;978000&lt;/D&gt;&lt;/FQL&gt;&lt;FQL&gt;&lt;Q&gt;OAS^FF_OG_PROD_TOT_NET(QTR_R_NGL_BOE,09/2017)&lt;/Q&gt;&lt;R&gt;0&lt;/R&gt;&lt;C&gt;0&lt;/C&gt;&lt;/FQL&gt;&lt;FQL&gt;&lt;Q&gt;OXY^FF_OG_PROD_DAY(QTR_R_OIL_BOE,09/2017)&lt;/Q&gt;&lt;R&gt;1&lt;/R&gt;&lt;C&gt;1&lt;/C&gt;&lt;D xsi:type="xsd:double"&gt;379&lt;/D&gt;&lt;/FQL&gt;&lt;FQL&gt;&lt;Q&gt;OXY^FF_OG_PROD_DAY(QTR_R_NG_CFE,09/2017)&lt;/Q&gt;&lt;R&gt;1&lt;/R&gt;&lt;C&gt;1&lt;/C&gt;&lt;D xsi:type="xsd:double"&gt;801000&lt;/D&gt;&lt;/FQL&gt;&lt;FQL&gt;&lt;Q&gt;FANG^FF_OG_PROD_DAY(QTR_R_NGL_BOE,09/2017)&lt;/Q&gt;&lt;R&gt;1&lt;/R&gt;&lt;C&gt;1&lt;/C&gt;&lt;D xsi:type="xsd:double"&gt;12.558&lt;/D&gt;&lt;/FQL&gt;&lt;FQL&gt;&lt;Q&gt;HK^FF_OG_PROD_DAY(QTR_R_OIL_BOE,09/2017)&lt;/Q&gt;&lt;R&gt;1&lt;/R&gt;&lt;C&gt;1&lt;/C&gt;&lt;D xsi:type="xsd:double"&gt;21.9328&lt;/D&gt;&lt;/FQL&gt;&lt;FQL&gt;&lt;Q&gt;HK^FF_OG_PROD_DAY(QTR_R_NG_CFE,09/2017)&lt;/Q&gt;&lt;R&gt;1&lt;/R&gt;&lt;C&gt;1&lt;/C&gt;&lt;D xsi:type="xsd:double"&gt;20778.48&lt;/D&gt;&lt;/FQL&gt;&lt;FQL&gt;&lt;Q&gt;USEG^FF_OG_PROD_TOT_NET(QTR_R_NGL_BOE,09/2017)&lt;/Q&gt;&lt;R&gt;0&lt;/R&gt;&lt;C&gt;0&lt;/C&gt;&lt;/FQL&gt;&lt;FQL&gt;&lt;Q&gt;WPX^FF_OG_PROD_DAY(QTR_R_OIL_BOE,09/2017)&lt;/Q&gt;&lt;R&gt;1&lt;/R&gt;&lt;C&gt;1&lt;/C&gt;&lt;D xsi:type="xsd:double"&gt;64.8&lt;/D&gt;&lt;/FQL&gt;&lt;FQL&gt;&lt;Q&gt;WPX^FF_OG_PROD_DAY(QTR_R_NG_CFE,09/2017)&lt;/Q&gt;&lt;R&gt;1&lt;/R&gt;&lt;C&gt;1&lt;/C&gt;&lt;D xsi:type="xsd:double"&gt;204000&lt;/D&gt;&lt;/FQL&gt;&lt;FQL&gt;&lt;Q&gt;RSPP^FF_OG_PROD_DAY(QTR_R_NGL_BOE,09/2017)&lt;/Q&gt;&lt;R&gt;1&lt;/R&gt;&lt;C&gt;1&lt;/C&gt;&lt;D xsi:type="xsd:double"&gt;9.4291&lt;/D&gt;&lt;/FQL&gt;&lt;FQL&gt;&lt;Q&gt;SM^FF_OG_PROD_DAY(QTR_R_OIL_BOE,09/2017)&lt;/Q&gt;&lt;R&gt;1&lt;/R&gt;&lt;C&gt;1&lt;/C&gt;&lt;D xsi:type="xsd:double"&gt;37.1&lt;/D&gt;&lt;/FQL&gt;&lt;FQL&gt;&lt;Q&gt;SM^FF_OG_PROD_DAY(QTR_R_NG_CFE,09/2017)&lt;/Q&gt;&lt;R&gt;1&lt;/R&gt;&lt;C&gt;1&lt;/C&gt;&lt;D xsi:type="xsd:double"&gt;316100&lt;/D&gt;&lt;/FQL&gt;&lt;FQL&gt;&lt;Q&gt;EGN^FF_OG_PROD_DAY(QTR_R_NGL_BOE,09/2017)&lt;/Q&gt;&lt;R&gt;1&lt;/R&gt;&lt;C&gt;1&lt;/C&gt;&lt;D xsi:type="xsd:double"&gt;16.6667&lt;/D&gt;&lt;/FQL&gt;&lt;FQL&gt;&lt;Q&gt;EOG^FF_OG_PROD_DAY(QTR_R_OIL_BOE,09/2017)&lt;/Q&gt;&lt;R&gt;1&lt;/R&gt;&lt;C&gt;1&lt;/C&gt;&lt;D xsi:type="xsd:double"&gt;327.9&lt;/D&gt;&lt;/FQL&gt;&lt;FQL&gt;&lt;Q&gt;EOG^FF_OG_PROD_DAY(QTR_R_NG_CFE,09/2017)&lt;/Q&gt;&lt;R&gt;1&lt;/R&gt;&lt;C&gt;1&lt;/C&gt;&lt;D xsi:type="xsd:double"&gt;1096000&lt;/D&gt;&lt;/FQL&gt;&lt;FQL&gt;&lt;Q&gt;DVN^FF_OG_PROD_DAY(QTR_R_NGL_BOE,09/2017)&lt;/Q&gt;&lt;R&gt;1&lt;/R&gt;&lt;C&gt;1&lt;/C&gt;&lt;D xsi:type="xsd:double"&gt;94&lt;/D&gt;&lt;/FQL&gt;&lt;FQL&gt;&lt;Q&gt;ECA^FF_OG_PROD_DAY(QTR_R_OIL_BOE,09/2017)&lt;/Q&gt;&lt;R&gt;1&lt;/R&gt;&lt;C&gt;1&lt;/C&gt;&lt;D xsi:type="xsd:double"&gt;75.2&lt;/D&gt;&lt;/FQL&gt;&lt;FQL&gt;&lt;Q&gt;ECA^FF_OG_PROD_DAY(QTR_R_NG_CFE,09/2017)&lt;/Q&gt;&lt;R&gt;1&lt;/R&gt;&lt;C&gt;1&lt;/C&gt;&lt;D xsi:type="xsd:double"&gt;939000&lt;/D&gt;&lt;/FQL&gt;&lt;FQL&gt;&lt;Q&gt;CRZO^FF_OG_PROD_DAY(QTR_R_NGL_BOE,09/2017)&lt;/Q&gt;&lt;R&gt;1&lt;/R&gt;&lt;C&gt;1&lt;/C&gt;&lt;D xsi:type="xsd:double"&gt;6.777&lt;/D&gt;&lt;/FQL&gt;&lt;FQL&gt;&lt;Q&gt;CXO^FF_OG_PROD_DAY(QTR_R_OIL_BOE,09/2017)&lt;/Q&gt;&lt;R&gt;1&lt;/R&gt;&lt;C&gt;1&lt;/C&gt;&lt;D xsi:type="xsd:double"&gt;119.565&lt;/D&gt;&lt;/FQL&gt;&lt;FQL&gt;&lt;Q&gt;CXO^FF_OG_PROD_DAY(QTR_R_NG_CFE,09/2017)&lt;/Q&gt;&lt;R&gt;1&lt;/R&gt;&lt;C&gt;1&lt;/C&gt;&lt;D xsi:type="xsd:double"&gt;441587&lt;/D&gt;&lt;/FQL&gt;&lt;FQL&gt;&lt;Q&gt;EOG^FF_OG_PROD_DAY(QTR_R_NGL_BOE,09/2017)&lt;/Q&gt;&lt;R&gt;1&lt;/R&gt;&lt;C&gt;1&lt;/C&gt;&lt;D xsi:type="xsd:double"&gt;87.4&lt;/D&gt;&lt;/FQL&gt;&lt;FQL&gt;&lt;Q&gt;EPE^FF_OG_PROD_DAY(QTR_R_OIL_BOE,09/2017)&lt;/Q&gt;&lt;R&gt;1&lt;/R&gt;&lt;C&gt;1&lt;/C&gt;&lt;D xsi:type="xsd:double"&gt;45.1&lt;/D&gt;&lt;/FQL&gt;&lt;FQL&gt;&lt;Q&gt;EPE^FF_OG_PROD_DAY(QTR_R_NG_CFE,09/2017)&lt;/Q&gt;&lt;R&gt;1&lt;/R&gt;&lt;C&gt;1&lt;/C&gt;&lt;D xsi:type="xsd:double"&gt;126000&lt;/D&gt;&lt;/FQL&gt;&lt;FQL&gt;&lt;Q&gt;ECA^FF_OG_PROD_DAY(QTR_R_NGL_BOE,09/2017)&lt;/Q&gt;&lt;R&gt;1&lt;/R&gt;&lt;C&gt;1&lt;/C&gt;&lt;D xsi:type="xsd:double"&gt;52.3&lt;/D&gt;&lt;/FQL&gt;&lt;FQL&gt;&lt;Q&gt;EGN^FF_OG_PROD_DAY(QTR_R_OIL_BOE,09/2017)&lt;/Q&gt;&lt;R&gt;1&lt;/R&gt;&lt;C&gt;1&lt;/C&gt;&lt;D xsi:type="xsd:double"&gt;49&lt;/D&gt;&lt;/FQL&gt;&lt;FQL&gt;&lt;Q&gt;EGN^FF_OG_PROD_DAY(QTR_R_NG_CFE,09/2017)&lt;/Q&gt;&lt;R&gt;1&lt;/R&gt;&lt;C&gt;1&lt;/C&gt;&lt;D xsi:type="xsd:double"&gt;99700&lt;/D&gt;&lt;/FQL&gt;&lt;FQL&gt;&lt;Q&gt;MRO^FF_OG_PROD_DAY(QTR_R_NGL_BOE,09/2017)&lt;/Q&gt;&lt;R&gt;1&lt;/R&gt;&lt;C&gt;1&lt;/C&gt;&lt;D xsi:type="xsd:double"&gt;57&lt;/D&gt;&lt;/FQL&gt;&lt;FQL&gt;&lt;Q&gt;MTDR^FF_OG_PROD_DAY(QTR_R_OIL_BOE,09/2017)&lt;/Q&gt;&lt;R&gt;1&lt;/R&gt;&lt;C&gt;1&lt;/C&gt;&lt;D xsi:type="xsd:double"&gt;23.538&lt;/D&gt;&lt;/FQL&gt;&lt;FQL&gt;&lt;Q&gt;MTDR^FF_OG_PROD_DAY(QTR_R_NG_CFE,09/2017)&lt;/Q&gt;&lt;R&gt;1&lt;/R&gt;&lt;C&gt;1&lt;/C&gt;&lt;D xsi:type="xsd:double"&gt;110500&lt;/D&gt;&lt;/FQL&gt;&lt;FQL&gt;&lt;Q&gt;HK^FF_OG_PROD_DAY(QTR_R_NGL_BOE,09/2017)&lt;/Q&gt;&lt;R&gt;1&lt;/R&gt;&lt;C&gt;1&lt;/C&gt;&lt;D xsi:type="xsd:double"&gt;3.4631&lt;/D&gt;&lt;/FQL&gt;&lt;FQL&gt;&lt;Q&gt;JAG^FF_OG_PROD_DAY(QTR_R_OIL_BOE,09/2017)&lt;/Q&gt;&lt;R&gt;1&lt;/R&gt;&lt;C&gt;1&lt;/C&gt;&lt;D xsi:type="xsd:double"&gt;15.036&lt;/D&gt;&lt;/FQL&gt;&lt;FQL&gt;&lt;Q&gt;JAG^FF_OG_PROD_DAY(QTR_R_NG_CFE,09/2017)&lt;/Q&gt;&lt;R&gt;1&lt;/R&gt;&lt;C&gt;1&lt;/C&gt;&lt;D xsi:type="xsd:double"&gt;12346&lt;/D&gt;&lt;/FQL&gt;&lt;FQL&gt;&lt;Q&gt;QEP^FF_OG_PROD_TOT_NET(QTR_R_NGL_BOE,09/2017)&lt;/Q&gt;&lt;R&gt;1&lt;/R&gt;&lt;C&gt;1&lt;/C&gt;&lt;D xsi:type="xsd:double"&gt;1516.1&lt;/D&gt;&lt;/FQL&gt;&lt;FQL&gt;&lt;Q&gt;REN^FF_OG_PROD_TOT_NET(QTR_R_OIL_BOE,09/2017)&lt;/Q&gt;&lt;R&gt;1&lt;/R&gt;&lt;C&gt;1&lt;/C&gt;&lt;D xsi:type="xsd:double"&gt;1554&lt;/D&gt;&lt;/FQL&gt;&lt;FQL&gt;&lt;Q&gt;REN^FF_OG_PROD_DAY(QTR_R_NG_CFE,09/2017)&lt;/Q&gt;&lt;R&gt;0&lt;/R&gt;&lt;C&gt;0&lt;/C&gt;&lt;/FQL&gt;&lt;FQL&gt;&lt;Q&gt;REN^FF_OG_PROD_TOT_NET(QTR_R_NG_CFE,09/2017)&lt;/Q&gt;&lt;R&gt;1&lt;/R&gt;&lt;C&gt;1&lt;/C&gt;&lt;D xsi:type="xsd:double"&gt;3563000&lt;/D&gt;&lt;/FQL&gt;&lt;FQL&gt;&lt;Q&gt;EPE^FF_OG_PROD_DAY(QTR_R_NGL_BOE,09/2017)&lt;/Q&gt;&lt;R&gt;1&lt;/R&gt;&lt;C&gt;1&lt;/C&gt;&lt;D xsi:type="xsd:double"&gt;14.9&lt;/D&gt;&lt;/FQL&gt;&lt;FQL&gt;&lt;Q&gt;ESTE^FF_OG_PROD_TOT_NET(QTR_R_OIL_BOE,09/2017)&lt;/Q&gt;&lt;R&gt;1&lt;/R&gt;&lt;C&gt;1&lt;/C&gt;&lt;D xsi:type="xsd:double"&gt;563&lt;/D&gt;&lt;/FQL&gt;&lt;FQL&gt;&lt;Q&gt;ESTE^FF_OG_PROD_DAY(QTR_R_NG_CFE,09/2017)&lt;/Q&gt;&lt;R&gt;0&lt;/R&gt;&lt;C&gt;0&lt;/C&gt;&lt;/FQL&gt;&lt;FQL&gt;&lt;Q&gt;ESTE^FF_OG_PROD_TOT_NET(QTR_R_NG_CFE,09/2017)&lt;/Q&gt;&lt;R&gt;1&lt;/R&gt;&lt;C&gt;1&lt;/C&gt;&lt;D xsi:type="xsd:double"&gt;967000&lt;/D&gt;&lt;/FQL&gt;&lt;FQL&gt;&lt;Q&gt;PE^FF_OG_PROD_DAY(QTR_R_NGL_BOE,09/2017)&lt;/Q&gt;&lt;R&gt;1&lt;/R&gt;&lt;C&gt;1&lt;/C&gt;&lt;D xsi:type="xsd:double"&gt;12.978&lt;/D&gt;&lt;/FQL&gt;&lt;FQL&gt;&lt;Q&gt;PXD^FF_OG_PROD_DAY(QTR_R_OIL_BOE,09/2017)&lt;/Q&gt;&lt;R&gt;1&lt;/R&gt;&lt;C&gt;1&lt;/C&gt;&lt;D xsi:type="xsd:double"&gt;161.634&lt;/D&gt;&lt;/FQL&gt;&lt;FQL&gt;&lt;Q&gt;PXD^FF_OG_PROD_DAY(QTR_R_NG_CFE,09/2017)&lt;/Q&gt;&lt;R&gt;1&lt;/R&gt;&lt;C&gt;1&lt;/C&gt;&lt;D xsi:type="xsd:double"&gt;340384&lt;/D&gt;&lt;/FQL&gt;&lt;FQL&gt;&lt;Q&gt;CPE^FF_OG_PROD_TOT_NET(QTR_R_NGL_BOE,09/2017)&lt;/Q&gt;&lt;R&gt;0&lt;/R&gt;&lt;C&gt;0&lt;/C&gt;&lt;/FQL&gt;&lt;FQL&gt;&lt;Q&gt;CRZO^FF_OG_PROD_DAY(QTR_R_OIL_BOE,09/2017)&lt;/Q&gt;&lt;R&gt;1&lt;/R&gt;&lt;C&gt;1&lt;/C&gt;&lt;D xsi:type="xsd:double"&gt;34.903&lt;/D&gt;&lt;/FQL&gt;&lt;FQL&gt;&lt;Q&gt;CRZO^FF_OG_PROD_DAY(QTR_R_NG_CFE,09/2017)&lt;/Q&gt;&lt;R&gt;1&lt;/R&gt;&lt;C&gt;1&lt;/C&gt;&lt;D xsi:type="xsd:double"&gt;81265&lt;/D&gt;&lt;/FQL&gt;&lt;FQL&gt;&lt;Q&gt;PDCE^FF_OG_PROD_TOT_NET(QTR_R_NGL_BOE,09/2017)&lt;/Q&gt;&lt;R&gt;1&lt;/R&gt;&lt;C&gt;1&lt;/C&gt;&lt;D xsi:type="xsd:double"&gt;1892&lt;/D&gt;&lt;/FQL&gt;&lt;FQL&gt;&lt;Q&gt;PE^FF_OG_PROD_DAY(QTR_R_OIL_BOE,09/2017)&lt;/Q&gt;&lt;R&gt;1&lt;/R&gt;&lt;C&gt;1&lt;/C&gt;&lt;D xsi:type="xsd:double"&gt;47.196&lt;/D&gt;&lt;/FQL&gt;&lt;FQL&gt;&lt;Q&gt;PE^FF_OG_PROD_DAY(QTR_R_NG_CFE,09/2017)&lt;/Q&gt;&lt;R&gt;1&lt;/R&gt;&lt;C&gt;1&lt;/C&gt;&lt;D xsi:type="xsd:double"&gt;68098&lt;/D&gt;&lt;/FQL&gt;&lt;FQL&gt;&lt;Q&gt;WPX^FF_OG_PROD_DAY(QTR_R_NGL_BOE,09/2017)&lt;/Q&gt;&lt;R&gt;1&lt;/R&gt;&lt;C&gt;1&lt;/C&gt;&lt;D xsi:type="xsd:double"&gt;13.3&lt;/D&gt;&lt;/FQL&gt;&lt;FQL&gt;&lt;Q&gt;XEC^FF_OG_PROD_DAY(QTR_R_OIL_BOE,09/2017)&lt;/Q&gt;&lt;R&gt;1&lt;/R&gt;&lt;C&gt;1&lt;/C&gt;&lt;D xsi:type="xsd:double"&gt;56.687&lt;/D&gt;&lt;/FQL&gt;&lt;FQL&gt;&lt;Q&gt;XEC^FF_OG_PROD_DAY(QTR_R_NG_CFE,09/2017)&lt;/Q&gt;&lt;R&gt;1&lt;/R&gt;&lt;C&gt;1&lt;/C&gt;&lt;D xsi:type="xsd:double"&gt;515900&lt;/D&gt;&lt;/FQL&gt;&lt;FQL&gt;&lt;Q&gt;AXAS^FF_OG_PROD_DAY(QTR_R_NGL_BOE,09/2017)&lt;/Q&gt;&lt;R&gt;1&lt;/R&gt;&lt;C&gt;1&lt;/C&gt;&lt;D xsi:type="xsd:double"&gt;1.474&lt;/D&gt;&lt;/FQL&gt;&lt;FQL&gt;&lt;Q&gt;CDEV^FF_OG_PROD_DAY(QTR_R_OIL_BOE,09/2017)&lt;/Q&gt;&lt;R&gt;1&lt;/R&gt;&lt;C&gt;1&lt;/C&gt;&lt;D xsi:type="xsd:double"&gt;21.108&lt;/D&gt;&lt;/FQL&gt;&lt;FQL&gt;&lt;Q&gt;CDEV^FF_OG_PROD_DAY(QTR_R_NG_CFE,09/2017)&lt;/Q&gt;&lt;R&gt;1&lt;/R&gt;&lt;C&gt;1&lt;/C&gt;&lt;D xsi:type="xsd:double"&gt;51444&lt;/D&gt;&lt;/FQL&gt;&lt;FQL&gt;&lt;Q&gt;JAG^FF_OG_PROD_DAY(QTR_R_NGL_BOE,09/2017)&lt;/Q&gt;&lt;R&gt;1&lt;/R&gt;&lt;C&gt;1&lt;/C&gt;&lt;D xsi:type="xsd:double"&gt;2.087&lt;/D&gt;&lt;/FQL&gt;&lt;FQL&gt;&lt;Q&gt;LPI^FF_OG_PROD_DAY(QTR_R_OIL_BOE,09/2017)&lt;/Q&gt;&lt;R&gt;1&lt;/R&gt;&lt;C&gt;1&lt;/C&gt;&lt;D xsi:type="xsd:double"&gt;26.4048&lt;/D&gt;&lt;/FQL&gt;&lt;FQL&gt;&lt;Q&gt;LPI^FF_OG_PROD_DAY(QTR_R_NG_CFE,09/2017)&lt;/Q&gt;&lt;R&gt;1&lt;/R&gt;&lt;C&gt;1&lt;/C&gt;&lt;D xsi:type="xsd:double"&gt;201636.96&lt;/D&gt;&lt;/FQL&gt;&lt;FQL&gt;&lt;Q&gt;COP^FF_OG_PROD_DAY(QTR_R_NGL_BOE,09/2017)&lt;/Q&gt;&lt;R&gt;1&lt;/R&gt;&lt;C&gt;1&lt;/C&gt;&lt;D xsi:type="xsd:double"&gt;95&lt;/D&gt;&lt;/FQL&gt;&lt;FQL&gt;&lt;Q&gt;CPE^FF_OG_PROD_DAY(QTR_R_OIL_BOE,09/2017)&lt;/Q&gt;&lt;R&gt;1&lt;/R&gt;&lt;C&gt;1&lt;/C&gt;&lt;D xsi:type="xsd:double"&gt;17.3581&lt;/D&gt;&lt;/FQL&gt;&lt;FQL&gt;&lt;Q&gt;CPE^FF_OG_PROD_DAY(QTR_R_NG_CFE,09/2017)&lt;/Q&gt;&lt;R&gt;1&lt;/R&gt;&lt;C&gt;1&lt;/C&gt;&lt;D xsi:type="xsd:double"&gt;31109.34&lt;/D&gt;&lt;/FQL&gt;&lt;FQL&gt;&lt;Q&gt;ROSE^FF_OG_PROD_TOT_NET(QTR_R_NGL_BOE,09/2017)&lt;/Q&gt;&lt;R&gt;0&lt;/R&gt;&lt;C&gt;0&lt;/C&gt;&lt;/FQL&gt;&lt;FQL&gt;&lt;Q&gt;RSPP^FF_OG_PROD_DAY(QTR_R_OIL_BOE,09/2017)&lt;/Q&gt;&lt;R&gt;1&lt;/R&gt;&lt;C&gt;1&lt;/C&gt;&lt;D xsi:type="xsd:double"&gt;41.8417&lt;/D&gt;&lt;/FQL&gt;&lt;FQL&gt;&lt;Q&gt;RSPP^FF_OG_PROD_DAY(QTR_R_NG_CFE,09/2017)&lt;/Q&gt;&lt;R&gt;1&lt;/R&gt;&lt;C&gt;1&lt;/C&gt;&lt;D xsi:type="xsd:double"&gt;45966.96&lt;/D&gt;&lt;/FQL&gt;&lt;FQL&gt;&lt;Q&gt;ESTE^FF_OG_PROD_TOT_NET(QTR_R_NGL_BOE,09/2017)&lt;/Q&gt;&lt;R&gt;1&lt;/R&gt;&lt;C&gt;1&lt;/C&gt;&lt;D xsi:type="xsd:double"&gt;166&lt;/D&gt;&lt;/FQL&gt;&lt;FQL&gt;&lt;Q&gt;FANG^FF_OG_PROD_DAY(QTR_R_OIL_BOE,09/2017)&lt;/Q&gt;&lt;R&gt;1&lt;/R&gt;&lt;C&gt;1&lt;/C&gt;&lt;D xsi:type="xsd:double"&gt;61.72&lt;/D&gt;&lt;/FQL&gt;&lt;FQL&gt;&lt;Q&gt;FANG^FF_OG_PROD_DAY(QTR_R_NG_CFE,09/2017)&lt;/Q&gt;&lt;R&gt;1&lt;/R&gt;&lt;C&gt;1&lt;/C&gt;&lt;D xsi:type="xsd:double"&gt;64506&lt;/D&gt;&lt;/FQL&gt;&lt;FQL&gt;&lt;Q&gt;CXO^FF_OG_PROD_TOT_NET(QTR_R_NGL_BOE,09/2017)&lt;/Q&gt;&lt;R&gt;0&lt;/R&gt;&lt;C&gt;0&lt;/C&gt;&lt;/FQL&gt;&lt;FQL&gt;&lt;Q&gt;DVN^FF_OG_PROD_DAY(QTR_R_OIL_BOE,09/2017)&lt;/Q&gt;&lt;R&gt;1&lt;/R&gt;&lt;C&gt;1&lt;/C&gt;&lt;D xsi:type="xsd:double"&gt;233&lt;/D&gt;&lt;/FQL&gt;&lt;FQL&gt;&lt;Q&gt;DVN^FF_OG_PROD_DAY(QTR_R_NG_CFE,09/2017)&lt;/Q&gt;&lt;R&gt;1&lt;/R&gt;&lt;C&gt;1&lt;/C&gt;&lt;D xsi:type="xsd:double"&gt;1201000&lt;/D&gt;&lt;/FQL&gt;&lt;FQL&gt;&lt;Q&gt;AREX^FF_OG_PROD_DAY(QTR_R_NGL_BOE,09/2017)&lt;/Q&gt;&lt;R&gt;1&lt;/R&gt;&lt;C&gt;1&lt;/C&gt;&lt;D xsi:type="xsd:double"&gt;4.025&lt;/D&gt;&lt;/FQL&gt;&lt;FQL&gt;&lt;Q&gt;AXAS^FF_OG_PROD_DAY(QTR_R_OIL_BOE,09/2017)&lt;/Q&gt;&lt;R&gt;1&lt;/R&gt;&lt;C&gt;1&lt;/C&gt;&lt;D xsi:type="xsd:double"&gt;5.27&lt;/D&gt;&lt;/FQL&gt;&lt;FQL&gt;&lt;Q&gt;AXAS^FF_OG_PROD_DAY(QTR_R_NG_CFE,09/2017)&lt;/Q&gt;&lt;R&gt;1&lt;/R&gt;&lt;C&gt;1&lt;/C&gt;&lt;D xsi:type="xsd:double"&gt;12006&lt;/D&gt;&lt;/FQL&gt;&lt;FQL&gt;&lt;Q&gt;CDEV^FF_OG_PROD_DAY(QTR_R_NGL_BOE,09/2017)&lt;/Q&gt;&lt;R&gt;1&lt;/R&gt;&lt;C&gt;1&lt;/C&gt;&lt;D xsi:type="xsd:double"&gt;5.018&lt;/D&gt;&lt;/FQL&gt;&lt;FQL&gt;&lt;Q&gt;COP^FF_OG_PROD_DAY(QTR_R_OIL_BOE,09/2017)&lt;/Q&gt;&lt;R&gt;1&lt;/R&gt;&lt;C&gt;1&lt;/C&gt;&lt;D xsi:type="xsd:double"&gt;645&lt;/D&gt;&lt;/FQL&gt;&lt;FQL&gt;&lt;Q&gt;COP^FF_OG_PROD_DAY(QTR_R_NG_CFE,09/2017)&lt;/Q&gt;&lt;R&gt;1&lt;/R&gt;&lt;C&gt;1&lt;/C&gt;&lt;D xsi:type="xsd:double"&gt;2918000&lt;/D&gt;&lt;/FQL&gt;&lt;FQL&gt;&lt;Q&gt;SM^FF_OG_PROD_DAY(QTR_R_NGL_BOE,09/2017)&lt;/Q&gt;&lt;R&gt;1&lt;/R&gt;&lt;C&gt;1&lt;/C&gt;&lt;D xsi:type="xsd:double"&gt;26.2&lt;/D&gt;&lt;/FQL&gt;&lt;FQL&gt;&lt;Q&gt;USEG^FF_OG_PROD_TOT_NET(QTR_R_OIL_BOE,09/2017)&lt;/Q&gt;&lt;R&gt;1&lt;/R&gt;&lt;C&gt;1&lt;/C&gt;&lt;D xsi:type="xsd:double"&gt;30&lt;/D&gt;&lt;/FQL&gt;&lt;FQL&gt;&lt;Q&gt;USEG^FF_OG_PROD_DAY(QTR_R_NG_CFE,09/2017)&lt;/Q&gt;&lt;R&gt;0&lt;/R&gt;&lt;C&gt;0&lt;/C&gt;&lt;/FQL&gt;&lt;FQL&gt;&lt;Q&gt;USEG^FF_OG_PROD_TOT_NET(QTR_R_NG_CFE,09/2017)&lt;/Q&gt;&lt;R&gt;1&lt;/R&gt;&lt;C&gt;1&lt;/C&gt;&lt;D xsi:type="xsd:double"&gt;75820&lt;/D&gt;&lt;/FQL&gt;&lt;FQL&gt;&lt;Q&gt;REN^FF_OG_PROD_TOT_NET(QTR_R_NGL_BOE,09/2017)&lt;/Q&gt;&lt;R&gt;1&lt;/R&gt;&lt;C&gt;1&lt;/C&gt;&lt;D xsi:type="xsd:double"&gt;480&lt;/D&gt;&lt;/FQL&gt;&lt;FQL&gt;&lt;Q&gt;ROSE^FF_OG_PROD_TOT_NET(QTR_R_OIL_BOE,09/2017)&lt;/Q&gt;&lt;R&gt;0&lt;/R&gt;&lt;C&gt;0&lt;/C&gt;&lt;/FQL&gt;&lt;FQL&gt;&lt;Q&gt;ROSE^FF_OG_PROD_DAY(QTR_R_NG_CFE,09/2017)&lt;/Q&gt;&lt;R&gt;0&lt;/R&gt;&lt;C&gt;0&lt;/C&gt;&lt;/FQL&gt;&lt;FQL&gt;&lt;Q&gt;ROSE^FF_OG_PROD_TOT_NET(QTR_R_NG_CFE,09/2017)&lt;/Q&gt;&lt;R&gt;0&lt;/R&gt;&lt;C&gt;0&lt;/C&gt;&lt;/FQL&gt;&lt;FQL&gt;&lt;Q&gt;ECA^FF_OG_PROD_DAY(QTR_R_NG_CFE,12/2017)&lt;/Q&gt;&lt;R&gt;1&lt;/R&gt;&lt;C&gt;1&lt;/C&gt;&lt;D xsi:type="xsd:double"&gt;1188000&lt;/D&gt;&lt;/FQL&gt;&lt;FQL&gt;&lt;Q&gt;ESTE^FF_OG_PROD_DAY(QTR_R_NGL_BOE,12/2017)&lt;/Q&gt;&lt;R&gt;0&lt;/R&gt;&lt;C&gt;0&lt;/C&gt;&lt;/FQL&gt;&lt;FQL&gt;&lt;Q&gt;DVN^FF_OG_PROD_DAY(QTR_R_NGL_BOE,12/2017)&lt;/Q&gt;&lt;R&gt;1&lt;/R&gt;&lt;C&gt;1&lt;/C&gt;&lt;D xsi:type="xsd:double"&gt;106&lt;/D&gt;&lt;/FQL&gt;&lt;FQL&gt;&lt;Q&gt;CRZO^FG_COMPANY_NAME&lt;/Q&gt;&lt;R&gt;1&lt;/R&gt;&lt;C&gt;1&lt;/C&gt;&lt;D xsi:type="xsd:string"&gt;Carrizo Oil &amp;amp; Gas, Inc.&lt;/D&gt;&lt;/FQL&gt;&lt;FQL&gt;&lt;Q&gt;ESTE^FF_OG_PROD_TOT_NET(QTR_R_NGL_BOE,12/2017)&lt;/Q&gt;&lt;R&gt;1&lt;/R&gt;&lt;C&gt;1&lt;/C&gt;&lt;D xsi:type="xsd:double"&gt;150&lt;/D&gt;&lt;/FQL&gt;&lt;FQL&gt;&lt;Q&gt;ECA^FF_OG_PROD_DAY(QTR_R_NGL_BOE,12/2017)&lt;/Q&gt;&lt;R&gt;1&lt;/R&gt;&lt;C&gt;1&lt;/C&gt;&lt;D xsi:type="xsd:double"&gt;79.2&lt;/D&gt;&lt;/FQL&gt;&lt;FQL&gt;&lt;Q&gt;MTDR^FE_GUIDANCE(CAPEX,MIDPOINT,ANNUAL,+2,0,,,'')&lt;/Q&gt;&lt;R&gt;0&lt;/R&gt;&lt;C&gt;0&lt;/C&gt;&lt;/FQL&gt;&lt;FQL&gt;&lt;Q&gt;CXO^FF_OG_PROD_DAY(QTR_R_NGL_BOE,12/2017)&lt;/Q&gt;&lt;R&gt;0&lt;/R&gt;&lt;C&gt;0&lt;/C&gt;&lt;/FQL&gt;&lt;FQL&gt;&lt;Q&gt;MRO^FE_GUIDANCE(CAPEX,MIDPOINT,ANNUAL,+2,0,,,'')&lt;/Q&gt;&lt;R&gt;0&lt;/R&gt;&lt;C&gt;0&lt;/C&gt;&lt;/FQL&gt;&lt;FQL&gt;&lt;Q&gt;CXO^FE_TIMESERIES(PROD_DAY_OIL_ONLY,MEAN,2019/1F,2019/4F,FQ,'BKRACTMED=1,WIN=0,DATE=NOW')&lt;/Q&gt;&lt;R&gt;4&lt;/R&gt;&lt;C&gt;1&lt;/C&gt;&lt;D xsi:type="xsd:double"&gt;162.65671&lt;/D&gt;&lt;D xsi:type="xsd:double"&gt;172.64557&lt;/D&gt;&lt;D xsi:type="xsd:double"&gt;181.92429&lt;/D&gt;&lt;D xsi:type="xsd:double"&gt;191.693&lt;/D&gt;&lt;/FQL&gt;&lt;FQL&gt;&lt;Q&gt;EPE^FF_OG_PROD_DAY(QTR_R_NGL_BOE,12/2017)&lt;/Q&gt;&lt;R&gt;1&lt;/R&gt;&lt;C&gt;1&lt;/C&gt;&lt;D xsi:type="xsd:double"&gt;15.3&lt;/D&gt;&lt;/FQL&gt;&lt;FQL&gt;&lt;Q&gt;EOG^FF_OG_PROD_DAY(QTR_R_NGL_BOE,12/2017)&lt;/Q&gt;&lt;R&gt;1&lt;/R&gt;&lt;C&gt;1&lt;/C&gt;&lt;D xsi:type="xsd:double"&gt;100.6&lt;/D&gt;&lt;/FQL&gt;&lt;FQL&gt;&lt;Q&gt;REN^FE_TIMESERIES(PROD_DAY_OIL_ONLY,MEAN,2019/1F,2019/4F,FQ,'BKRACTMED=1,WIN=0,DATE=NOW')&lt;/Q&gt;&lt;R&gt;4&lt;/R&gt;&lt;C&gt;1&lt;/C&gt;&lt;D xsi:type="xsd:double"&gt;22.395332&lt;/D&gt;&lt;D xsi:type="xsd:double"&gt;23.128166&lt;/D&gt;&lt;D xsi:type="xsd:double"&gt;23.877333&lt;/D&gt;&lt;D xsi:type="xsd:double"&gt;24.8345&lt;/D&gt;&lt;/FQL&gt;&lt;FQL&gt;&lt;Q&gt;EOG^FE_GUIDANCE(CAPEX,MIDPOINT,ANNUAL,+2,0,,,'')&lt;/Q&gt;&lt;R&gt;0&lt;/R&gt;&lt;C&gt;0&lt;/C&gt;&lt;/FQL&gt;&lt;FQL&gt;&lt;Q&gt;EGN^FF_OG_PROD_DAY(QTR_R_NGL_BOE,12/2017)&lt;/Q&gt;&lt;R&gt;1&lt;/R&gt;&lt;C&gt;1&lt;/C&gt;&lt;D xsi:type="xsd:double"&gt;19.0476&lt;/D&gt;&lt;/FQL&gt;&lt;FQL&gt;&lt;Q&gt;DVN^FF_OG_PROD_DAY(QTR_R_NG_CFE,12/2017)&lt;/Q&gt;&lt;R&gt;1&lt;/R&gt;&lt;C&gt;1&lt;/C&gt;&lt;D xsi:type="xsd:double"&gt;1175000&lt;/D&gt;&lt;/FQL&gt;&lt;FQL&gt;&lt;Q&gt;EOG^FF_OG_PROD_DAY(QTR_R_NG_CFE,12/2017)&lt;/Q&gt;&lt;R&gt;1&lt;/R&gt;&lt;C&gt;1&lt;/C&gt;&lt;D xsi:type="xsd:double"&gt;1160000&lt;/D&gt;&lt;/FQL&gt;&lt;FQL&gt;&lt;Q&gt;EGN^FE_GUIDANCE(CAPEX,MIDPOINT,ANNUAL,+2,0,,,'')&lt;/Q&gt;&lt;R&gt;0&lt;/R&gt;&lt;C&gt;0&lt;/C&gt;&lt;/FQL&gt;&lt;FQL&gt;&lt;Q&gt;CPE^FE_GUIDANCE(CAPEX,MIDPOINT,ANNUAL,+2,0,,,'')&lt;/Q&gt;&lt;R&gt;0&lt;/R&gt;&lt;C&gt;0&lt;/C&gt;&lt;/FQL&gt;&lt;FQL&gt;&lt;Q&gt;SM^FF_OG_PROD_DAY(QTR_R_OIL_BOE,12/2017)&lt;/Q&gt;&lt;R&gt;1&lt;/R&gt;&lt;C&gt;1&lt;/C&gt;&lt;D xsi:type="xsd:double"&gt;41.5&lt;/D&gt;&lt;/FQL&gt;&lt;FQL&gt;&lt;Q&gt;CXO^FF_OG_PROD_DAY(QTR_R_NG_CFE,12/2017)&lt;/Q&gt;&lt;R&gt;1&lt;/R&gt;&lt;C&gt;1&lt;/C&gt;&lt;D xsi:type="xsd:double"&gt;487478&lt;/D&gt;&lt;/FQL&gt;&lt;FQL&gt;&lt;Q&gt;ESTE^FF_OG_PROD_DAY(QTR_R_NG_CFE,12/2017)&lt;/Q&gt;&lt;R&gt;0&lt;/R&gt;&lt;C&gt;0&lt;/C&gt;&lt;/FQL&gt;&lt;FQL&gt;&lt;Q&gt;EGN^FF_OG_PROD_DAY(QTR_R_NG_CFE,12/2017)&lt;/Q&gt;&lt;R&gt;1&lt;/R&gt;&lt;C&gt;1&lt;/C&gt;&lt;D xsi:type="xsd:double"&gt;119900&lt;/D&gt;&lt;/FQL&gt;&lt;FQL&gt;&lt;Q&gt;PXD^FE_TIMESERIES(PROD_DAY_OIL_ONLY,MEAN,2019/1F,2019/4F,FQ,'BKRACTMED=1,WIN=0,DATE=NOW')&lt;/Q&gt;&lt;R&gt;4&lt;/R&gt;&lt;C&gt;1&lt;/C&gt;&lt;D xsi:type="xsd:double"&gt;212.55516&lt;/D&gt;&lt;D xsi:type="xsd:double"&gt;221.41216&lt;/D&gt;&lt;D xsi:type="xsd:double"&gt;231.57922&lt;/D&gt;&lt;D xsi:type="xsd:double"&gt;241.13123&lt;/D&gt;&lt;/FQL&gt;&lt;FQL&gt;&lt;Q&gt;NBL^FE_TIMESERIES(PROD_DAY_OIL_ONLY,MEAN,2019/1F,2019/4F,FQ,'BKRACTMED=1,WIN=0,DATE=NOW')&lt;/Q&gt;&lt;R&gt;4&lt;/R&gt;&lt;C&gt;1&lt;/C&gt;&lt;D xsi:type="xsd:double"&gt;147.41667&lt;/D&gt;&lt;D xsi:type="xsd:double"&gt;153.86145&lt;/D&gt;&lt;D xsi:type="xsd:double"&gt;160.44633&lt;/D&gt;&lt;D xsi:type="xsd:double"&gt;168.6121&lt;/D&gt;&lt;/FQL&gt;&lt;FQL&gt;&lt;Q&gt;QEP^FE_TIMESERIES(PROD_DAY_OIL_ONLY,MEAN,2019/1F,2019/4F,FQ,'BKRACTMED=1,WIN=0,DATE=NOW')&lt;/Q&gt;&lt;R&gt;4&lt;/R&gt;&lt;C&gt;1&lt;/C&gt;&lt;D xsi:type="xsd:double"&gt;67.65685&lt;/D&gt;&lt;D xsi:type="xsd:double"&gt;70.23811&lt;/D&gt;&lt;D xsi:type="xsd:double"&gt;74.02586&lt;/D&gt;&lt;D xsi:type="xsd:double"&gt;76.20379&lt;/D&gt;&lt;/FQL&gt;&lt;FQL&gt;&lt;Q&gt;EPE^FF_OG_PROD_DAY(QTR_R_NG_CFE,12/2017)&lt;/Q&gt;&lt;R&gt;1&lt;/R&gt;&lt;C&gt;1&lt;/C&gt;&lt;D xsi:type="xsd:double"&gt;130000&lt;/D&gt;&lt;/FQL&gt;&lt;FQL&gt;&lt;Q&gt;ESTE^FF_OG_PROD_TOT_NET(QTR_R_NG_CFE,12/2017)&lt;/Q&gt;&lt;R&gt;1&lt;/R&gt;&lt;C&gt;1&lt;/C&gt;&lt;D xsi:type="xsd:double"&gt;932000&lt;/D&gt;&lt;/FQL&gt;&lt;FQL&gt;&lt;Q&gt;PXD^FE_TIMESERIES(PROD_DAY_OIL_ONLY,MEAN,2018/1F,2018/4F,FQ,'BKRACTMED=1,WIN=0,DATE=NOW')&lt;/Q&gt;&lt;R&gt;4&lt;/R&gt;&lt;C&gt;1&lt;/C&gt;&lt;D xsi:type="xsd:double"&gt;182.08124&lt;/D&gt;&lt;D xsi:type="xsd:double"&gt;191.12164&lt;/D&gt;&lt;D xsi:type="xsd:double"&gt;198.49545&lt;/D&gt;&lt;D xsi:type="xsd:double"&gt;205.65836&lt;/D&gt;&lt;/FQL&gt;&lt;FQL&gt;&lt;Q&gt;CXO^FF_OG_PROD_TOT_NET(QTR_R_NGL_BOE,12/2017)&lt;/Q&gt;&lt;R&gt;0&lt;/R&gt;&lt;C&gt;0&lt;/C&gt;&lt;/FQL&gt;&lt;FQL&gt;&lt;Q&gt;PDCE^FF_OG_PROD_EXP(QTR_R,12/2017)&lt;/Q&gt;&lt;R&gt;1&lt;/R&gt;&lt;C&gt;1&lt;/C&gt;&lt;D xsi:type="xsd:double"&gt;42.231&lt;/D&gt;&lt;/FQL&gt;&lt;FQL&gt;&lt;Q&gt;AXAS^FF_OG_PROD_EXP(QTR_R,12/2017)&lt;/Q&gt;&lt;R&gt;1&lt;/R&gt;&lt;C&gt;1&lt;/C&gt;&lt;D xsi:type="xsd:double"&gt;5.974&lt;/D&gt;&lt;/FQL&gt;&lt;FQL&gt;&lt;Q&gt;CRZO^FF_OG_PROD_DAY(QTR_R_NGL_BOE,12/2017)&lt;/Q&gt;&lt;R&gt;1&lt;/R&gt;&lt;C&gt;1&lt;/C&gt;&lt;D xsi:type="xsd:double"&gt;9.181&lt;/D&gt;&lt;/FQL&gt;&lt;FQL&gt;&lt;Q&gt;CRZO^FF_OG_PROD_DAY(QTR_R_NG_CFE,12/2017)&lt;/Q&gt;&lt;R&gt;1&lt;/R&gt;&lt;C&gt;1&lt;/C&gt;&lt;D xsi:type="xsd:double"&gt;78182&lt;/D&gt;&lt;/FQL&gt;&lt;FQL&gt;&lt;Q&gt;ECA^FF_OG_PROD_EXP(QTR_R,12/2017)&lt;/Q&gt;&lt;R&gt;1&lt;/R&gt;&lt;C&gt;1&lt;/C&gt;&lt;D xsi:type="xsd:double"&gt;144&lt;/D&gt;&lt;/FQL&gt;&lt;FQL&gt;&lt;Q&gt;USEG^FF_OG_PROD_EXP(QTR_R,12/2017)&lt;/Q&gt;&lt;R&gt;1&lt;/R&gt;&lt;C&gt;1&lt;/C&gt;&lt;D xsi:type="xsd:double"&gt;0.69&lt;/D&gt;&lt;/FQL&gt;&lt;FQL&gt;&lt;Q&gt;COP^FF_OG_PROD_EXP(QTR_R,12/2017)&lt;/Q&gt;&lt;R&gt;0&lt;/R&gt;&lt;C&gt;0&lt;/C&gt;&lt;/FQL&gt;&lt;FQL&gt;&lt;Q&gt;RSPP^FF_OG_PROD_EXP(QTR_R,12/2017)&lt;/Q&gt;&lt;R&gt;1&lt;/R&gt;&lt;C&gt;1&lt;/C&gt;&lt;D xsi:type="xsd:double"&gt;51.221&lt;/D&gt;&lt;/FQL&gt;&lt;FQL&gt;&lt;Q&gt;EPE^FE_TIMESERIES(PROD_DAY_OIL_ONLY,MEAN,2019/1F,2019/4F,FQ,'BKRACTMED=1,WIN=0,DATE=NOW')&lt;/Q&gt;&lt;R&gt;4&lt;/R&gt;&lt;C&gt;1&lt;/C&gt;&lt;D xsi:type="xsd:double"&gt;50.37143&lt;/D&gt;&lt;D xsi:type="xsd:double"&gt;50.885715&lt;/D&gt;&lt;D xsi:type="xsd:double"&gt;51.528572&lt;/D&gt;&lt;D xsi:type="xsd:double"&gt;51.971428&lt;/D&gt;&lt;/FQL&gt;&lt;FQL&gt;&lt;Q&gt;OXY^FE_GUIDANCE(CAPEX,MIDPOINT,ANNUAL,+2,0,,,'')&lt;/Q&gt;&lt;R&gt;0&lt;/R&gt;&lt;C&gt;0&lt;/C&gt;&lt;/FQL&gt;&lt;FQL&gt;&lt;Q&gt;LPI^FF_OG_PROD_EXP(QTR_R,12/2017)&lt;/Q&gt;&lt;R&gt;1&lt;/R&gt;&lt;C&gt;1&lt;/C&gt;&lt;D xsi:type="xsd:double"&gt;29.35&lt;/D&gt;&lt;/FQL&gt;&lt;FQL&gt;&lt;Q&gt;ROSE^FF_OG_PROD_EXP(QTR_R,12/2017)&lt;/Q&gt;&lt;R&gt;0&lt;/R&gt;&lt;C&gt;0&lt;/C&gt;&lt;/FQL&gt;&lt;FQL&gt;&lt;Q&gt;OAS^FF_OG_PROD_EXP(QTR_R,12/2017)&lt;/Q&gt;&lt;R&gt;1&lt;/R&gt;&lt;C&gt;1&lt;/C&gt;&lt;D xsi:type="xsd:double"&gt;71.074&lt;/D&gt;&lt;/FQL&gt;&lt;FQL&gt;&lt;Q&gt;MRO^FF_OG_PROD_EXP(QTR_R,12/2017)&lt;/Q&gt;&lt;R&gt;1&lt;/R&gt;&lt;C&gt;1&lt;/C&gt;&lt;D xsi:type="xsd:double"&gt;241&lt;/D&gt;&lt;/FQL&gt;&lt;FQL&gt;&lt;Q&gt;NBL^FE_GUIDANCE(CAPEX,MIDPOINT,ANNUAL,+2,0,,,'')&lt;/Q&gt;&lt;R&gt;0&lt;/R&gt;&lt;C&gt;0&lt;/C&gt;&lt;/FQL&gt;&lt;FQL&gt;&lt;Q&gt;APA^FF_DEP_AMORT_EXP(QTR_R,12/2017)&lt;/Q&gt;&lt;R&gt;1&lt;/R&gt;&lt;C&gt;1&lt;/C&gt;&lt;D xsi:type="xsd:double"&gt;679&lt;/D&gt;&lt;/FQL&gt;&lt;FQL&gt;&lt;Q&gt;JAG^FF_OG_PROD_EXP(QTR_R,12/2017)&lt;/Q&gt;&lt;R&gt;1&lt;/R&gt;&lt;C&gt;1&lt;/C&gt;&lt;D xsi:type="xsd:double"&gt;12.394&lt;/D&gt;&lt;/FQL&gt;&lt;FQL&gt;&lt;Q&gt;AREX^FF_DEP_AMORT_EXP(QTR_R,12/2017)&lt;/Q&gt;&lt;R&gt;1&lt;/R&gt;&lt;C&gt;1&lt;/C&gt;&lt;D xsi:type="xsd:double"&gt;16.173&lt;/D&gt;&lt;/FQL&gt;&lt;FQL&gt;&lt;Q&gt;EPE^FF_OG_PROD_EXP(QTR_R,12/2017)&lt;/Q&gt;&lt;R&gt;1&lt;/R&gt;&lt;C&gt;1&lt;/C&gt;&lt;D xsi:type="xsd:double"&gt;52&lt;/D&gt;&lt;/FQL&gt;&lt;FQL&gt;&lt;Q&gt;DVN^FF_OG_PROD_EXP(QTR_R,12/2017)&lt;/Q&gt;&lt;R&gt;1&lt;/R&gt;&lt;C&gt;1&lt;/C&gt;&lt;D xsi:type="xsd:double"&gt;300&lt;/D&gt;&lt;/FQL&gt;&lt;FQL&gt;&lt;Q&gt;ESTE^FF_OG_PROD_TOT_NET(QTR_R_OIL_BOE,12/2017)&lt;/Q&gt;&lt;R&gt;1&lt;/R&gt;&lt;C&gt;1&lt;/C&gt;&lt;D xsi:type="xsd:double"&gt;528&lt;/D&gt;&lt;/FQL&gt;&lt;FQL&gt;&lt;Q&gt;AREX^FF_OG_PROD_DAY(QTR_R_NGL_BOE,12/2017)&lt;/Q&gt;&lt;R&gt;1&lt;/R&gt;&lt;C&gt;1&lt;/C&gt;&lt;D xsi:type="xsd:double"&gt;4.176&lt;/D&gt;&lt;/FQL&gt;&lt;FQL&gt;&lt;Q&gt;JAG^FE_GUIDANCE(CAPEX,MIDPOINT,ANNUAL,+2,0,,,'')&lt;/Q&gt;&lt;R&gt;0&lt;/R&gt;&lt;C&gt;0&lt;/C&gt;&lt;/FQL&gt;&lt;FQL&gt;&lt;Q&gt;AXAS^FF_OG_PROD_DAY(QTR_R_NGL_BOE,12/2017)&lt;/Q&gt;&lt;R&gt;1&lt;/R&gt;&lt;C&gt;1&lt;/C&gt;&lt;D xsi:type="xsd:double"&gt;1.407&lt;/D&gt;&lt;/FQL&gt;&lt;FQL&gt;&lt;Q&gt;AREX^FE_TIMESERIES(PROD_DAY_OIL_ONLY,MEAN,2018/1F,2018/4F,FQ,'BKRACTMED=1,WIN=0,DATE=NOW')&lt;/Q&gt;&lt;R&gt;4&lt;/R&gt;&lt;C&gt;1&lt;/C&gt;&lt;D xsi:type="xsd:double"&gt;2.9312&lt;/D&gt;&lt;D xsi:type="xsd:double"&gt;3.2606&lt;/D&gt;&lt;D xsi:type="xsd:double"&gt;3.3841999&lt;/D&gt;&lt;D xsi:type="xsd:double"&gt;3.4862&lt;/D&gt;&lt;/FQL&gt;&lt;FQL&gt;&lt;Q&gt;CDEV^FF_OG_PROD_DAY(QTR_R_NGL_BOE,12/2017)&lt;/Q&gt;&lt;R&gt;1&lt;/R&gt;&lt;C&gt;1&lt;/C&gt;&lt;D xsi:type="xsd:double"&gt;6.37&lt;/D&gt;&lt;/FQL&gt;&lt;FQL&gt;&lt;Q&gt;AREX^FF_OG_PROD_DAY(QTR_R_NG_CFE,12/2017)&lt;/Q&gt;&lt;R&gt;1&lt;/R&gt;&lt;C&gt;1&lt;/C&gt;&lt;D xsi:type="xsd:double"&gt;27144&lt;/D&gt;&lt;/FQL&gt;&lt;FQL&gt;&lt;Q&gt;WPX^FF_OG_PROD_DAY(QTR_R_OIL_BOE,12/2017)&lt;/Q&gt;&lt;R&gt;1&lt;/R&gt;&lt;C&gt;1&lt;/C&gt;&lt;D xsi:type="xsd:double"&gt;75.2&lt;/D&gt;&lt;/FQL&gt;&lt;FQL&gt;&lt;Q&gt;AXAS^FF_OG_PROD_DAY(QTR_R_NG_CFE,12/2017)&lt;/Q&gt;&lt;R&gt;1&lt;/R&gt;&lt;C&gt;1&lt;/C&gt;&lt;D xsi:type="xsd:double"&gt;12334&lt;/D&gt;&lt;/FQL&gt;&lt;FQL&gt;&lt;Q&gt;MTDR^FE_TIMESERIES(PROD_DAY_OIL_ONLY,MEAN,2019/1F,2019/4F,FQ,'BKRACTMED=1,WIN=0,DATE=NOW')&lt;/Q&gt;&lt;R&gt;4&lt;/R&gt;&lt;C&gt;1&lt;/C&gt;&lt;D xsi:type="xsd:double"&gt;31.013&lt;/D&gt;&lt;D xsi:type="xsd:double"&gt;32.579273&lt;/D&gt;&lt;D xsi:type="xsd:double"&gt;34.029182&lt;/D&gt;&lt;D xsi:type="xsd:double"&gt;35.649727&lt;/D&gt;&lt;/FQL&gt;&lt;FQL&gt;&lt;Q&gt;MTDR^FF_OG_PROD_EXP(QTR_R,12/2017)&lt;/Q&gt;&lt;R&gt;1&lt;/R&gt;&lt;C&gt;1&lt;/C&gt;&lt;D xsi:type="xsd:double"&gt;36.754&lt;/D&gt;&lt;/FQL&gt;&lt;FQL&gt;&lt;Q&gt;EGN^FF_OG_PROD_EXP(QTR_R,12/2017)&lt;/Q&gt;&lt;R&gt;1&lt;/R&gt;&lt;C&gt;1&lt;/C&gt;&lt;D xsi:type="xsd:double"&gt;72.034&lt;/D&gt;&lt;/FQL&gt;&lt;FQL&gt;&lt;Q&gt;HK^FF_OG_PROD_EXP(QTR_R,12/2017)&lt;/Q&gt;&lt;R&gt;1&lt;/R&gt;&lt;C&gt;1&lt;/C&gt;&lt;D xsi:type="xsd:double"&gt;4.055&lt;/D&gt;&lt;/FQL&gt;&lt;FQL&gt;&lt;Q&gt;CXO^FF_OG_PROD_EXP(QTR_R,12/2017)&lt;/Q&gt;&lt;R&gt;1&lt;/R&gt;&lt;C&gt;1&lt;/C&gt;&lt;D xsi:type="xsd:double"&gt;174&lt;/D&gt;&lt;/FQL&gt;&lt;FQL&gt;&lt;Q&gt;SM^FF_OG_PROD_EXP(QTR_R,12/2017)&lt;/Q&gt;&lt;R&gt;1&lt;/R&gt;&lt;C&gt;1&lt;/C&gt;&lt;D xsi:type="xsd:double"&gt;70.9&lt;/D&gt;&lt;/FQL&gt;&lt;FQL&gt;&lt;Q&gt;CDEV^FF_OG_PROD_EXP(QTR_R,12/2017)&lt;/Q&gt;&lt;R&gt;1&lt;/R&gt;&lt;C&gt;1&lt;/C&gt;&lt;D xsi:type="xsd:double"&gt;23.227&lt;/D&gt;&lt;/FQL&gt;&lt;FQL&gt;&lt;Q&gt;ESTE^FE_GUIDANCE(CAPEX,MIDPOINT,ANNUAL,+2,0,,,'')&lt;/Q&gt;&lt;R&gt;0&lt;/R&gt;&lt;C&gt;0&lt;/C&gt;&lt;/FQL&gt;&lt;FQL&gt;&lt;Q&gt;APA^FF_OG_PROD_DAY(QTR_R_NGL_BOE,12/2017)&lt;/Q&gt;&lt;R&gt;1&lt;/R&gt;&lt;C&gt;1&lt;/C&gt;&lt;D xsi:type="xsd:double"&gt;52.462&lt;/D&gt;&lt;/FQL&gt;&lt;FQL&gt;&lt;Q&gt;QEP^FF_OG_PROD_EXP(QTR_R,12/2017)&lt;/Q&gt;&lt;R&gt;1&lt;/R&gt;&lt;C&gt;1&lt;/C&gt;&lt;D xsi:type="xsd:double"&gt;107.6&lt;/D&gt;&lt;/FQL&gt;&lt;FQL&gt;&lt;Q&gt;FANG^FF_OG_PROD_EXP(QTR_R,12/2017)&lt;/Q&gt;&lt;R&gt;1&lt;/R&gt;&lt;C&gt;1&lt;/C&gt;&lt;D xsi:type="xsd:double"&gt;61.941&lt;/D&gt;&lt;/FQL&gt;&lt;FQL&gt;&lt;Q&gt;COP^FF_OG_PROD_DAY(QTR_R_NG_CFE,12/2017)&lt;/Q&gt;&lt;R&gt;1&lt;/R&gt;&lt;C&gt;1&lt;/C&gt;&lt;D xsi:type="xsd:double"&gt;2868000&lt;/D&gt;&lt;/FQL&gt;&lt;FQL&gt;&lt;Q&gt;OXY^FE_TIMESERIES(PROD_DAY_OIL_ONLY,MEAN,2019/1F,2019/4F,FQ,'BKRACTMED=1,WIN=0,DATE=NOW')&lt;/Q&gt;&lt;R&gt;4&lt;/R&gt;&lt;C&gt;1&lt;/C&gt;&lt;D xsi:type="xsd:double"&gt;453.62335&lt;/D&gt;&lt;D xsi:type="xsd:double"&gt;459.62&lt;/D&gt;&lt;D xsi:type="xsd:double"&gt;463.5&lt;/D&gt;&lt;D xsi:type="xsd:double"&gt;468.40668&lt;/D&gt;&lt;/FQL&gt;&lt;FQL&gt;&lt;Q&gt;PE^FF_OG_PROD_EXP(QTR_R,12/2017)&lt;/Q&gt;&lt;R&gt;1&lt;/R&gt;&lt;C&gt;1&lt;/C&gt;&lt;D xsi:type="xsd:double"&gt;47.66&lt;/D&gt;&lt;/FQL&gt;&lt;FQL&gt;&lt;Q&gt;REN^FF_OG_PROD_EXP(QTR_R,12/2017)&lt;/Q&gt;&lt;R&gt;1&lt;/R&gt;&lt;C&gt;1&lt;/C&gt;&lt;D xsi:type="xsd:double"&gt;17.619&lt;/D&gt;&lt;/FQL&gt;&lt;FQL&gt;&lt;Q&gt;WPX^FF_OG_PROD_EXP(QTR_R,12/2017)&lt;/Q&gt;&lt;R&gt;1&lt;/R&gt;&lt;C&gt;1&lt;/C&gt;&lt;D xsi:type="xsd:double"&gt;93&lt;/D&gt;&lt;/FQL&gt;&lt;FQL&gt;&lt;Q&gt;NBL^FF_OG_PROD_EXP(QTR_R,12/2017)&lt;/Q&gt;&lt;R&gt;1&lt;/R&gt;&lt;C&gt;1&lt;/C&gt;&lt;D xsi:type="xsd:double"&gt;176&lt;/D&gt;&lt;/FQL&gt;&lt;FQL&gt;&lt;Q&gt;CPE^FF_OG_PROD_TOT_NET(QTR_R_NGL_BOE,12/2017)&lt;/Q&gt;&lt;R&gt;0&lt;/R&gt;&lt;C&gt;0&lt;/C&gt;&lt;/FQL&gt;&lt;FQL&gt;&lt;Q&gt;CPE^FF_OG_PROD_DAY(QTR_R_NGL_BOE,12/2017)&lt;/Q&gt;&lt;R&gt;0&lt;/R&gt;&lt;C&gt;0&lt;/C&gt;&lt;/FQL&gt;&lt;FQL&gt;&lt;Q&gt;APA^FF_SGA(QTR_R,12/2017)&lt;/Q&gt;&lt;R&gt;1&lt;/R&gt;&lt;C&gt;1&lt;/C&gt;&lt;D xsi:type="xsd:double"&gt;88&lt;/D&gt;&lt;/FQL&gt;&lt;FQL&gt;&lt;Q&gt;XEC^FF_OG_PROD_EXP(QTR_R,12/2017)&lt;/Q&gt;&lt;R&gt;1&lt;/R&gt;&lt;C&gt;1&lt;/C&gt;&lt;D xsi:type="xsd:double"&gt;98.531&lt;/D&gt;&lt;/FQL&gt;&lt;FQL&gt;&lt;Q&gt;LPI^FE_GUIDANCE(CAPEX,MIDPOINT,ANNUAL,+2,0,,,'')&lt;/Q&gt;&lt;R&gt;0&lt;/R&gt;&lt;C&gt;0&lt;/C&gt;&lt;/FQL&gt;&lt;FQL&gt;&lt;Q&gt;COP^FF_OG_PROD_DAY(QTR_R_NGL_BOE,12/2017)&lt;/Q&gt;&lt;R&gt;1&lt;/R&gt;&lt;C&gt;1&lt;/C&gt;&lt;D xsi:type="xsd:double"&gt;89&lt;/D&gt;&lt;/FQL&gt;&lt;FQL&gt;&lt;Q&gt;ESTE^FF_OG_PROD_EXP(QTR_R,12/2017)&lt;/Q&gt;&lt;R&gt;1&lt;/R&gt;&lt;C&gt;1&lt;/C&gt;&lt;D xsi:type="xsd:double"&gt;7.024&lt;/D&gt;&lt;/FQL&gt;&lt;FQL&gt;&lt;Q&gt;CRZO^FF_OG_PROD_EXP(QTR_R,12/2017)&lt;/Q&gt;&lt;R&gt;1&lt;/R&gt;&lt;C&gt;1&lt;/C&gt;&lt;D xsi:type="xsd:double"&gt;51.995&lt;/D&gt;&lt;/FQL&gt;&lt;FQL&gt;&lt;Q&gt;APA^FF_OG_PROD_DAY(QTR_R_NG_CFE,12/2017)&lt;/Q&gt;&lt;R&gt;1&lt;/R&gt;&lt;C&gt;1&lt;/C&gt;&lt;D xsi:type="xsd:double"&gt;870956&lt;/D&gt;&lt;/FQL&gt;&lt;FQL&gt;&lt;Q&gt;MRO^FE_TIMESERIES(PROD_DAY_OIL_ONLY,MEAN,2019/1F,2019/4F,FQ,'BKRACTMED=1,WIN=0,DATE=NOW')&lt;/Q&gt;&lt;R&gt;4&lt;/R&gt;&lt;C&gt;1&lt;/C&gt;&lt;D xsi:type="xsd:double"&gt;209.031&lt;/D&gt;&lt;D xsi:type="xsd:double"&gt;215.73729&lt;/D&gt;&lt;D xsi:type="xsd:double"&gt;222.777&lt;/D&gt;&lt;D xsi:type="xsd:double"&gt;231.03786&lt;/D&gt;&lt;/FQL&gt;&lt;FQL&gt;&lt;Q&gt;CDEV^FF_OG_PROD_DAY(QTR_R_NG_CFE,12/2017)&lt;/Q&gt;&lt;R&gt;1&lt;/R&gt;&lt;C&gt;1&lt;/C&gt;&lt;D xsi:type="xsd:double"&gt;63217&lt;/D&gt;&lt;/FQL&gt;&lt;FQL&gt;&lt;Q&gt;PDCE^FF_OG_PROD_DAY(QTR_R_OIL_BOE,12/2017)&lt;/Q&gt;&lt;R&gt;0&lt;/R&gt;&lt;C&gt;0&lt;/C&gt;&lt;/FQL&gt;&lt;FQL&gt;&lt;Q&gt;EGN^FG_COMPANY_NAME&lt;/Q&gt;&lt;R&gt;1&lt;/R&gt;&lt;C&gt;1&lt;/C&gt;&lt;D xsi:type="xsd:string"&gt;Energen Corporation&lt;/D&gt;&lt;/FQL&gt;&lt;FQL&gt;&lt;Q&gt;SM^FE_GUIDANCE(CAPEX,MIDPOINT,ANNUAL,+2,0,,,'')&lt;/Q&gt;&lt;R&gt;0&lt;/R&gt;&lt;C&gt;0&lt;/C&gt;&lt;/FQL&gt;&lt;FQL&gt;&lt;Q&gt;CPE^FF_OG_PROD_DAY(QTR_R_NG_CFE,12/2017)&lt;/Q&gt;&lt;R&gt;1&lt;/R&gt;&lt;C&gt;1&lt;/C&gt;&lt;D xsi:type="xsd:double"&gt;33403.86&lt;/D&gt;&lt;/FQL&gt;&lt;FQL&gt;&lt;Q&gt;XEC^FE_TIMESERIES(PROD_DAY_OIL_ONLY,MEAN,2019/1F,2019/4F,FQ,'BKRACTMED=1,WIN=0,DATE=NOW')&lt;/Q&gt;&lt;R&gt;4&lt;/R&gt;&lt;C&gt;1&lt;/C&gt;&lt;D xsi:type="xsd:double"&gt;82.96911&lt;/D&gt;&lt;D xsi:type="xsd:double"&gt;85.92976&lt;/D&gt;&lt;D xsi:type="xsd:double"&gt;89.5264&lt;/D&gt;&lt;D xsi:type="xsd:double"&gt;93.682655&lt;/D&gt;&lt;/FQL&gt;&lt;FQL&gt;&lt;Q&gt;PXD^FF_OG_PROD_EXP(QTR_R,12/2017)&lt;/Q&gt;&lt;R&gt;1&lt;/R&gt;&lt;C&gt;1&lt;/C&gt;&lt;D xsi:type="xsd:double"&gt;214&lt;/D&gt;&lt;/FQL&gt;&lt;FQL&gt;&lt;Q&gt;CPE^FF_OG_PROD_EXP(QTR_R,12/2017)&lt;/Q&gt;&lt;R&gt;1&lt;/R&gt;&lt;C&gt;1&lt;/C&gt;&lt;D xsi:type="xsd:double"&gt;19.427&lt;/D&gt;&lt;/FQL&gt;&lt;FQL&gt;&lt;Q&gt;SM^'FYE' + '  ' + CONVERT_DATE(FE_GUIDANCE_HISTO_DATE(DATEN,CAPEX,ANNUAL_ROLL,+1,'YYYY',NOW,-2AY,''),'MMM YY')&lt;/Q&gt;&lt;R&gt;8&lt;/R&gt;&lt;C&gt;1&lt;/C&gt;&lt;D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16&lt;/D&gt;&lt;/FQL&gt;&lt;FQL&gt;&lt;Q&gt;DVN^FE_GUIDANCE(PRODPERDAY,MIDPOINT,ANNUAL,+2,0,,,'')&lt;/Q&gt;&lt;R&gt;0&lt;/R&gt;&lt;C&gt;0&lt;/C&gt;&lt;/FQL&gt;&lt;FQL&gt;&lt;Q&gt;DVN^'FYE' + '  ' + CONVERT_DATE(FE_GUIDANCE_HISTO_DATE(DATEN,CAPEX,ANNUAL_ROLL,+1,'YYYY',NOW,-2AY,''),'MMM YY')&lt;/Q&gt;&lt;R&gt;7&lt;/R&gt;&lt;C&gt;1&lt;/C&gt;&lt;D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17&lt;/D&gt;&lt;D xsi:type="xsd:string"&gt;FYE  Dec 16&lt;/D&gt;&lt;D xsi:type="xsd:string"&gt;FYE  Dec 16&lt;/D&gt;&lt;/FQL&gt;&lt;FQL&gt;&lt;Q&gt;APA^'FYE' + '  ' + CONVERT_DATE(FE_GUIDANCE_HISTO_DATE(DATEN,CAPEX,ANNUAL_ROLL,+1,'YYYY',NOW,-2AY,''),'MMM YY')&lt;/Q&gt;&lt;R&gt;7&lt;/R&gt;&lt;C&gt;1&lt;/C&gt;&lt;D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HK^FE_GUIDANCE(PRODPERDAY,MIDPOINT,ANNUAL,+2,0,,,'')&lt;/Q&gt;&lt;R&gt;0&lt;/R&gt;&lt;C&gt;0&lt;/C&gt;&lt;/FQL&gt;&lt;FQL&gt;&lt;Q&gt;NBL^FE_GUIDANCE(PRODPERDAY,MIDPOINT,ANNUAL,+2,0,,,'')&lt;/Q&gt;&lt;R&gt;0&lt;/R&gt;&lt;C&gt;0&lt;/C&gt;&lt;/FQL&gt;&lt;FQL&gt;&lt;Q&gt;MTDR^FE_GUIDANCE(PRODPERDAY,MIDPOINT,ANNUAL,+2,0,,,'')&lt;/Q&gt;&lt;R&gt;0&lt;/R&gt;&lt;C&gt;0&lt;/C&gt;&lt;/FQL&gt;&lt;FQL&gt;&lt;Q&gt;PDCE^FE_GUIDANCE(PRODPERDAY,MIDPOINT,ANNUAL,+2,0,,,'')&lt;/Q&gt;&lt;R&gt;0&lt;/R&gt;&lt;C&gt;0&lt;/C&gt;&lt;/FQL&gt;&lt;FQL&gt;&lt;Q&gt;SM^FE_GUIDANCE(PRODPERDAY,MIDPOINT,ANNUAL,+2,0,,,'')&lt;/Q&gt;&lt;R&gt;0&lt;/R&gt;&lt;C&gt;0&lt;/C&gt;&lt;/FQL&gt;&lt;FQL&gt;&lt;Q&gt;JAG^FE_GUIDANCE_DATE(DATEN,CAPEX,ANNUAL,2018,'MM/DD/YYYY',0)&lt;/Q&gt;&lt;R&gt;1&lt;/R&gt;&lt;C&gt;1&lt;/C&gt;&lt;D xsi:type="xsd:string"&gt;03/23/2018&lt;/D&gt;&lt;/FQL&gt;&lt;FQL&gt;&lt;Q&gt;SM^FE_GUIDANCE_DATE(DATEN,CAPEX,ANNUAL,2018,'MM/DD/YYYY',0)&lt;/Q&gt;&lt;R&gt;1&lt;/R&gt;&lt;C&gt;1&lt;/C&gt;&lt;D xsi:type="xsd:string"&gt;02/22/2018&lt;/D&gt;&lt;/FQL&gt;&lt;FQL&gt;&lt;Q&gt;MTDR^FE_GUIDANCE(TOTAL_PROD,MIDPOINT,ANNUAL,+2,0,,,'')&lt;/Q&gt;&lt;R&gt;0&lt;/R&gt;&lt;C&gt;0&lt;/C&gt;&lt;/FQL&gt;&lt;FQL&gt;&lt;Q&gt;EGN^FF_COGS_XDEP(QTR_R,12/2017)&lt;/Q&gt;&lt;R&gt;1&lt;/R&gt;&lt;C&gt;1&lt;/C&gt;&lt;D xsi:type="xsd:double"&gt;57.767&lt;/D&gt;&lt;/FQL&gt;&lt;FQL&gt;&lt;Q&gt;SM^FE_GUIDANCE(TOTAL_PROD,MIDPOINT,ANNUAL,+2,0,,,'')&lt;/Q&gt;&lt;R&gt;0&lt;/R&gt;&lt;C&gt;0&lt;/C&gt;&lt;/FQL&gt;&lt;FQL&gt;&lt;Q&gt;CPE^FE_GUIDANCE_DATE(DATEN,CAPEX,ANNUAL,2018,'MM/DD/YYYY',0)&lt;/Q&gt;&lt;R&gt;1&lt;/R&gt;&lt;C&gt;1&lt;/C&gt;&lt;D xsi:type="xsd:string"&gt;02/28/2018&lt;/D&gt;&lt;/FQL&gt;&lt;FQL&gt;&lt;Q&gt;MTDR^FE_GUIDANCE(PROD_DAY_OIL_ONLY,MIDPOINT,ANNUAL,+2,0,,,'')&lt;/Q&gt;&lt;R&gt;0&lt;/R&gt;&lt;C&gt;0&lt;/C&gt;&lt;/FQL&gt;&lt;FQL&gt;&lt;Q&gt;ECA^FE_GUIDANCE_DATE(DATEN,CAPEX,ANNUAL,2018,'MM/DD/YYYY',0)&lt;/Q&gt;&lt;R&gt;1&lt;/R&gt;&lt;C&gt;1&lt;/C&gt;&lt;D xsi:type="xsd:string"&gt;02/15/2018&lt;/D&gt;&lt;/FQL&gt;&lt;FQL&gt;&lt;Q&gt;OXY^'FYE' + '  ' + CONVERT_DATE(FE_GUIDANCE_HISTO_DATE(DATEN,CAPEX,ANNUAL_ROLL,+1,'YYYY',NOW,-2AY,''),'MMM YY')&lt;/Q&gt;&lt;R&gt;6&lt;/R&gt;&lt;C&gt;1&lt;/C&gt;&lt;D xsi:type="xsd:string"&gt;FYE  Dec 18&lt;/D&gt;&lt;D xsi:type="xsd:string"&gt;FYE  Dec 17&lt;/D&gt;&lt;D xsi:type="xsd:string"&gt;FYE  Dec 17&lt;/D&gt;&lt;D xsi:type="xsd:string"&gt;FYE  Dec 17&lt;/D&gt;&lt;D xsi:type="xsd:string"&gt;FYE  Dec 16&lt;/D&gt;&lt;D xsi:type="xsd:string"&gt;FYE  Dec 16&lt;/D&gt;&lt;/FQL&gt;&lt;FQL&gt;&lt;Q&gt;LPI^'FYE' + '  ' + CONVERT_DATE(FE_GUIDANCE_HISTO_DATE(DATEN,CAPEX,ANNUAL_ROLL,+1,'YYYY',NOW,-2AY,''),'MMM YY')&lt;/Q&gt;&lt;R&gt;4&lt;/R&gt;&lt;C&gt;1&lt;/C&gt;&lt;D xsi:type="xsd:string"&gt;FYE  Dec 17&lt;/D&gt;&lt;D xsi:type="xsd:string"&gt;FYE  Dec 17&lt;/D&gt;&lt;D xsi:type="xsd:string"&gt;FYE  Dec 16&lt;/D&gt;&lt;D xsi:type="xsd:string"&gt;FYE  Dec 16&lt;/D&gt;&lt;/FQL&gt;&lt;FQL&gt;&lt;Q&gt;ESTE^FE_GUIDANCE(PROD_DAY_OIL_ONLY,MIDPOINT,ANNUAL,+2,0,,,'')&lt;/Q&gt;&lt;R&gt;0&lt;/R&gt;&lt;C&gt;0&lt;/C&gt;&lt;/FQL&gt;&lt;FQL&gt;&lt;Q&gt;XEC^FF_OG_RSRV_PROVED_UNDEV_NET(ANN_R_NGL_BOE,0)&lt;/Q&gt;&lt;R&gt;1&lt;/R&gt;&lt;C&gt;1&lt;/C&gt;&lt;D xsi:type="xsd:double"&gt;27.633&lt;/D&gt;&lt;/FQL&gt;&lt;FQL&gt;&lt;Q&gt;OXY^FE_GUIDANCE_DATE(DATEN,CAPEX,ANNUAL,2018,'MM/DD/YYYY',0)&lt;/Q&gt;&lt;R&gt;1&lt;/R&gt;&lt;C&gt;1&lt;/C&gt;&lt;D xsi:type="xsd:string"&gt;02/14/2018&lt;/D&gt;&lt;/FQL&gt;&lt;FQL&gt;&lt;Q&gt;AREX^'FYE' + '  ' + CONVERT_DATE(FE_GUIDANCE_HISTO_DATE(DATEN,CAPEX,ANNUAL_ROLL,+1,'YYYY',NOW,-2AY,''),'MMM YY')&lt;/Q&gt;&lt;R&gt;2&lt;/R&gt;&lt;C&gt;1&lt;/C&gt;&lt;D xsi:type="xsd:string"&gt;FYE  Dec 18&lt;/D&gt;&lt;D xsi:type="xsd:string"&gt;FYE  Dec 17&lt;/D&gt;&lt;/FQL&gt;&lt;FQL&gt;&lt;Q&gt;ESTE^FE_GUIDANCE(PRODPERDAY,MIDPOINT,ANNUAL,+2,0,,,'')&lt;/Q&gt;&lt;R&gt;0&lt;/R&gt;&lt;C&gt;0&lt;/C&gt;&lt;/FQL&gt;&lt;FQL&gt;&lt;Q&gt;NBL^FE_GUIDANCE(TOTAL_PROD,MIDPOINT,ANNUAL,+2,0,,,'')&lt;/Q&gt;&lt;R&gt;0&lt;/R&gt;&lt;C&gt;0&lt;/C&gt;&lt;/FQL&gt;&lt;FQL&gt;&lt;Q&gt;SM^FE_GUIDANCE(PROD_DAY_OIL_ONLY,MIDPOINT,ANNUAL,+2,0,,,'')&lt;/Q&gt;&lt;R&gt;0&lt;/R&gt;&lt;C&gt;0&lt;/C&gt;&lt;/FQL&gt;&lt;FQL&gt;&lt;Q&gt;XEC^'FYE' + '  ' + CONVERT_DATE(FE_GUIDANCE_HISTO_DATE(DATEN,CAPEX,ANNUAL_ROLL,+1,'YYYY',NOW,-2AY,''),'MMM YY')&lt;/Q&gt;&lt;R&gt;6&lt;/R&gt;&lt;C&gt;1&lt;/C&gt;&lt;D xsi:type="xsd:string"&gt;FYE  Dec 17&lt;/D&gt;&lt;D xsi:type="xsd:string"&gt;FYE  Dec 17&lt;/D&gt;&lt;D xsi:type="xsd:string"&gt;FYE  Dec 17&lt;/D&gt;&lt;D xsi:type="xsd:string"&gt;FYE  Dec 16&lt;/D&gt;&lt;D xsi:type="xsd:string"&gt;FYE  Dec 16&lt;/D&gt;&lt;D xsi:type="xsd:string"&gt;FYE  Dec 16&lt;/D&gt;&lt;/FQL&gt;&lt;FQL&gt;&lt;Q&gt;DVN^FE_GUIDANCE(PROD_DAY_OIL_ONLY,MIDPOINT,ANNUAL,+2,0,,,'')&lt;/Q&gt;&lt;R&gt;0&lt;/R&gt;&lt;C&gt;0&lt;/C&gt;&lt;/FQL&gt;&lt;FQL&gt;&lt;Q&gt;HK^FE_GUIDANCE(TOTAL_PROD,MIDPOINT,ANNUAL,+2,0,,,'')&lt;/Q&gt;&lt;R&gt;0&lt;/R&gt;&lt;C&gt;0&lt;/C&gt;&lt;/FQL&gt;&lt;FQL&gt;&lt;Q&gt;MTDR^FE_GUIDANCE_DATE(DATEN,CAPEX,ANNUAL,2018,'MM/DD/YYYY',0)&lt;/Q&gt;&lt;R&gt;1&lt;/R&gt;&lt;C&gt;1&lt;/C&gt;&lt;D xsi:type="xsd:string"&gt;02/22/2018&lt;/D&gt;&lt;/FQL&gt;&lt;FQL&gt;&lt;Q&gt;PDCE^FE_GUIDANCE(PROD_DAY_OIL_ONLY,MIDPOINT,ANNUAL,+2,0,,,'')&lt;/Q&gt;&lt;R&gt;0&lt;/R&gt;&lt;C&gt;0&lt;/C&gt;&lt;/FQL&gt;&lt;FQL&gt;&lt;Q&gt;PXD^FE_GUIDANCE_DATE(DATEN,CAPEX,ANNUAL,2018,'MM/DD/YYYY',0)&lt;/Q&gt;&lt;R&gt;1&lt;/R&gt;&lt;C&gt;1&lt;/C&gt;&lt;D xsi:type="xsd:string"&gt;02/07/2018&lt;/D&gt;&lt;/FQL&gt;&lt;FQL&gt;&lt;Q&gt;PDCE^FE_GUIDANCE(TOTAL_PROD,MIDPOINT,ANNUAL,+2,0,,,'')&lt;/Q&gt;&lt;R&gt;0&lt;/R&gt;&lt;C&gt;0&lt;/C&gt;&lt;/FQL&gt;&lt;FQL&gt;&lt;Q&gt;JAG^FG_COMPANY_NAME&lt;/Q&gt;&lt;R&gt;1&lt;/R&gt;&lt;C&gt;1&lt;/C&gt;&lt;D xsi:type="xsd:string"&gt;Jagged Peak Energy, Inc.&lt;/D&gt;&lt;/FQL&gt;&lt;FQL&gt;&lt;Q&gt;ESTE^FE_TIMESERIES(PROD_DAY_OIL_ONLY,MEAN,2018/1F,2018/4F,FQ,'BKRACTMED=1,WIN=0,DATE=NOW')&lt;/Q&gt;&lt;R&gt;4&lt;/R&gt;&lt;C&gt;1&lt;/C&gt;&lt;D xsi:type="xsd:double"&gt;6.600125&lt;/D&gt;&lt;D xsi:type="xsd:double"&gt;7.1886253&lt;/D&gt;&lt;D xsi:type="xsd:double"&gt;8.18175&lt;/D&gt;&lt;D xsi:type="xsd:double"&gt;9.006375&lt;/D&gt;&lt;/FQL&gt;&lt;FQL&gt;&lt;Q&gt;OAS^FF_OG_PROD_DAY(QTR_R_NGL_BOE,12/2017)&lt;/Q&gt;&lt;R&gt;0&lt;/R&gt;&lt;C&gt;0&lt;/C&gt;&lt;/FQL&gt;&lt;FQL&gt;&lt;Q&gt;NBL^FF_OG_PROD_DAY(QTR_R_NGL_BOE,12/2017)&lt;/Q&gt;&lt;R&gt;1&lt;/R&gt;&lt;C&gt;1&lt;/C&gt;&lt;D xsi:type="xsd:double"&gt;70&lt;/D&gt;&lt;/FQL&gt;&lt;FQL&gt;&lt;Q&gt;USEG^FF_OG_PROD_DAY(QTR_R_NGL_BOE,12/2017)&lt;/Q&gt;&lt;R&gt;0&lt;/R&gt;&lt;C&gt;0&lt;/C&gt;&lt;/FQL&gt;&lt;FQL&gt;&lt;Q&gt;ESTE^FG_COMPANY_NAME&lt;/Q&gt;&lt;R&gt;1&lt;/R&gt;&lt;C&gt;1&lt;/C&gt;&lt;D xsi:type="xsd:string"&gt;Earthstone Energy, Inc. Class A&lt;/D&gt;&lt;/FQL&gt;&lt;FQL&gt;&lt;Q&gt;FANG^FF_DEP_AMORT_EXP(QTR_R,12/2017)&lt;/Q&gt;&lt;R&gt;1&lt;/R&gt;&lt;C&gt;1&lt;/C&gt;&lt;D xsi:type="xsd:double"&gt;105.439&lt;/D&gt;&lt;/FQL&gt;&lt;FQL&gt;&lt;Q&gt;PE^FE_GUIDANCE(CAPEX,MIDPOINT,ANNUAL,+2,0,,,'')&lt;/Q&gt;&lt;R&gt;0&lt;/R&gt;&lt;C&gt;0&lt;/C&gt;&lt;/FQL&gt;&lt;FQL&gt;&lt;Q&gt;AXAS^FF_SGA(QTR_R,12/2017)&lt;/Q&gt;&lt;R&gt;1&lt;/R&gt;&lt;C&gt;1&lt;/C&gt;&lt;D xsi:type="xsd:double"&gt;5.584&lt;/D&gt;&lt;/FQL&gt;&lt;FQL&gt;&lt;Q&gt;REN^FF_OG_PROD_DAY(QTR_R_NGL_BOE,12/2017)&lt;/Q&gt;&lt;R&gt;0&lt;/R&gt;&lt;C&gt;0&lt;/C&gt;&lt;/FQL&gt;&lt;FQL&gt;&lt;Q&gt;RSPP^FF_OG_PROD_DAY(QTR_R_NG_CFE,12/2017)&lt;/Q&gt;&lt;R&gt;1&lt;/R&gt;&lt;C&gt;1&lt;/C&gt;&lt;D xsi:type="xsd:double"&gt;44928&lt;/D&gt;&lt;/FQL&gt;&lt;FQL&gt;&lt;Q&gt;AXAS^FE_TIMESERIES(PROD_DAY_OIL_ONLY,MEAN,2019/1F,2019/4F,FQ,'BKRACTMED=1,WIN=0,DATE=NOW')&lt;/Q&gt;&lt;R&gt;4&lt;/R&gt;&lt;C&gt;1&lt;/C&gt;&lt;D xsi:type="xsd:double"&gt;8.0248&lt;/D&gt;&lt;D xsi:type="xsd:double"&gt;8.0506&lt;/D&gt;&lt;D xsi:type="xsd:double"&gt;8.4256&lt;/D&gt;&lt;D xsi:type="xsd:double"&gt;9.0018&lt;/D&gt;&lt;/FQL&gt;&lt;FQL&gt;&lt;Q&gt;XEC^FF_OG_PROD_DAY(QTR_R_NGL_BOE,12/2017)&lt;/Q&gt;&lt;R&gt;1&lt;/R&gt;&lt;C&gt;1&lt;/C&gt;&lt;D xsi:type="xsd:double"&gt;49.954&lt;/D&gt;&lt;/FQL&gt;&lt;FQL&gt;&lt;Q&gt;PE^FF_OG_PROD_DAY(QTR_R_NGL_BOE,12/2017)&lt;/Q&gt;&lt;R&gt;0&lt;/R&gt;&lt;C&gt;0&lt;/C&gt;&lt;/FQL&gt;&lt;FQL&gt;&lt;Q&gt;PE^FE_TIMESERIES(PROD_DAY_OIL_ONLY,MEAN,2018/1F,2018/4F,FQ,'BKRACTMED=1,WIN=0,DATE=NOW')&lt;/Q&gt;&lt;R&gt;4&lt;/R&gt;&lt;C&gt;1&lt;/C&gt;&lt;D xsi:type="xsd:double"&gt;54.658783&lt;/D&gt;&lt;D xsi:type="xsd:double"&gt;63.347977&lt;/D&gt;&lt;D xsi:type="xsd:double"&gt;71.42183&lt;/D&gt;&lt;D xsi:type="xsd:double"&gt;78.513084&lt;/D&gt;&lt;/FQL&gt;&lt;FQL&gt;&lt;Q&gt;MRO^FF_SGA(QTR_R,12/2017)&lt;/Q&gt;&lt;R&gt;1&lt;/R&gt;&lt;C&gt;1&lt;/C&gt;&lt;D xsi:type="xsd:double"&gt;101&lt;/D&gt;&lt;/FQL&gt;&lt;FQL&gt;&lt;Q&gt;NBL^FE_GUIDANCE(PROD_DAY_OIL_ONLY,MIDPOINT,ANNUAL,+2,0,,,'')&lt;/Q&gt;&lt;R&gt;0&lt;/R&gt;&lt;C&gt;0&lt;/C&gt;&lt;/FQL&gt;&lt;FQL&gt;&lt;Q&gt;JAG^FF_OG_PROD_DAY(QTR_R_NGL_BOE,12/2017)&lt;/Q&gt;&lt;R&gt;0&lt;/R&gt;&lt;C&gt;0&lt;/C&gt;&lt;/FQL&gt;&lt;FQL&gt;&lt;Q&gt;CXO^FE_GUIDANCE(CAPEX,MIDPOINT,ANNUAL,+2,0,,,'')&lt;/Q&gt;&lt;R&gt;0&lt;/R&gt;&lt;C&gt;0&lt;/C&gt;&lt;/FQL&gt;&lt;FQL&gt;&lt;Q&gt;CDEV^FF_OG_PROD_DAY(QTR_R_OIL_BOE,12/2017)&lt;/Q&gt;&lt;R&gt;1&lt;/R&gt;&lt;C&gt;1&lt;/C&gt;&lt;D xsi:type="xsd:double"&gt;27.402&lt;/D&gt;&lt;/FQL&gt;&lt;FQL&gt;&lt;Q&gt;PDCE^FF_OG_PROD_DAY(QTR_R_NGL_BOE,12/2017)&lt;/Q&gt;&lt;R&gt;0&lt;/R&gt;&lt;C&gt;0&lt;/C&gt;&lt;/FQL&gt;&lt;FQL&gt;&lt;Q&gt;PDCE^FF_OG_PROD_DAY(QTR_R_NGL_BOE,09/2017)&lt;/Q&gt;&lt;R&gt;0&lt;/R&gt;&lt;C&gt;0&lt;/C&gt;&lt;/FQL&gt;&lt;FQL&gt;&lt;Q&gt;QEP^FF_OG_PROD_DAY(QTR_R_OIL_BOE,09/2017)&lt;/Q&gt;&lt;R&gt;0&lt;/R&gt;&lt;C&gt;0&lt;/C&gt;&lt;/FQL&gt;&lt;FQL&gt;&lt;Q&gt;QEP^FF_OG_PROD_DAY(QTR_R_NGL_BOE,09/2017)&lt;/Q&gt;&lt;R&gt;0&lt;/R&gt;&lt;C&gt;0&lt;/C&gt;&lt;/FQL&gt;&lt;FQL&gt;&lt;Q&gt;CXO^FF_OG_PROD_DAY(QTR_R_NGL_BOE,09/2017)&lt;/Q&gt;&lt;R&gt;0&lt;/R&gt;&lt;C&gt;0&lt;/C&gt;&lt;/FQL&gt;&lt;FQL&gt;&lt;Q&gt;MTDR^FF_OG_PROD_DAY(QTR_R_NGL_BOE,09/2017)&lt;/Q&gt;&lt;R&gt;0&lt;/R&gt;&lt;C&gt;0&lt;/C&gt;&lt;/FQL&gt;&lt;FQL&gt;&lt;Q&gt;REN^FF_OG_PROD_DAY(QTR_R_OIL_BOE,09/2017)&lt;/Q&gt;&lt;R&gt;0&lt;/R&gt;&lt;C&gt;0&lt;/C&gt;&lt;/FQL&gt;&lt;FQL&gt;&lt;Q&gt;ESTE^FF_OG_PROD_DAY(QTR_R_OIL_BOE,09/2017)&lt;/Q&gt;&lt;R&gt;0&lt;/R&gt;&lt;C&gt;0&lt;/C&gt;&lt;/FQL&gt;&lt;FQL&gt;&lt;Q&gt;REN^FF_OG_PROD_DAY(QTR_R_NGL_BOE,09/2017)&lt;/Q&gt;&lt;R&gt;0&lt;/R&gt;&lt;C&gt;0&lt;/C&gt;&lt;/FQL&gt;&lt;FQL&gt;&lt;Q&gt;ESTE^FF_OG_PROD_DAY(QTR_R_NGL_BOE,09/2017)&lt;/Q&gt;&lt;R&gt;0&lt;/R&gt;&lt;C&gt;0&lt;/C&gt;&lt;/FQL&gt;&lt;FQL&gt;&lt;Q&gt;LPI^FF_OG_PROD_DAY(QTR_R_NGL_BOE,09/2017)&lt;/Q&gt;&lt;R&gt;0&lt;/R&gt;&lt;C&gt;0&lt;/C&gt;&lt;/FQL&gt;&lt;FQL&gt;&lt;Q&gt;CPE^FF_OG_PROD_DAY(QTR_R_NGL_BOE,09/2017)&lt;/Q&gt;&lt;R&gt;0&lt;/R&gt;&lt;C&gt;0&lt;/C&gt;&lt;/FQL&gt;&lt;FQL&gt;&lt;Q&gt;USEG^FF_OG_PROD_DAY(QTR_R_OIL_BOE,09/2017)&lt;/Q&gt;&lt;R&gt;0&lt;/R&gt;&lt;C&gt;0&lt;/C&gt;&lt;/FQL&gt;&lt;FQL&gt;&lt;Q&gt;ROSE^FF_OG_PROD_DAY(QTR_R_OIL_BOE,09/2017)&lt;/Q&gt;&lt;R&gt;0&lt;/R&gt;&lt;C&gt;0&lt;/C&gt;&lt;/FQL&gt;&lt;FQL&gt;&lt;Q&gt;USEG^FF_OG_PROD_DAY(QTR_R_NGL_BOE,09/2017)&lt;/Q&gt;&lt;R&gt;0&lt;/R&gt;&lt;C&gt;0&lt;/C&gt;&lt;/FQL&gt;&lt;FQL&gt;&lt;Q&gt;ROSE^FF_OG_PROD_DAY(QTR_R_NGL_BOE,09/2017)&lt;/Q&gt;&lt;R&gt;0&lt;/R&gt;&lt;C&gt;0&lt;/C&gt;&lt;/FQL&gt;&lt;FQL&gt;&lt;Q&gt;REN^RTP_PRICE_HIGH_52W&lt;/Q&gt;&lt;R&gt;1&lt;/R&gt;&lt;C&gt;1&lt;/C&gt;&lt;D xsi:type="xsd:double"&gt;44.44&lt;/D&gt;&lt;/FQL&gt;&lt;FQL&gt;&lt;Q&gt;ROSE^FF_OG_AREA_TOT(ANN_R_GROSS_ACRE,12/2017)&lt;/Q&gt;&lt;R&gt;0&lt;/R&gt;&lt;C&gt;0&lt;/C&gt;&lt;/FQL&gt;&lt;FQL&gt;&lt;Q&gt;NBL^RTP_PRICE_HIGH_52W&lt;/Q&gt;&lt;R&gt;1&lt;/R&gt;&lt;C&gt;1&lt;/C&gt;&lt;D xsi:type="xsd:double"&gt;35.18&lt;/D&gt;&lt;/FQL&gt;&lt;FQL&gt;&lt;Q&gt;OAS^FF_OG_AREA_TOT(ANN_R_GROSS_ACRE,12/2017)&lt;/Q&gt;&lt;R&gt;1&lt;/R&gt;&lt;C&gt;1&lt;/C&gt;&lt;D xsi:type="xsd:double"&gt;702394&lt;/D&gt;&lt;/FQL&gt;&lt;FQL&gt;&lt;Q&gt;FANG^FF_OG_PROD_DAY(QTR_R_NGL_BOE,12/2017)&lt;/Q&gt;&lt;R&gt;0&lt;/R&gt;&lt;C&gt;0&lt;/C&gt;&lt;/FQL&gt;&lt;FQL&gt;&lt;Q&gt;FANG^FF_OG_PROD_TOT_NET(QTR_R_NGL_BOE,12/2017)&lt;/Q&gt;&lt;R&gt;1&lt;/R&gt;&lt;C&gt;1&lt;/C&gt;&lt;D xsi:type="xsd:double"&gt;1182.374&lt;/D&gt;&lt;/FQL&gt;&lt;FQL&gt;&lt;Q&gt;XEC^FE_GUIDANCE(CAPEX,MIDPOINT,ANNUAL,+2,0,,,'')&lt;/Q&gt;&lt;R&gt;0&lt;/R&gt;&lt;C&gt;0&lt;/C&gt;&lt;/FQL&gt;&lt;FQL&gt;&lt;Q&gt;NBL^FF_OG_PROD_DAY(QTR_R_NGL_BOE,09/2017)&lt;/Q&gt;&lt;R&gt;1&lt;/R&gt;&lt;C&gt;1&lt;/C&gt;&lt;D xsi:type="xsd:double"&gt;63&lt;/D&gt;&lt;/FQL&gt;&lt;FQL&gt;&lt;Q&gt;OAS^FF_OG_PROD_DAY(QTR_R_OIL_BOE,09/2017)&lt;/Q&gt;&lt;R&gt;1&lt;/R&gt;&lt;C&gt;1&lt;/C&gt;&lt;D xsi:type="xsd:double"&gt;51.825&lt;/D&gt;&lt;/FQL&gt;&lt;FQL&gt;&lt;Q&gt;OAS^FF_OG_PROD_DAY(QTR_R_NG_CFE,09/2017)&lt;/Q&gt;&lt;R&gt;1&lt;/R&gt;&lt;C&gt;1&lt;/C&gt;&lt;D xsi:type="xsd:double"&gt;85800&lt;/D&gt;&lt;/FQL&gt;&lt;FQL&gt;&lt;Q&gt;FANG^FE_TIMESERIES(PROD_DAY_OIL_ONLY,MEAN,2019/1F,2019/4F,FQ,'BKRACTMED=1,WIN=0,DATE=NOW')&lt;/Q&gt;&lt;R&gt;4&lt;/R&gt;&lt;C&gt;1&lt;/C&gt;&lt;D xsi:type="xsd:double"&gt;100.76178&lt;/D&gt;&lt;D xsi:type="xsd:double"&gt;107.54536&lt;/D&gt;&lt;D xsi:type="xsd:double"&gt;115.00964&lt;/D&gt;&lt;D xsi:type="xsd:double"&gt;121.8915&lt;/D&gt;&lt;/FQL&gt;&lt;FQL&gt;&lt;Q&gt;NBL^FF_SGA(QTR_R,12/2017)&lt;/Q&gt;&lt;R&gt;1&lt;/R&gt;&lt;C&gt;1&lt;/C&gt;&lt;D xsi:type="xsd:double"&gt;158&lt;/D&gt;&lt;/FQL&gt;&lt;FQL&gt;&lt;Q&gt;OAS^FF_DEP_AMORT_EXP(QTR_R,12/2017)&lt;/Q&gt;&lt;R&gt;1&lt;/R&gt;&lt;C&gt;1&lt;/C&gt;&lt;D xsi:type="xsd:double"&gt;146.556&lt;/D&gt;&lt;/FQL&gt;&lt;FQL&gt;&lt;Q&gt;CDEV^FE_GUIDANCE(CAPEX,MIDPOINT,ANNUAL,+2,0,,,'')&lt;/Q&gt;&lt;R&gt;0&lt;/R&gt;&lt;C&gt;0&lt;/C&gt;&lt;/FQL&gt;&lt;FQL&gt;&lt;Q&gt;REN^FF_SGA(QTR_R,12/2017)&lt;/Q&gt;&lt;R&gt;1&lt;/R&gt;&lt;C&gt;1&lt;/C&gt;&lt;D xsi:type="xsd:double"&gt;26.268&lt;/D&gt;&lt;/FQL&gt;&lt;FQL&gt;&lt;Q&gt;ROSE^FF_DEP_AMORT_EXP(QTR_R,12/2017)&lt;/Q&gt;&lt;R&gt;1&lt;/R&gt;&lt;C&gt;1&lt;/C&gt;&lt;D xsi:type="xsd:double"&gt;9.941&lt;/D&gt;&lt;/FQL&gt;&lt;FQL&gt;&lt;Q&gt;LPI^FE_TIMESERIES(PROD_DAY_OIL_ONLY,MEAN,2019/1F,2019/4F,FQ,'BKRACTMED=1,WIN=0,DATE=NOW')&lt;/Q&gt;&lt;R&gt;4&lt;/R&gt;&lt;C&gt;1&lt;/C&gt;&lt;D xsi:type="xsd:double"&gt;31.478363&lt;/D&gt;&lt;D xsi:type="xsd:double"&gt;32.289635&lt;/D&gt;&lt;D xsi:type="xsd:double"&gt;32.987183&lt;/D&gt;&lt;D xsi:type="xsd:double"&gt;33.667637&lt;/D&gt;&lt;/FQL&gt;&lt;FQL&gt;&lt;Q&gt;OAS^FF_OG_PROD_DAY(QTR_R_NGL_BOE,09/2017)&lt;/Q&gt;&lt;R&gt;0&lt;/R&gt;&lt;C&gt;0&lt;/C&gt;&lt;/FQL&gt;&lt;FQL&gt;&lt;Q&gt;XEC^FF_DEP_AMORT_EXP(QTR_R,12/2017)&lt;/Q&gt;&lt;R&gt;1&lt;/R&gt;&lt;C&gt;1&lt;/C&gt;&lt;D xsi:type="xsd:double"&gt;142.482&lt;/D&gt;&lt;/FQL&gt;&lt;FQL&gt;&lt;Q&gt;AREX^FF_SGA(QTR_R,12/2017)&lt;/Q&gt;&lt;R&gt;1&lt;/R&gt;&lt;C&gt;1&lt;/C&gt;&lt;D xsi:type="xsd:double"&gt;5.491&lt;/D&gt;&lt;/F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QL&gt;&lt;FQL&gt;&lt;Q&gt;QEP^FF_OG_PROD_DAY(QTR_R_OIL_BOE,12/2017)&lt;/Q&gt;&lt;R&gt;0&lt;/R&gt;&lt;C&gt;0&lt;/C&gt;&lt;/FQL&gt;&lt;FQL&gt;&lt;Q&gt;CPE^FG_COMPANY_NAME&lt;/Q&gt;&lt;R&gt;1&lt;/R&gt;&lt;C&gt;1&lt;/C&gt;&lt;D xsi:type="xsd:string"&gt;Callon Petroleum Company&lt;/D&gt;&lt;/FQL&gt;&lt;FQL&gt;&lt;Q&gt;SM^FG_COMPANY_NAME&lt;/Q&gt;&lt;R&gt;1&lt;/R&gt;&lt;C&gt;1&lt;/C&gt;&lt;D xsi:type="xsd:string"&gt;SM Energy Company&lt;/D&gt;&lt;/FQL&gt;&lt;FQL&gt;&lt;Q&gt;REN^FG_COMPANY_NAME&lt;/Q&gt;&lt;R&gt;1&lt;/R&gt;&lt;C&gt;1&lt;/C&gt;&lt;D xsi:type="xsd:string"&gt;Resolute Energy Corporation&lt;/D&gt;&lt;/FQL&gt;&lt;FQL&gt;&lt;Q&gt;CXO-US^PROPER(CONVERT_DATE(FE_TIMESERIES_PERIOD(,2019/1F,2019/4F,FQ,'DISPLAY=YYYYMMDD'),"MMM 'YY"))&lt;/Q&gt;&lt;R&gt;4&lt;/R&gt;&lt;C&gt;1&lt;/C&gt;&lt;D xsi:type="xsd:string"&gt;Mar '19&lt;/D&gt;&lt;D xsi:type="xsd:string"&gt;Jun '19&lt;/D&gt;&lt;D xsi:type="xsd:string"&gt;Sep '19&lt;/D&gt;&lt;D xsi:type="xsd:string"&gt;Dec '19&lt;/D&gt;&lt;/FQL&gt;&lt;FQL&gt;&lt;Q&gt;CXO-US^PROPER(CONVERT_DATE(FE_TIMESERIES_PERIOD(,2019,2020,FY,'DISPLAY=YYYYMMDD'),"MMM 'YY"))&lt;/Q&gt;&lt;R&gt;2&lt;/R&gt;&lt;C&gt;1&lt;/C&gt;&lt;D xsi:type="xsd:string"&gt;Dec '19&lt;/D&gt;&lt;D xsi:type="xsd:string"&gt;Dec '20&lt;/D&gt;&lt;/FQL&gt;&lt;FQL&gt;&lt;Q&gt;CXO-US^FE_TIMESERIES_PERIOD(,2019/1F,2019/4F,FQ,'')&lt;/Q&gt;&lt;R&gt;4&lt;/R&gt;&lt;C&gt;1&lt;/C&gt;&lt;D xsi:type="xsd:string"&gt;2019/1F&lt;/D&gt;&lt;D xsi:type="xsd:string"&gt;2019/2F&lt;/D&gt;&lt;D xsi:type="xsd:string"&gt;2019/3F&lt;/D&gt;&lt;D xsi:type="xsd:string"&gt;2019/4F&lt;/D&gt;&lt;/FQL&gt;&lt;FQL&gt;&lt;Q&gt;CXO-US^FE_TIMESERIES_PERIOD(,2019,2020,FY,'')&lt;/Q&gt;&lt;R&gt;2&lt;/R&gt;&lt;C&gt;1&lt;/C&gt;&lt;D xsi:type="xsd:string"&gt;2019&lt;/D&gt;&lt;D xsi:type="xsd:string"&gt;2020&lt;/D&gt;&lt;/FQL&gt;&lt;FQL&gt;&lt;Q&gt;CXO-US^FE_TIMESERIES(PROD_DAY_OIL_ONLY,MEAN,2018/1F,2018/4F,FQ,'BKRACTMED=1,WIN=0,DATE=NOW')&lt;/Q&gt;&lt;R&gt;4&lt;/R&gt;&lt;C&gt;1&lt;/C&gt;&lt;D xsi:type="xsd:double"&gt;134.67647&lt;/D&gt;&lt;D xsi:type="xsd:double"&gt;140.87189&lt;/D&gt;&lt;D xsi:type="xsd:double"&gt;149.82687&lt;/D&gt;&lt;D xsi:type="xsd:double"&gt;155.6376&lt;/D&gt;&lt;/FQL&gt;&lt;FQL&gt;&lt;Q&gt;CXO-US^FE_TIMESERIES(PROD_DAY_OIL_ONLY,MEAN,2019/1F,2019/4F,FQ,'BKRACTMED=1,WIN=0,DATE=NOW')&lt;/Q&gt;&lt;R&gt;4&lt;/R&gt;&lt;C&gt;1&lt;/C&gt;&lt;D xsi:type="xsd:double"&gt;162.65671&lt;/D&gt;&lt;D xsi:type="xsd:double"&gt;172.64557&lt;/D&gt;&lt;D xsi:type="xsd:double"&gt;181.92429&lt;/D&gt;&lt;D xsi:type="xsd:double"&gt;191.693&lt;/D&gt;&lt;/FQL&gt;&lt;FQL&gt;&lt;Q&gt;REN^FF_OG_PROD_DAY(QTR_R_OIL_BOE,12/2017)&lt;/Q&gt;&lt;R&gt;0&lt;/R&gt;&lt;C&gt;0&lt;/C&gt;&lt;/FQL&gt;&lt;FQL&gt;&lt;Q&gt;REN^FE_TIMESERIES(PROD_DAY_OIL_ONLY,MEAN,2018/1F,2018/4F,FQ,'BKRACTMED=1,WIN=0,DATE=NOW')&lt;/Q&gt;&lt;R&gt;4&lt;/R&gt;&lt;C&gt;1&lt;/C&gt;&lt;D xsi:type="xsd:double"&gt;11.977787&lt;/D&gt;&lt;D xsi:type="xsd:double"&gt;14.1026&lt;/D&gt;&lt;D xsi:type="xsd:double"&gt;18.15325&lt;/D&gt;&lt;D xsi:type="xsd:double"&gt;21.423538&lt;/D&gt;&lt;/FQL&gt;&lt;FQL&gt;&lt;Q&gt;ESTE^FE_TIMESERIES(PROD_DAY_OIL_ONLY,MEAN,2019/1F,2019/4F,FQ,'BKRACTMED=1,WIN=0,DATE=NOW')&lt;/Q&gt;&lt;R&gt;4&lt;/R&gt;&lt;C&gt;1&lt;/C&gt;&lt;D xsi:type="xsd:double"&gt;9.6116&lt;/D&gt;&lt;D xsi:type="xsd:double"&gt;10.468801&lt;/D&gt;&lt;D xsi:type="xsd:double"&gt;11.3934&lt;/D&gt;&lt;D xsi:type="xsd:double"&gt;12.333799&lt;/D&gt;&lt;/FQL&gt;&lt;FQL&gt;&lt;Q&gt;AREX^FG_COMPANY_NAME&lt;/Q&gt;&lt;R&gt;1&lt;/R&gt;&lt;C&gt;1&lt;/C&gt;&lt;D xsi:type="xsd:string"&gt;Approach Resources Inc.&lt;/D&gt;&lt;/FQL&gt;&lt;FQL&gt;&lt;Q&gt;ESTE^FF_OG_PROD_DAY(QTR_R_OIL_BOE,12/2017)&lt;/Q&gt;&lt;R&gt;0&lt;/R&gt;&lt;C&gt;0&lt;/C&gt;&lt;/FQL&gt;&lt;FQL&gt;&lt;Q&gt;AREX^FE_TIMESERIES(PROD_DAY_OIL_ONLY,MEAN,2019/1F,2019/4F,FQ,'BKRACTMED=1,WIN=0,DATE=NOW')&lt;/Q&gt;&lt;R&gt;4&lt;/R&gt;&lt;C&gt;1&lt;/C&gt;&lt;D xsi:type="xsd:double"&gt;3.50025&lt;/D&gt;&lt;D xsi:type="xsd:double"&gt;3.5665002&lt;/D&gt;&lt;D xsi:type="xsd:double"&gt;3.655&lt;/D&gt;&lt;D xsi:type="xsd:double"&gt;3.7207499&lt;/D&gt;&lt;/FQL&gt;&lt;FQL&gt;&lt;Q&gt;APA^FE_TIMESERIES(PROD_DAY_OIL_ONLY,MEAN,2018/1F,2018/4F,FQ,'BKRACTMED=1,WIN=0,DATE=NOW')&lt;/Q&gt;&lt;R&gt;4&lt;/R&gt;&lt;C&gt;1&lt;/C&gt;&lt;D xsi:type="xsd:double"&gt;232.68692&lt;/D&gt;&lt;D xsi:type="xsd:double"&gt;234.66434&lt;/D&gt;&lt;D xsi:type="xsd:double"&gt;238.94046&lt;/D&gt;&lt;D xsi:type="xsd:double"&gt;229.00484&lt;/D&gt;&lt;/FQL&gt;&lt;FQL&gt;&lt;Q&gt;SM^FE_TIMESERIES(PROD_DAY_OIL_ONLY,MEAN,2018/1F,2018/4F,FQ,'BKRACTMED=1,WIN=0,DATE=NOW')&lt;/Q&gt;&lt;R&gt;4&lt;/R&gt;&lt;C&gt;1&lt;/C&gt;&lt;D xsi:type="xsd:double"&gt;45.192734&lt;/D&gt;&lt;D xsi:type="xsd:double"&gt;46.037613&lt;/D&gt;&lt;D xsi:type="xsd:double"&gt;52.589806&lt;/D&gt;&lt;D xsi:type="xsd:double"&gt;57.5525&lt;/D&gt;&lt;/FQL&gt;&lt;FQL&gt;&lt;Q&gt;APA^FG_COMPANY_NAME&lt;/Q&gt;&lt;R&gt;1&lt;/R&gt;&lt;C&gt;1&lt;/C&gt;&lt;D xsi:type="xsd:string"&gt;Apache Corporation&lt;/D&gt;&lt;/FQL&gt;&lt;FQL&gt;&lt;Q&gt;PDCE^FG_COMPANY_NAME&lt;/Q&gt;&lt;R&gt;1&lt;/R&gt;&lt;C&gt;1&lt;/C&gt;&lt;D xsi:type="xsd:string"&gt;PDC Energy Inc&lt;/D&gt;&lt;/FQL&gt;&lt;FQL&gt;&lt;Q&gt;CPE^FF_OG_PROD_DAY(QTR_R_OIL_BOE,12/2017)&lt;/Q&gt;&lt;R&gt;1&lt;/R&gt;&lt;C&gt;1&lt;/C&gt;&lt;D xsi:type="xsd:double"&gt;20.9437&lt;/D&gt;&lt;/FQL&gt;&lt;FQL&gt;&lt;Q&gt;PDCE^FE_TIMESERIES(PROD_DAY_OIL_ONLY,MEAN,2018/1F,2018/4F,FQ,'BKRACTMED=1,WIN=0,DATE=NOW')&lt;/Q&gt;&lt;R&gt;4&lt;/R&gt;&lt;C&gt;1&lt;/C&gt;&lt;D xsi:type="xsd:double"&gt;41.37512&lt;/D&gt;&lt;D xsi:type="xsd:double"&gt;44.48946&lt;/D&gt;&lt;D xsi:type="xsd:double"&gt;48.47138&lt;/D&gt;&lt;D xsi:type="xsd:double"&gt;52.96257&lt;/D&gt;&lt;/FQL&gt;&lt;FQL&gt;&lt;Q&gt;NBL^FE_TIMESERIES(PROD_DAY_OIL_ONLY,MEAN,2018/1F,2018/4F,FQ,'BKRACTMED=1,WIN=0,DATE=NOW')&lt;/Q&gt;&lt;R&gt;4&lt;/R&gt;&lt;C&gt;1&lt;/C&gt;&lt;D xsi:type="xsd:double"&gt;139.73294&lt;/D&gt;&lt;D xsi:type="xsd:double"&gt;137.658&lt;/D&gt;&lt;D xsi:type="xsd:double"&gt;135.01085&lt;/D&gt;&lt;D xsi:type="xsd:double"&gt;140.86446&lt;/D&gt;&lt;/FQL&gt;&lt;FQL&gt;&lt;Q&gt;CRZO^FF_OG_PROD_DAY(QTR_R_OIL_BOE,12/2017)&lt;/Q&gt;&lt;R&gt;1&lt;/R&gt;&lt;C&gt;1&lt;/C&gt;&lt;D xsi:type="xsd:double"&gt;40.206&lt;/D&gt;&lt;/FQL&gt;&lt;FQL&gt;&lt;Q&gt;NBL^FG_COMPANY_NAME&lt;/Q&gt;&lt;R&gt;1&lt;/R&gt;&lt;C&gt;1&lt;/C&gt;&lt;D xsi:type="xsd:string"&gt;Noble Energy, Inc.&lt;/D&gt;&lt;/FQL&gt;&lt;FQL&gt;&lt;Q&gt;CRZO^FE_TIMESERIES(PROD_DAY_OIL_ONLY,MEAN,2019/1F,2019/4F,FQ,'BKRACTMED=1,WIN=0,DATE=NOW')&lt;/Q&gt;&lt;R&gt;4&lt;/R&gt;&lt;C&gt;1&lt;/C&gt;&lt;D xsi:type="xsd:double"&gt;45.378693&lt;/D&gt;&lt;D xsi:type="xsd:double"&gt;46.41177&lt;/D&gt;&lt;D xsi:type="xsd:double"&gt;47.469845&lt;/D&gt;&lt;D xsi:type="xsd:double"&gt;48.639538&lt;/D&gt;&lt;/FQL&gt;&lt;FQL&gt;&lt;Q&gt;LPI^FG_COMPANY_NAME&lt;/Q&gt;&lt;R&gt;1&lt;/R&gt;&lt;C&gt;1&lt;/C&gt;&lt;D xsi:type="xsd:string"&gt;Laredo Petroleum, Inc.&lt;/D&gt;&lt;/FQL&gt;&lt;FQL&gt;&lt;Q&gt;QEP^FF_OG_PROD_TOT_NET(QTR_R_OIL_BOE,12/2017)&lt;/Q&gt;&lt;R&gt;1&lt;/R&gt;&lt;C&gt;1&lt;/C&gt;&lt;D xsi:type="xsd:double"&gt;5240.6&lt;/D&gt;&lt;/FQL&gt;&lt;FQL&gt;&lt;Q&gt;PE^FF_OG_PROD_DAY(QTR_R_OIL_BOE,12/2017)&lt;/Q&gt;&lt;R&gt;0&lt;/R&gt;&lt;C&gt;0&lt;/C&gt;&lt;/FQL&gt;&lt;FQL&gt;&lt;Q&gt;EPE^FG_COMPANY_NAME&lt;/Q&gt;&lt;R&gt;1&lt;/R&gt;&lt;C&gt;1&lt;/C&gt;&lt;D xsi:type="xsd:string"&gt;EP Energy Corp. Class A&lt;/D&gt;&lt;/FQL&gt;&lt;FQL&gt;&lt;Q&gt;HK^FE_TIMESERIES(PROD_DAY_OIL_ONLY,MEAN,2019/1F,2019/4F,FQ,'BKRACTMED=1,WIN=0,DATE=NOW')&lt;/Q&gt;&lt;R&gt;4&lt;/R&gt;&lt;C&gt;1&lt;/C&gt;&lt;D xsi:type="xsd:double"&gt;18.954666&lt;/D&gt;&lt;D xsi:type="xsd:double"&gt;21.336834&lt;/D&gt;&lt;D xsi:type="xsd:double"&gt;23.949833&lt;/D&gt;&lt;D xsi:type="xsd:double"&gt;26.194668&lt;/D&gt;&lt;/FQL&gt;&lt;FQL&gt;&lt;Q&gt;EPE^FE_TIMESERIES(PROD_DAY_OIL_ONLY,MEAN,2018/1F,2018/4F,FQ,'BKRACTMED=1,WIN=0,DATE=NOW')&lt;/Q&gt;&lt;R&gt;4&lt;/R&gt;&lt;C&gt;1&lt;/C&gt;&lt;D xsi:type="xsd:double"&gt;43.99377&lt;/D&gt;&lt;D xsi:type="xsd:double"&gt;47.07171&lt;/D&gt;&lt;D xsi:type="xsd:double"&gt;48.6251&lt;/D&gt;&lt;D xsi:type="xsd:double"&gt;49.83529&lt;/D&gt;&lt;/FQL&gt;&lt;FQL&gt;&lt;Q&gt;HK^FF_OG_PROD_DAY(QTR_R_OIL_BOE,12/2017)&lt;/Q&gt;&lt;R&gt;0&lt;/R&gt;&lt;C&gt;0&lt;/C&gt;&lt;/FQL&gt;&lt;FQL&gt;&lt;Q&gt;AXAS^FF_OG_PROD_DAY(QTR_R_OIL_BOE,12/2017)&lt;/Q&gt;&lt;R&gt;1&lt;/R&gt;&lt;C&gt;1&lt;/C&gt;&lt;D xsi:type="xsd:double"&gt;5.325&lt;/D&gt;&lt;/FQL&gt;&lt;FQL&gt;&lt;Q&gt;DVN^FE_TIMESERIES(PROD_DAY_OIL_ONLY,MEAN,2018/1F,2018/4F,FQ,'BKRACTMED=1,WIN=0,DATE=NOW')&lt;/Q&gt;&lt;R&gt;4&lt;/R&gt;&lt;C&gt;1&lt;/C&gt;&lt;D xsi:type="xsd:double"&gt;250.15628&lt;/D&gt;&lt;D xsi:type="xsd:double"&gt;253.3617&lt;/D&gt;&lt;D xsi:type="xsd:double"&gt;265.22247&lt;/D&gt;&lt;D xsi:type="xsd:double"&gt;270.22314&lt;/D&gt;&lt;/FQL&gt;&lt;FQL&gt;&lt;Q&gt;COP^FG_COMPANY_NAME&lt;/Q&gt;&lt;R&gt;1&lt;/R&gt;&lt;C&gt;1&lt;/C&gt;&lt;D xsi:type="xsd:string"&gt;ConocoPhillips&lt;/D&gt;&lt;/FQL&gt;&lt;FQL&gt;&lt;Q&gt;DVN^FG_COMPANY_NAME&lt;/Q&gt;&lt;R&gt;1&lt;/R&gt;&lt;C&gt;1&lt;/C&gt;&lt;D xsi:type="xsd:string"&gt;Devon Energy Corporation&lt;/D&gt;&lt;/FQL&gt;&lt;FQL&gt;&lt;Q&gt;COP^FE_TIMESERIES(PROD_DAY_OIL_ONLY,MEAN,2018/1F,2018/4F,FQ,'BKRACTMED=1,WIN=0,DATE=NOW')&lt;/Q&gt;&lt;R&gt;4&lt;/R&gt;&lt;C&gt;1&lt;/C&gt;&lt;D xsi:type="xsd:double"&gt;605.05&lt;/D&gt;&lt;D xsi:type="xsd:double"&gt;609.85&lt;/D&gt;&lt;D xsi:type="xsd:double"&gt;598.95&lt;/D&gt;&lt;D xsi:type="xsd:double"&gt;628.35&lt;/D&gt;&lt;/FQL&gt;&lt;FQL&gt;&lt;Q&gt;XEC^FF_OG_PROD_DAY(QTR_R_OIL_BOE,12/2017)&lt;/Q&gt;&lt;R&gt;1&lt;/R&gt;&lt;C&gt;1&lt;/C&gt;&lt;D xsi:type="xsd:double"&gt;61.771&lt;/D&gt;&lt;/FQL&gt;&lt;FQL&gt;&lt;Q&gt;USEG^FF_OG_PROD_DAY(QTR_R_OIL_BOE,12/2017)&lt;/Q&gt;&lt;R&gt;0&lt;/R&gt;&lt;C&gt;0&lt;/C&gt;&lt;/FQL&gt;&lt;FQL&gt;&lt;Q&gt;MRO^FE_TIMESERIES(PROD_DAY_OIL_ONLY,MEAN,2018/1F,2018/4F,FQ,'BKRACTMED=1,WIN=0,DATE=NOW')&lt;/Q&gt;&lt;R&gt;4&lt;/R&gt;&lt;C&gt;1&lt;/C&gt;&lt;D xsi:type="xsd:double"&gt;192.1795&lt;/D&gt;&lt;D xsi:type="xsd:double"&gt;199.105&lt;/D&gt;&lt;D xsi:type="xsd:double"&gt;202.24701&lt;/D&gt;&lt;D xsi:type="xsd:double"&gt;205.9745&lt;/D&gt;&lt;/FQL&gt;&lt;FQL&gt;&lt;Q&gt;USEG^FE_TIMESERIES(PROD_DAY_OIL_ONLY,MEAN,2019/1F,2019/4F,FQ,'BKRACTMED=1,WIN=0,DATE=NOW')&lt;/Q&gt;&lt;R&gt;4&lt;/R&gt;&lt;C&gt;1&lt;/C&gt;&lt;D xsi:type="xsd:string"&gt;@NA&lt;/D&gt;&lt;D xsi:type="xsd:string"&gt;@NA&lt;/D&gt;&lt;D xsi:type="xsd:string"&gt;@NA&lt;/D&gt;&lt;D xsi:type="xsd:string"&gt;@NA&lt;/D&gt;&lt;/FQL&gt;&lt;FQL&gt;&lt;Q&gt;MRO^FF_OG_PROD_DAY(QTR_R_OIL_BOE,12/2017)&lt;/Q&gt;&lt;R&gt;1&lt;/R&gt;&lt;C&gt;1&lt;/C&gt;&lt;D xsi:type="xsd:double"&gt;208&lt;/D&gt;&lt;/FQL&gt;&lt;FQL&gt;&lt;Q&gt;PXD^FG_COMPANY_NAME&lt;/Q&gt;&lt;R&gt;1&lt;/R&gt;&lt;C&gt;1&lt;/C&gt;&lt;D xsi:type="xsd:string"&gt;Pioneer Natural Resources Company&lt;/D&gt;&lt;/FQL&gt;&lt;FQL&gt;&lt;Q&gt;RSPP^FE_TIMESERIES(PROD_DAY_OIL_ONLY,MEAN,2019/1F,2019/4F,FQ,'BKRACTMED=1,WIN=0,DATE=NOW')&lt;/Q&gt;&lt;R&gt;4&lt;/R&gt;&lt;C&gt;1&lt;/C&gt;&lt;D xsi:type="xsd:double"&gt;64.29265&lt;/D&gt;&lt;D xsi:type="xsd:double"&gt;68.95496&lt;/D&gt;&lt;D xsi:type="xsd:double"&gt;72.96103&lt;/D&gt;&lt;D xsi:type="xsd:double"&gt;77.50559&lt;/D&gt;&lt;/FQL&gt;&lt;FQL&gt;&lt;Q&gt;RSPP^FG_COMPANY_NAME&lt;/Q&gt;&lt;R&gt;1&lt;/R&gt;&lt;C&gt;1&lt;/C&gt;&lt;D xsi:type="xsd:string"&gt;RSP Permian, Inc.&lt;/D&gt;&lt;/FQL&gt;&lt;FQL&gt;&lt;Q&gt;WPX^FE_TIMESERIES(PROD_DAY_OIL_ONLY,MEAN,2019/1F,2019/4F,FQ,'BKRACTMED=1,WIN=0,DATE=NOW')&lt;/Q&gt;&lt;R&gt;4&lt;/R&gt;&lt;C&gt;1&lt;/C&gt;&lt;D xsi:type="xsd:double"&gt;92.93208&lt;/D&gt;&lt;D xsi:type="xsd:double"&gt;98.28384&lt;/D&gt;&lt;D xsi:type="xsd:double"&gt;103.34189&lt;/D&gt;&lt;D xsi:type="xsd:double"&gt;107.945496&lt;/D&gt;&lt;/FQL&gt;&lt;FQL&gt;&lt;Q&gt;WPX^FE_TIMESERIES(PROD_DAY_OIL_ONLY,MEAN,2018/1F,2018/4F,FQ,'BKRACTMED=1,WIN=0,DATE=NOW')&lt;/Q&gt;&lt;R&gt;4&lt;/R&gt;&lt;C&gt;1&lt;/C&gt;&lt;D xsi:type="xsd:double"&gt;68.92273&lt;/D&gt;&lt;D xsi:type="xsd:double"&gt;75.32967&lt;/D&gt;&lt;D xsi:type="xsd:double"&gt;81.29973&lt;/D&gt;&lt;D xsi:type="xsd:double"&gt;86.667114&lt;/D&gt;&lt;/FQL&gt;&lt;FQL&gt;&lt;Q&gt;WPX^FG_COMPANY_NAME&lt;/Q&gt;&lt;R&gt;1&lt;/R&gt;&lt;C&gt;1&lt;/C&gt;&lt;D xsi:type="xsd:string"&gt;WPX Energy, Inc. Class A&lt;/D&gt;&lt;/FQL&gt;&lt;FQL&gt;&lt;Q&gt;ECA^FE_TIMESERIES(PROD_DAY_OIL_ONLY,MEAN,2019/1F,2019/4F,FQ,'BKRACTMED=1,WIN=0,DATE=NOW')&lt;/Q&gt;&lt;R&gt;4&lt;/R&gt;&lt;C&gt;1&lt;/C&gt;&lt;D xsi:type="xsd:double"&gt;97.224&lt;/D&gt;&lt;D xsi:type="xsd:double"&gt;99.75767&lt;/D&gt;&lt;D xsi:type="xsd:double"&gt;101.955&lt;/D&gt;&lt;D xsi:type="xsd:double"&gt;104.34967&lt;/D&gt;&lt;/FQL&gt;&lt;FQL&gt;&lt;Q&gt;ECA^FE_TIMESERIES(PROD_DAY_OIL_ONLY,MEAN,2018/1F,2018/4F,FQ,'BKRACTMED=1,WIN=0,DATE=NOW')&lt;/Q&gt;&lt;R&gt;4&lt;/R&gt;&lt;C&gt;1&lt;/C&gt;&lt;D xsi:type="xsd:double"&gt;96.0048&lt;/D&gt;&lt;D xsi:type="xsd:double"&gt;100.2223&lt;/D&gt;&lt;D xsi:type="xsd:double"&gt;104.02888&lt;/D&gt;&lt;D xsi:type="xsd:double"&gt;109.259575&lt;/D&gt;&lt;/FQL&gt;&lt;FQL&gt;&lt;Q&gt;ECA^FG_COMPANY_NAME&lt;/Q&gt;&lt;R&gt;1&lt;/R&gt;&lt;C&gt;1&lt;/C&gt;&lt;D xsi:type="xsd:string"&gt;Encana Corporation&lt;/D&gt;&lt;/FQL&gt;&lt;FQL&gt;&lt;Q&gt;CDEV^FE_TIMESERIES(PROD_DAY_OIL_ONLY,MEAN,2019/1F,2019/4F,FQ,'BKRACTMED=1,WIN=0,DATE=NOW')&lt;/Q&gt;&lt;R&gt;4&lt;/R&gt;&lt;C&gt;1&lt;/C&gt;&lt;D xsi:type="xsd:double"&gt;47.329887&lt;/D&gt;&lt;D xsi:type="xsd:double"&gt;50.808754&lt;/D&gt;&lt;D xsi:type="xsd:double"&gt;54.176132&lt;/D&gt;&lt;D xsi:type="xsd:double"&gt;57.54589&lt;/D&gt;&lt;/FQL&gt;&lt;FQL&gt;&lt;Q&gt;CDEV^FE_TIMESERIES(PROD_DAY_OIL_ONLY,MEAN,2018/1F,2018/4F,FQ,'BKRACTMED=1,WIN=0,DATE=NOW')&lt;/Q&gt;&lt;R&gt;4&lt;/R&gt;&lt;C&gt;1&lt;/C&gt;&lt;D xsi:type="xsd:double"&gt;30.077675&lt;/D&gt;&lt;D xsi:type="xsd:double"&gt;34.157692&lt;/D&gt;&lt;D xsi:type="xsd:double"&gt;38.52926&lt;/D&gt;&lt;D xsi:type="xsd:double"&gt;42.700607&lt;/D&gt;&lt;/FQL&gt;&lt;FQL&gt;&lt;Q&gt;EGN^FE_TIMESERIES(PROD_DAY_OIL_ONLY,MEAN,2019/1F,2019/4F,FQ,'BKRACTMED=1,WIN=0,DATE=NOW')&lt;/Q&gt;&lt;R&gt;4&lt;/R&gt;&lt;C&gt;1&lt;/C&gt;&lt;D xsi:type="xsd:double"&gt;72.48568&lt;/D&gt;&lt;D xsi:type="xsd:double"&gt;75.37802&lt;/D&gt;&lt;D xsi:type="xsd:double"&gt;79.567314&lt;/D&gt;&lt;D xsi:type="xsd:double"&gt;84.39408&lt;/D&gt;&lt;/FQL&gt;&lt;FQL&gt;&lt;Q&gt;EGN^FE_TIMESERIES(PROD_DAY_OIL_ONLY,MEAN,2018/1F,2018/4F,FQ,'BKRACTMED=1,WIN=0,DATE=NOW')&lt;/Q&gt;&lt;R&gt;4&lt;/R&gt;&lt;C&gt;1&lt;/C&gt;&lt;D xsi:type="xsd:double"&gt;54.303078&lt;/D&gt;&lt;D xsi:type="xsd:double"&gt;54.994812&lt;/D&gt;&lt;D xsi:type="xsd:double"&gt;57.820843&lt;/D&gt;&lt;D xsi:type="xsd:double"&gt;67.08154&lt;/D&gt;&lt;/FQL&gt;&lt;FQL&gt;&lt;Q&gt;EGN^FF_OG_PROD_DAY(QTR_R_OIL_BOE,12/2017)&lt;/Q&gt;&lt;R&gt;1&lt;/R&gt;&lt;C&gt;1&lt;/C&gt;&lt;D xsi:type="xsd:double"&gt;58.1&lt;/D&gt;&lt;/FQL&gt;&lt;FQL&gt;&lt;Q&gt;JAG^FE_TIMESERIES(PROD_DAY_OIL_ONLY,MEAN,2019/1F,2019/4F,FQ,'BKRACTMED=1,WIN=0,DATE=NOW')&lt;/Q&gt;&lt;R&gt;4&lt;/R&gt;&lt;C&gt;1&lt;/C&gt;&lt;D xsi:type="xsd:double"&gt;31.212936&lt;/D&gt;&lt;D xsi:type="xsd:double"&gt;34.00975&lt;/D&gt;&lt;D xsi:type="xsd:double"&gt;36.575874&lt;/D&gt;&lt;D xsi:type="xsd:double"&gt;38.91416&lt;/D&gt;&lt;/FQL&gt;&lt;FQL&gt;&lt;Q&gt;JAG^FE_TIMESERIES(PROD_DAY_OIL_ONLY,MEAN,2018/1F,2018/4F,FQ,'BKRACTMED=1,WIN=0,DATE=NOW')&lt;/Q&gt;&lt;R&gt;4&lt;/R&gt;&lt;C&gt;1&lt;/C&gt;&lt;D xsi:type="xsd:double"&gt;21.94986&lt;/D&gt;&lt;D xsi:type="xsd:double"&gt;24.18767&lt;/D&gt;&lt;D xsi:type="xsd:double"&gt;26.26213&lt;/D&gt;&lt;D xsi:type="xsd:double"&gt;28.40454&lt;/D&gt;&lt;/FQL&gt;&lt;FQL&gt;&lt;Q&gt;JAG^FF_OG_PROD_DAY(QTR_R_OIL_BOE,12/2017)&lt;/Q&gt;&lt;R&gt;1&lt;/R&gt;&lt;C&gt;1&lt;/C&gt;&lt;D xsi:type="xsd:double"&gt;19.2296&lt;/D&gt;&lt;/FQL&gt;&lt;FQL&gt;&lt;Q&gt;EOG^FE_TIMESERIES(PROD_DAY_OIL_ONLY,MEAN,2018/1F,2018/4F,FQ,'BKRACTMED=1,WIN=0,DATE=NOW')&lt;/Q&gt;&lt;R&gt;4&lt;/R&gt;&lt;C&gt;1&lt;/C&gt;&lt;D xsi:type="xsd:double"&gt;362.37268&lt;/D&gt;&lt;D xsi:type="xsd:double"&gt;382.92773&lt;/D&gt;&lt;D xsi:type="xsd:double"&gt;406.64093&lt;/D&gt;&lt;D xsi:type="xsd:double"&gt;427.72568&lt;/D&gt;&lt;/FQL&gt;&lt;FQL&gt;&lt;Q&gt;EOG^FF_OG_PROD_DAY(QTR_R_OIL_BOE,12/2017)&lt;/Q&gt;&lt;R&gt;1&lt;/R&gt;&lt;C&gt;1&lt;/C&gt;&lt;D xsi:type="xsd:double"&gt;368.1&lt;/D&gt;&lt;/FQL&gt;&lt;FQL&gt;&lt;Q&gt;EOG^FG_COMPANY_NAME&lt;/Q&gt;&lt;R&gt;1&lt;/R&gt;&lt;C&gt;1&lt;/C&gt;&lt;D xsi:type="xsd:string"&gt;EOG Resources, Inc.&lt;/D&gt;&lt;/FQL&gt;&lt;FQL&gt;&lt;Q&gt;CXO^FE_TIMESERIES(PROD_DAY_OIL_ONLY,MEAN,2018/1F,2018/4F,FQ,'BKRACTMED=1,WIN=0,DATE=NOW')&lt;/Q&gt;&lt;R&gt;4&lt;/R&gt;&lt;C&gt;1&lt;/C&gt;&lt;D xsi:type="xsd:double"&gt;134.67647&lt;/D&gt;&lt;D xsi:type="xsd:double"&gt;140.87189&lt;/D&gt;&lt;D xsi:type="xsd:double"&gt;149.82687&lt;/D&gt;&lt;D xsi:type="xsd:double"&gt;155.6376&lt;/D&gt;&lt;/FQL&gt;&lt;FQL&gt;&lt;Q&gt;CXO^FF_OG_PROD_DAY(QTR_R_OIL_BOE,12/2017)&lt;/Q&gt;&lt;R&gt;1&lt;/R&gt;&lt;C&gt;1&lt;/C&gt;&lt;D xsi:type="xsd:double"&gt;129.837&lt;/D&gt;&lt;/FQL&gt;&lt;FQL&gt;&lt;Q&gt;CXO^FG_COMPANY_NAME&lt;/Q&gt;&lt;R&gt;1&lt;/R&gt;&lt;C&gt;1&lt;/C&gt;&lt;D xsi:type="xsd:string"&gt;Concho Resources Inc.&lt;/D&gt;&lt;/FQL&gt;&lt;FQL&gt;&lt;Q&gt;MTDR^FE_TIMESERIES(PROD_DAY_OIL_ONLY,MEAN,2018/1F,2018/4F,FQ,'BKRACTMED=1,WIN=0,DATE=NOW')&lt;/Q&gt;&lt;R&gt;4&lt;/R&gt;&lt;C&gt;1&lt;/C&gt;&lt;D xsi:type="xsd:double"&gt;24.95332&lt;/D&gt;&lt;D xsi:type="xsd:double"&gt;26.444233&lt;/D&gt;&lt;D xsi:type="xsd:double"&gt;27.960934&lt;/D&gt;&lt;D xsi:type="xsd:double"&gt;29.46432&lt;/D&gt;&lt;/FQL&gt;&lt;FQL&gt;&lt;Q&gt;MTDR^FF_OG_PROD_DAY(QTR_R_OIL_BOE,12/2017)&lt;/Q&gt;&lt;R&gt;1&lt;/R&gt;&lt;C&gt;1&lt;/C&gt;&lt;D xsi:type="xsd:double"&gt;24.665&lt;/D&gt;&lt;/FQL&gt;&lt;FQL&gt;&lt;Q&gt;MTDR^FG_COMPANY_NAME&lt;/Q&gt;&lt;R&gt;1&lt;/R&gt;&lt;C&gt;1&lt;/C&gt;&lt;D xsi:type="xsd:string"&gt;Matador Resources Company&lt;/D&gt;&lt;/FQL&gt;&lt;FQL&gt;&lt;Q&gt;OXY^FE_TIMESERIES(PROD_DAY_OIL_ONLY,MEAN,2018/1F,2018/4F,FQ,'BKRACTMED=1,WIN=0,DATE=NOW')&lt;/Q&gt;&lt;R&gt;4&lt;/R&gt;&lt;C&gt;1&lt;/C&gt;&lt;D xsi:type="xsd:double"&gt;389.0965&lt;/D&gt;&lt;D xsi:type="xsd:double"&gt;410.095&lt;/D&gt;&lt;D xsi:type="xsd:double"&gt;427.937&lt;/D&gt;&lt;D xsi:type="xsd:double"&gt;438.84583&lt;/D&gt;&lt;/FQL&gt;&lt;FQL&gt;&lt;Q&gt;OXY^FF_OG_PROD_DAY(QTR_R_OIL_BOE,12/2017)&lt;/Q&gt;&lt;R&gt;1&lt;/R&gt;&lt;C&gt;1&lt;/C&gt;&lt;D xsi:type="xsd:double"&gt;396&lt;/D&gt;&lt;/FQL&gt;&lt;FQL&gt;&lt;Q&gt;OXY^FG_COMPANY_NAME&lt;/Q&gt;&lt;R&gt;1&lt;/R&gt;&lt;C&gt;1&lt;/C&gt;&lt;D xsi:type="xsd:string"&gt;Occidental Petroleum Corporation&lt;/D&gt;&lt;/FQL&gt;&lt;FQL&gt;&lt;Q&gt;FANG^FF_OG_PROD_DAY(QTR_R_OIL_BOE,12/2017)&lt;/Q&gt;&lt;R&gt;1&lt;/R&gt;&lt;C&gt;1&lt;/C&gt;&lt;D xsi:type="xsd:double"&gt;68.7253&lt;/D&gt;&lt;/FQL&gt;&lt;FQL&gt;&lt;Q&gt;FANG^FG_COMPANY_NAME&lt;/Q&gt;&lt;R&gt;1&lt;/R&gt;&lt;C&gt;1&lt;/C&gt;&lt;D xsi:type="xsd:string"&gt;Diamondback Energy, Inc.&lt;/D&gt;&lt;/FQL&gt;&lt;/Schema&gt;</t>
        </r>
      </text>
    </comment>
  </commentList>
</comments>
</file>

<file path=xl/comments2.xml><?xml version="1.0" encoding="utf-8"?>
<comments xmlns="http://schemas.openxmlformats.org/spreadsheetml/2006/main">
  <authors>
    <author>David Maupin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See Inputs Tab for pricing assumptions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See Inputs Tab for pricing assumptions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manually code eog operating expenses taken from 10-q
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estimate, oxy does not break out</t>
        </r>
      </text>
    </comment>
  </commentList>
</comments>
</file>

<file path=xl/comments3.xml><?xml version="1.0" encoding="utf-8"?>
<comments xmlns="http://schemas.openxmlformats.org/spreadsheetml/2006/main">
  <authors>
    <author>David Maupin</author>
  </authors>
  <commentList>
    <comment ref="C26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guidance taken from investor presentation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used rystad energy number
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mboe/d</t>
        </r>
      </text>
    </comment>
  </commentList>
</comments>
</file>

<file path=xl/comments4.xml><?xml version="1.0" encoding="utf-8"?>
<comments xmlns="http://schemas.openxmlformats.org/spreadsheetml/2006/main">
  <authors>
    <author>David Maupin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See Inputs Tab for pricing assumptions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See Inputs Tab for pricing assumptions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 costs</t>
        </r>
      </text>
    </comment>
    <comment ref="I10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INCLUDE G&amp;T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manually code eog operating expenses taken from 10-q
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
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
</t>
        </r>
      </text>
    </comment>
    <comment ref="I18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add transportation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NEED TO INCLUDE GATHERING AND TRANSPORTATION
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</t>
        </r>
      </text>
    </comment>
    <comment ref="I24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estimate, oxy does not break out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NEED TO INCLUDE GATHERING AND TRANSPORTATION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 AND OTHER GATHERING</t>
        </r>
      </text>
    </comment>
    <comment ref="I32" authorId="0">
      <text>
        <r>
          <rPr>
            <b/>
            <sz val="9"/>
            <color indexed="81"/>
            <rFont val="Tahoma"/>
            <family val="2"/>
          </rPr>
          <t>David Maupin:</t>
        </r>
        <r>
          <rPr>
            <sz val="9"/>
            <color indexed="81"/>
            <rFont val="Tahoma"/>
            <family val="2"/>
          </rPr>
          <t xml:space="preserve">
manual input from 10Q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David Maupin:</t>
        </r>
        <r>
          <rPr>
            <sz val="9"/>
            <color indexed="81"/>
            <rFont val="Tahoma"/>
            <charset val="1"/>
          </rPr>
          <t xml:space="preserve">
ADD TRANSPORTATION EXPENSE
</t>
        </r>
      </text>
    </comment>
  </commentList>
</comments>
</file>

<file path=xl/sharedStrings.xml><?xml version="1.0" encoding="utf-8"?>
<sst xmlns="http://schemas.openxmlformats.org/spreadsheetml/2006/main" count="397" uniqueCount="104">
  <si>
    <t>Ticker</t>
  </si>
  <si>
    <t>Company Name</t>
  </si>
  <si>
    <t>MRO</t>
  </si>
  <si>
    <t>EPE</t>
  </si>
  <si>
    <t>XEC</t>
  </si>
  <si>
    <t>QEP</t>
  </si>
  <si>
    <t>ECA</t>
  </si>
  <si>
    <t>CXO</t>
  </si>
  <si>
    <t>FANG</t>
  </si>
  <si>
    <t>EGN</t>
  </si>
  <si>
    <t>LPI</t>
  </si>
  <si>
    <t>PE</t>
  </si>
  <si>
    <t>RSPP</t>
  </si>
  <si>
    <t>NBL</t>
  </si>
  <si>
    <t>WPX</t>
  </si>
  <si>
    <t>PXD</t>
  </si>
  <si>
    <t>MTDR</t>
  </si>
  <si>
    <t>CRZO</t>
  </si>
  <si>
    <t>SM</t>
  </si>
  <si>
    <t>PDCE</t>
  </si>
  <si>
    <t>CPE</t>
  </si>
  <si>
    <t>HK</t>
  </si>
  <si>
    <t>Stock Price
$/Share</t>
  </si>
  <si>
    <t>52 Wk High</t>
  </si>
  <si>
    <t>Market Cap $MM</t>
  </si>
  <si>
    <t>Latest Qtr Total Cash $MM</t>
  </si>
  <si>
    <t>Latest Qtr Total Debt $MM</t>
  </si>
  <si>
    <t>Month</t>
  </si>
  <si>
    <t>Day</t>
  </si>
  <si>
    <t>Year</t>
  </si>
  <si>
    <t>Date</t>
  </si>
  <si>
    <t>Formal Date</t>
  </si>
  <si>
    <t>Full Date</t>
  </si>
  <si>
    <t>Day of Week</t>
  </si>
  <si>
    <t>Latest Qtr MBOE Production (Mboed)</t>
  </si>
  <si>
    <t>This sheet contains FactSet XML data for use with this workbook's =FDS codes.  Modifying the worksheet's contents may damage the workbook's =FDS functionality.</t>
  </si>
  <si>
    <t>JAG</t>
  </si>
  <si>
    <t>CDEV</t>
  </si>
  <si>
    <t>EOG</t>
  </si>
  <si>
    <t>APA</t>
  </si>
  <si>
    <t>AREX</t>
  </si>
  <si>
    <t>REN</t>
  </si>
  <si>
    <t>ESTE</t>
  </si>
  <si>
    <t>OXY</t>
  </si>
  <si>
    <t>Pricing Assumptions</t>
  </si>
  <si>
    <t>Oil</t>
  </si>
  <si>
    <t>Gas</t>
  </si>
  <si>
    <t>Liquids</t>
  </si>
  <si>
    <t>Latest Qtr Oil Production     (Mbbl/d)</t>
  </si>
  <si>
    <t>Latest Qtr MMcf Production (MMcf/d)</t>
  </si>
  <si>
    <t>Latest Qtr Liquids Production      (Mbbl/d)</t>
  </si>
  <si>
    <t xml:space="preserve">Number of Days </t>
  </si>
  <si>
    <t>Current Quarter Fiscal Days</t>
  </si>
  <si>
    <t xml:space="preserve">Estimated Revenue Per BOE (Current Strip Pricing) </t>
  </si>
  <si>
    <t xml:space="preserve">Estimated Revenue (Current Strip Pricing) ($M) </t>
  </si>
  <si>
    <t>Depreciation</t>
  </si>
  <si>
    <t>Operating Expenses (Includes Prod/Adv Tax) Per BOE</t>
  </si>
  <si>
    <t>Selling, General &amp; Admin. Expenses</t>
  </si>
  <si>
    <t>Net Back (Exc. Depreciation)</t>
  </si>
  <si>
    <t>Net Back With Depreciation</t>
  </si>
  <si>
    <t>Previous Qtr Oil Production     (Mbbl/d)</t>
  </si>
  <si>
    <t>Net Acreage (M) Sourced From 10-K</t>
  </si>
  <si>
    <t>Gross Acreage (M) Sourced From 10-k</t>
  </si>
  <si>
    <t>Other Date Inputs</t>
  </si>
  <si>
    <t>Previous Quarter</t>
  </si>
  <si>
    <t>Change From Previous Quarter</t>
  </si>
  <si>
    <t>Previous Qtr MMcf Production (MMcf/d)</t>
  </si>
  <si>
    <t>Previous Qtr Liquids Production      (Mbbl/d)</t>
  </si>
  <si>
    <t>Previous Qtr MBOE Production (Mboed)</t>
  </si>
  <si>
    <t>Enterprise Value</t>
  </si>
  <si>
    <t>% off High</t>
  </si>
  <si>
    <t>Short Interest (% of Float)</t>
  </si>
  <si>
    <t>Oil Developed Proved Reserves (MMboe)</t>
  </si>
  <si>
    <t>Gas Developed Proved Reserves (Bcf)</t>
  </si>
  <si>
    <t>NGLs Developed Proved Reserves (MMboe)</t>
  </si>
  <si>
    <t>Oil Undeveloped Proved Reserves (MMboe)</t>
  </si>
  <si>
    <t>Gas Undeveloped Proved Reserves (Bcf)</t>
  </si>
  <si>
    <t>NGLs Undeveloped Proved Reserves (MMboe)</t>
  </si>
  <si>
    <t>Total Proved Reserves</t>
  </si>
  <si>
    <t>Total Proved Undeveloped Reserves</t>
  </si>
  <si>
    <t>Total Proved Developed Reserves</t>
  </si>
  <si>
    <t>% Undeveloped</t>
  </si>
  <si>
    <t>DVN</t>
  </si>
  <si>
    <t>Most Recently Completed Quarter</t>
  </si>
  <si>
    <t>Oil Developed Proved Reserves (MMbo)</t>
  </si>
  <si>
    <t>NGLs Developed Proved Reserves (MMbo)</t>
  </si>
  <si>
    <t>AXAS</t>
  </si>
  <si>
    <t>COP</t>
  </si>
  <si>
    <t>USEG</t>
  </si>
  <si>
    <t>2018 Oil Production Midpoint Guidance (Mbo/d)</t>
  </si>
  <si>
    <t>2018 Mboe Production Midpoint Guidance (Mbo/d)</t>
  </si>
  <si>
    <t>2018 Total Production Guidance (Mboe)</t>
  </si>
  <si>
    <t>2018 Capex Guidance</t>
  </si>
  <si>
    <t>2018 Guidance Date</t>
  </si>
  <si>
    <t>Standardized Measure of Future Net Discounted Cash Flows ($MM)</t>
  </si>
  <si>
    <t xml:space="preserve">                </t>
  </si>
  <si>
    <t>ROSE</t>
  </si>
  <si>
    <t>OAS</t>
  </si>
  <si>
    <t>2018 Hedge Production</t>
  </si>
  <si>
    <t xml:space="preserve">2018 Est. Oil Production </t>
  </si>
  <si>
    <t>Percent Hedge</t>
  </si>
  <si>
    <t>-</t>
  </si>
  <si>
    <t>Est. Average Hedge Price</t>
  </si>
  <si>
    <t>Operating Expenses (Inc. G&amp;t, Prod/Adv Tax) Per 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</si>
</sst>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dddd\,\ mmmm\ d\,\ yyyy"/>
    <numFmt numFmtId="166" formatCode="mmmm\ dd\,\ yyyy"/>
    <numFmt numFmtId="167" formatCode="_(* #,##0_);_(* \(#,##0\);_(* &quot;-&quot;??_);_(@_)"/>
    <numFmt numFmtId="168" formatCode="&quot;$&quot;#,##0.00"/>
    <numFmt numFmtId="169" formatCode="&quot;$&quot;#,##0"/>
    <numFmt numFmtId="170" formatCode="0.0%"/>
    <numFmt numFmtId="171" formatCode="_(&quot;$&quot;* #,##0.0_);_(&quot;$&quot;* \(#,##0.0\);_(&quot;$&quot;* &quot;-&quot;??_);_(@_)"/>
    <numFmt numFmtId="172" formatCode="_(* #,##0.0_);_(* \(#,##0.0\);_(* &quot;-&quot;??_);_(@_)"/>
    <numFmt numFmtId="173" formatCode="_(* #,##0.000_);_(* \(#,##0.000\);_(* &quot;-&quot;??_);_(@_)"/>
    <numFmt numFmtId="174" formatCode="&quot;$&quot;#,##0.0000"/>
    <numFmt numFmtId="177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0"/>
      <color rgb="FF0066CC"/>
      <name val="Arial"/>
      <family val="2"/>
    </font>
    <font>
      <sz val="11"/>
      <color theme="0"/>
      <name val="Arial"/>
      <family val="2"/>
    </font>
    <font>
      <i/>
      <sz val="10"/>
      <color indexed="8"/>
      <name val="Arial"/>
      <family val="2"/>
    </font>
    <font>
      <b/>
      <sz val="10"/>
      <color rgb="FF0066CC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F6FB"/>
        <bgColor indexed="64"/>
      </patternFill>
    </fill>
    <fill>
      <gradientFill degree="90">
        <stop position="0">
          <color theme="0" tint="-5.0965910824915313E-2"/>
        </stop>
        <stop position="1">
          <color theme="0" tint="-0.1490218817712943"/>
        </stop>
      </gradientFill>
    </fill>
    <fill>
      <patternFill patternType="solid">
        <fgColor theme="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/>
      <diagonal/>
    </border>
    <border>
      <left/>
      <right/>
      <top/>
      <bottom style="thin">
        <color rgb="FFC8C8C8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6" fillId="4" borderId="0" applyNumberFormat="0" applyFont="0" applyBorder="0" applyAlignment="0" applyProtection="0"/>
    <xf numFmtId="0" fontId="4" fillId="5" borderId="7" applyNumberFormat="0">
      <alignment horizontal="center" vertical="center" wrapText="1"/>
    </xf>
    <xf numFmtId="0" fontId="7" fillId="6" borderId="0" applyNumberFormat="0" applyFill="0" applyBorder="0" applyAlignment="0" applyProtection="0">
      <alignment horizontal="right"/>
    </xf>
    <xf numFmtId="0" fontId="8" fillId="7" borderId="8">
      <alignment horizontal="right" vertical="center" indent="1"/>
    </xf>
    <xf numFmtId="4" fontId="9" fillId="6" borderId="0" applyNumberFormat="0" applyFill="0" applyBorder="0" applyAlignment="0" applyProtection="0">
      <alignment horizontal="left"/>
    </xf>
    <xf numFmtId="0" fontId="10" fillId="6" borderId="0" applyNumberFormat="0" applyFill="0" applyBorder="0" applyAlignment="0" applyProtection="0">
      <alignment horizontal="right"/>
    </xf>
    <xf numFmtId="0" fontId="6" fillId="6" borderId="8">
      <alignment vertical="center"/>
    </xf>
    <xf numFmtId="0" fontId="11" fillId="0" borderId="0" applyNumberFormat="0" applyFill="0" applyBorder="0" applyAlignment="0" applyProtection="0"/>
    <xf numFmtId="0" fontId="12" fillId="0" borderId="0"/>
  </cellStyleXfs>
  <cellXfs count="62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applyNumberFormat="1" applyFill="1"/>
    <xf numFmtId="0" fontId="15" fillId="8" borderId="0" xfId="0" applyFont="1" applyFill="1"/>
    <xf numFmtId="0" fontId="15" fillId="0" borderId="0" xfId="0" applyNumberFormat="1" applyFont="1" applyFill="1"/>
    <xf numFmtId="167" fontId="15" fillId="0" borderId="0" xfId="1" applyNumberFormat="1" applyFont="1" applyFill="1"/>
    <xf numFmtId="43" fontId="15" fillId="0" borderId="0" xfId="1" applyNumberFormat="1" applyFont="1" applyFill="1"/>
    <xf numFmtId="0" fontId="13" fillId="0" borderId="0" xfId="0" applyFont="1" applyFill="1"/>
    <xf numFmtId="0" fontId="0" fillId="0" borderId="0" xfId="0" applyAlignment="1">
      <alignment horizontal="centerContinuous" vertical="center"/>
    </xf>
    <xf numFmtId="44" fontId="0" fillId="0" borderId="0" xfId="2" applyFont="1"/>
    <xf numFmtId="168" fontId="15" fillId="0" borderId="0" xfId="2" applyNumberFormat="1" applyFont="1" applyFill="1"/>
    <xf numFmtId="168" fontId="0" fillId="0" borderId="0" xfId="2" applyNumberFormat="1" applyFont="1"/>
    <xf numFmtId="169" fontId="15" fillId="0" borderId="0" xfId="2" applyNumberFormat="1" applyFont="1" applyFill="1"/>
    <xf numFmtId="0" fontId="14" fillId="9" borderId="0" xfId="0" applyFont="1" applyFill="1" applyAlignment="1">
      <alignment horizontal="center" wrapText="1"/>
    </xf>
    <xf numFmtId="168" fontId="14" fillId="9" borderId="0" xfId="2" applyNumberFormat="1" applyFont="1" applyFill="1" applyAlignment="1">
      <alignment horizontal="center" wrapText="1"/>
    </xf>
    <xf numFmtId="168" fontId="15" fillId="8" borderId="0" xfId="2" applyNumberFormat="1" applyFont="1" applyFill="1"/>
    <xf numFmtId="164" fontId="13" fillId="0" borderId="0" xfId="0" applyNumberFormat="1" applyFont="1" applyFill="1" applyAlignment="1"/>
    <xf numFmtId="9" fontId="15" fillId="0" borderId="0" xfId="3" applyFont="1" applyFill="1"/>
    <xf numFmtId="170" fontId="15" fillId="0" borderId="0" xfId="3" applyNumberFormat="1" applyFont="1" applyFill="1"/>
    <xf numFmtId="14" fontId="0" fillId="0" borderId="0" xfId="0" applyNumberFormat="1" applyFill="1"/>
    <xf numFmtId="168" fontId="15" fillId="0" borderId="0" xfId="1" applyNumberFormat="1" applyFont="1" applyFill="1"/>
    <xf numFmtId="169" fontId="15" fillId="0" borderId="0" xfId="1" applyNumberFormat="1" applyFont="1" applyFill="1"/>
    <xf numFmtId="9" fontId="15" fillId="0" borderId="0" xfId="3" applyNumberFormat="1" applyFont="1" applyFill="1"/>
    <xf numFmtId="43" fontId="0" fillId="0" borderId="0" xfId="1" applyFont="1"/>
    <xf numFmtId="43" fontId="0" fillId="0" borderId="0" xfId="0" applyNumberFormat="1"/>
    <xf numFmtId="17" fontId="0" fillId="0" borderId="0" xfId="0" applyNumberFormat="1" applyFill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 applyNumberFormat="1" applyFont="1" applyFill="1"/>
    <xf numFmtId="16" fontId="0" fillId="0" borderId="0" xfId="0" applyNumberFormat="1"/>
    <xf numFmtId="43" fontId="15" fillId="0" borderId="0" xfId="1" applyNumberFormat="1" applyFont="1" applyFill="1" applyAlignment="1">
      <alignment horizontal="center"/>
    </xf>
    <xf numFmtId="43" fontId="0" fillId="0" borderId="0" xfId="0" applyNumberFormat="1" applyFill="1"/>
    <xf numFmtId="9" fontId="0" fillId="0" borderId="0" xfId="3" applyFont="1"/>
    <xf numFmtId="0" fontId="0" fillId="2" borderId="0" xfId="0" applyFill="1"/>
    <xf numFmtId="171" fontId="0" fillId="0" borderId="0" xfId="2" applyNumberFormat="1" applyFont="1"/>
    <xf numFmtId="44" fontId="0" fillId="0" borderId="0" xfId="0" applyNumberFormat="1"/>
    <xf numFmtId="9" fontId="0" fillId="0" borderId="0" xfId="3" applyFont="1" applyFill="1"/>
    <xf numFmtId="168" fontId="0" fillId="0" borderId="0" xfId="2" applyNumberFormat="1" applyFont="1" applyFill="1"/>
    <xf numFmtId="172" fontId="15" fillId="0" borderId="0" xfId="1" applyNumberFormat="1" applyFont="1" applyFill="1"/>
    <xf numFmtId="173" fontId="15" fillId="0" borderId="0" xfId="1" applyNumberFormat="1" applyFont="1" applyFill="1"/>
    <xf numFmtId="174" fontId="0" fillId="0" borderId="0" xfId="2" applyNumberFormat="1" applyFont="1"/>
    <xf numFmtId="164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166" fontId="13" fillId="0" borderId="0" xfId="0" applyNumberFormat="1" applyFont="1" applyFill="1" applyAlignment="1">
      <alignment horizontal="center"/>
    </xf>
    <xf numFmtId="165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2" fontId="12" fillId="0" borderId="0" xfId="0" applyNumberFormat="1" applyFont="1" applyFill="1" applyBorder="1" applyAlignment="1" applyProtection="1"/>
    <xf numFmtId="14" fontId="0" fillId="0" borderId="0" xfId="0" applyNumberFormat="1" applyFont="1" applyFill="1"/>
    <xf numFmtId="14" fontId="0" fillId="0" borderId="0" xfId="0" applyNumberFormat="1"/>
    <xf numFmtId="177" fontId="14" fillId="9" borderId="0" xfId="0" applyNumberFormat="1" applyFont="1" applyFill="1" applyAlignment="1">
      <alignment horizontal="center" wrapText="1"/>
    </xf>
  </cellXfs>
  <cellStyles count="14">
    <cellStyle name="Background" xfId="5"/>
    <cellStyle name="Column top" xfId="6"/>
    <cellStyle name="Comma" xfId="1" builtinId="3"/>
    <cellStyle name="Currency" xfId="2" builtinId="4"/>
    <cellStyle name="DataOutput" xfId="7"/>
    <cellStyle name="FactSet header" xfId="8"/>
    <cellStyle name="Hyperlink" xfId="12" builtinId="8" customBuiltin="1"/>
    <cellStyle name="KeyDataCalculated" xfId="9"/>
    <cellStyle name="KeyDataOutput" xfId="10"/>
    <cellStyle name="Normal" xfId="0" builtinId="0"/>
    <cellStyle name="Normal 2" xfId="4"/>
    <cellStyle name="Normal 2 2" xfId="13"/>
    <cellStyle name="Percent" xfId="3" builtinId="5"/>
    <cellStyle name="Ticker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3x/Desktop/Accretion%20Di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AccDil"/>
      <sheetName val="Summary"/>
      <sheetName val="Inputs"/>
    </sheetNames>
    <sheetDataSet>
      <sheetData sheetId="0"/>
      <sheetData sheetId="1">
        <row r="2">
          <cell r="G2" t="str">
            <v>MRO-US</v>
          </cell>
          <cell r="K2" t="str">
            <v>YHOO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B1" t="s">
        <v>35</v>
      </c>
    </row>
    <row r="2" spans="1:2" x14ac:dyDescent="0.25"/>
    <row r="3" spans="1:2" x14ac:dyDescent="0.25"/>
    <row r="4" spans="1:2" x14ac:dyDescent="0.25"/>
    <row r="5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showGridLines="0" zoomScale="85" zoomScaleNormal="85" workbookViewId="0">
      <pane xSplit="2" ySplit="1" topLeftCell="C2" activePane="bottomRight" state="frozen"/>
      <selection activeCell="C37" sqref="C37"/>
      <selection pane="topRight" activeCell="C37" sqref="C37"/>
      <selection pane="bottomLeft" activeCell="C37" sqref="C37"/>
      <selection pane="bottomRight" activeCell="C2" sqref="C2"/>
    </sheetView>
  </sheetViews>
  <sheetFormatPr defaultRowHeight="15" x14ac:dyDescent="0.25"/>
  <cols>
    <col min="1" max="1" width="11.28515625" style="8" customWidth="1"/>
    <col min="2" max="2" width="34" style="9" customWidth="1"/>
    <col min="3" max="3" width="20.5703125" style="10" customWidth="1"/>
    <col min="4" max="4" width="16.7109375" style="10" bestFit="1" customWidth="1"/>
    <col min="5" max="5" width="18.85546875" style="10" customWidth="1"/>
    <col min="6" max="6" width="18.28515625" style="10" customWidth="1"/>
    <col min="7" max="7" width="20.5703125" style="1" customWidth="1"/>
    <col min="8" max="8" width="26.140625" style="20" customWidth="1"/>
    <col min="9" max="9" width="25.140625" style="1" customWidth="1"/>
    <col min="10" max="10" width="15.7109375" style="1" customWidth="1"/>
    <col min="11" max="11" width="20.7109375" style="1" customWidth="1"/>
    <col min="12" max="13" width="19.28515625" style="1" customWidth="1"/>
    <col min="14" max="16384" width="9.140625" style="1"/>
  </cols>
  <sheetData>
    <row r="1" spans="1:16" ht="67.5" customHeight="1" x14ac:dyDescent="0.25">
      <c r="A1" s="22" t="s">
        <v>0</v>
      </c>
      <c r="B1" s="22" t="s">
        <v>1</v>
      </c>
      <c r="C1" s="22" t="s">
        <v>48</v>
      </c>
      <c r="D1" s="22" t="s">
        <v>49</v>
      </c>
      <c r="E1" s="22" t="s">
        <v>50</v>
      </c>
      <c r="F1" s="22" t="s">
        <v>34</v>
      </c>
      <c r="G1" s="22" t="s">
        <v>54</v>
      </c>
      <c r="H1" s="23" t="s">
        <v>53</v>
      </c>
      <c r="I1" s="22" t="s">
        <v>56</v>
      </c>
      <c r="J1" s="22" t="s">
        <v>55</v>
      </c>
      <c r="K1" s="22" t="s">
        <v>57</v>
      </c>
      <c r="L1" s="22" t="s">
        <v>58</v>
      </c>
      <c r="M1" s="22" t="s">
        <v>59</v>
      </c>
    </row>
    <row r="2" spans="1:16" ht="18.75" x14ac:dyDescent="0.3">
      <c r="A2" s="12" t="s">
        <v>39</v>
      </c>
      <c r="B2" s="13" t="str">
        <f>_xll.FDS($A2,"FG_COMPANY_NAME")</f>
        <v>Apache Corporation</v>
      </c>
      <c r="C2" s="14">
        <f>IFERROR(IFERROR(_xll.FDS($A2,"FF_OG_PROD_DAY(QTR_R_OIL_BOE,"&amp;Current_Quarter&amp;")"),_xll.FDS($A2,"FF_OG_PROD_TOT_NET(QTR_R_OIL_BOE,"&amp;Current_Quarter&amp;")")/Inputs!$C$20),0)</f>
        <v>242.58</v>
      </c>
      <c r="D2" s="15">
        <f>IFERROR(IFERROR(_xll.FDS($A2,"FF_OG_PROD_DAY(QTR_R_NG_CFE,"&amp;Current_Quarter&amp;")")/1000,_xll.FDS($A2,"FF_OG_PROD_TOT_NET(QTR_R_NG_CFE,"&amp;Current_Quarter&amp;")")/1000/Inputs!$C$20),0)</f>
        <v>870.95600000000002</v>
      </c>
      <c r="E2" s="15">
        <f>IFERROR(IFERROR(_xll.FDS($A2,"FF_OG_PROD_DAY(QTR_R_NGL_BOE,"&amp;Current_Quarter&amp;")"),_xll.FDS($A2,"FF_OG_PROD_TOT_NET(QTR_R_NGL_BOE,"&amp;Current_Quarter&amp;")")/Inputs!$C$20),0)</f>
        <v>52.462000000000003</v>
      </c>
      <c r="F2" s="14">
        <f>+C2+D2/6+E2</f>
        <v>440.20133333333331</v>
      </c>
      <c r="G2" s="21">
        <f>(C2*Inputs!$C$15+D2*Inputs!$C$16+E2*Inputs!$C$17)*Inputs!$C$20</f>
        <v>1714567.5680000002</v>
      </c>
      <c r="H2" s="19">
        <f>+G2/(F2*92)</f>
        <v>42.336546004706946</v>
      </c>
      <c r="I2" s="19">
        <f>_xll.FDS($A2,"FF_OG_PROD_EXP(QTR_R,"&amp;Current_Quarter&amp;")")/($F2*Inputs!$C$20/1000)</f>
        <v>9.0867512138385163</v>
      </c>
      <c r="J2" s="19">
        <f>_xll.FDS($A2,"FF_DEP_AMORT_EXP(QTR_R,"&amp;Current_Quarter&amp;")")/($F2*Inputs!$C$20/1000)</f>
        <v>16.766043679881392</v>
      </c>
      <c r="K2" s="19">
        <f>_xll.FDS($A2,"FF_SGA(QTR_R,"&amp;Current_Quarter&amp;")")/($F2*Inputs!$C$20/1000)</f>
        <v>2.1729187685266016</v>
      </c>
      <c r="L2" s="19">
        <f>+H2-I2-K2</f>
        <v>31.076876022341828</v>
      </c>
      <c r="M2" s="19">
        <f>+H2-I2-J2-K2</f>
        <v>14.310832342460435</v>
      </c>
      <c r="N2" s="14"/>
      <c r="O2" s="11"/>
      <c r="P2" s="11"/>
    </row>
    <row r="3" spans="1:16" ht="18.75" x14ac:dyDescent="0.3">
      <c r="A3" s="12" t="s">
        <v>40</v>
      </c>
      <c r="B3" s="13" t="str">
        <f>_xll.FDS($A3,"FG_COMPANY_NAME")</f>
        <v>Approach Resources Inc.</v>
      </c>
      <c r="C3" s="14">
        <f>IFERROR(IFERROR(_xll.FDS($A3,"FF_OG_PROD_DAY(QTR_R_OIL_BOE,"&amp;Current_Quarter&amp;")"),_xll.FDS($A3,"FF_OG_PROD_TOT_NET(QTR_R_OIL_BOE,"&amp;Current_Quarter&amp;")")/Inputs!$C$20),0)</f>
        <v>2.9</v>
      </c>
      <c r="D3" s="15">
        <f>IFERROR(IFERROR(_xll.FDS($A3,"FF_OG_PROD_DAY(QTR_R_NG_CFE,"&amp;Current_Quarter&amp;")")/1000,_xll.FDS($A3,"FF_OG_PROD_TOT_NET(QTR_R_NG_CFE,"&amp;Current_Quarter&amp;")")/1000/Inputs!$C$20),0)</f>
        <v>27.143999999999998</v>
      </c>
      <c r="E3" s="15">
        <f>IFERROR(IFERROR(_xll.FDS($A3,"FF_OG_PROD_DAY(QTR_R_NGL_BOE,"&amp;Current_Quarter&amp;")"),_xll.FDS($A3,"FF_OG_PROD_TOT_NET(QTR_R_NGL_BOE,"&amp;Current_Quarter&amp;")")/Inputs!$C$20),0)</f>
        <v>4.1760000000000002</v>
      </c>
      <c r="F3" s="14">
        <f>+C3+D3/6+E3</f>
        <v>11.6</v>
      </c>
      <c r="G3" s="21">
        <f>(C3*Inputs!$C$15+D3*Inputs!$C$16+E3*Inputs!$C$17)*Inputs!$C$20</f>
        <v>34257.120000000003</v>
      </c>
      <c r="H3" s="19">
        <f>+G3/(F3*92)</f>
        <v>32.1</v>
      </c>
      <c r="I3" s="19">
        <f>_xll.FDS($A3,"FF_OG_PROD_EXP(QTR_R,"&amp;Current_Quarter&amp;")")/($F3*Inputs!$C$20/1000)</f>
        <v>6.8356446776611683</v>
      </c>
      <c r="J3" s="19">
        <f>_xll.FDS($A3,"FF_DEP_AMORT_EXP(QTR_R,"&amp;Current_Quarter&amp;")")/($F3*Inputs!$C$20/1000)</f>
        <v>15.154610194902546</v>
      </c>
      <c r="K3" s="19">
        <f>_xll.FDS($A3,"FF_SGA(QTR_R,"&amp;Current_Quarter&amp;")")/($F3*Inputs!$C$20/1000)</f>
        <v>5.145239880059969</v>
      </c>
      <c r="L3" s="19">
        <f>+H3-I3-K3</f>
        <v>20.119115442278865</v>
      </c>
      <c r="M3" s="19">
        <f>+H3-I3-J3-K3</f>
        <v>4.9645052473763185</v>
      </c>
      <c r="N3" s="14"/>
      <c r="O3" s="11"/>
      <c r="P3" s="11"/>
    </row>
    <row r="4" spans="1:16" ht="18.75" x14ac:dyDescent="0.3">
      <c r="A4" s="12" t="s">
        <v>86</v>
      </c>
      <c r="B4" s="13" t="str">
        <f>_xll.FDS($A4,"FG_COMPANY_NAME")</f>
        <v>Abraxas Petroleum Corporation</v>
      </c>
      <c r="C4" s="14">
        <f>IFERROR(IFERROR(_xll.FDS($A4,"FF_OG_PROD_DAY(QTR_R_OIL_BOE,"&amp;Current_Quarter&amp;")"),_xll.FDS($A4,"FF_OG_PROD_TOT_NET(QTR_R_OIL_BOE,"&amp;Current_Quarter&amp;")")/Inputs!$C$20),0)</f>
        <v>5.3250000000000002</v>
      </c>
      <c r="D4" s="15">
        <f>IFERROR(IFERROR(_xll.FDS($A4,"FF_OG_PROD_DAY(QTR_R_NG_CFE,"&amp;Current_Quarter&amp;")")/1000,_xll.FDS($A4,"FF_OG_PROD_TOT_NET(QTR_R_NG_CFE,"&amp;Current_Quarter&amp;")")/1000/Inputs!$C$20),0)</f>
        <v>12.334</v>
      </c>
      <c r="E4" s="15">
        <f>IFERROR(IFERROR(_xll.FDS($A4,"FF_OG_PROD_DAY(QTR_R_NGL_BOE,"&amp;Current_Quarter&amp;")"),_xll.FDS($A4,"FF_OG_PROD_TOT_NET(QTR_R_NGL_BOE,"&amp;Current_Quarter&amp;")")/Inputs!$C$20),0)</f>
        <v>1.407</v>
      </c>
      <c r="F4" s="14">
        <f>+C4+D4/6+E4</f>
        <v>8.7876666666666665</v>
      </c>
      <c r="G4" s="21">
        <f>(C4*Inputs!$C$15+D4*Inputs!$C$16+E4*Inputs!$C$17)*Inputs!$C$20</f>
        <v>36422.616000000002</v>
      </c>
      <c r="H4" s="19">
        <f>+G4/(F4*92)</f>
        <v>45.051549520160833</v>
      </c>
      <c r="I4" s="19">
        <f>_xll.FDS($A4,"FF_OG_PROD_EXP(QTR_R,"&amp;Current_Quarter&amp;")")/($F4*Inputs!$C$20/1000)</f>
        <v>7.389308797408753</v>
      </c>
      <c r="J4" s="19">
        <f>_xll.FDS($A4,"FF_DEP_AMORT_EXP(QTR_R,"&amp;Current_Quarter&amp;")")/($F4*Inputs!$C$20/1000)</f>
        <v>10.727732708390711</v>
      </c>
      <c r="K4" s="19">
        <f>_xll.FDS($A4,"FF_SGA(QTR_R,"&amp;Current_Quarter&amp;")")/($F4*Inputs!$C$20/1000)</f>
        <v>6.9069133452846456</v>
      </c>
      <c r="L4" s="19">
        <f>+H4-I4-K4</f>
        <v>30.755327377467435</v>
      </c>
      <c r="M4" s="19">
        <f>+H4-I4-J4-K4</f>
        <v>20.027594669076723</v>
      </c>
      <c r="N4" s="14"/>
      <c r="O4" s="11"/>
      <c r="P4" s="11"/>
    </row>
    <row r="5" spans="1:16" ht="18.75" x14ac:dyDescent="0.3">
      <c r="A5" s="12" t="s">
        <v>37</v>
      </c>
      <c r="B5" s="13" t="str">
        <f>_xll.FDS($A5,"FG_COMPANY_NAME")</f>
        <v>Centennial Resource Development, Inc. Class A</v>
      </c>
      <c r="C5" s="14">
        <f>IFERROR(IFERROR(_xll.FDS($A5,"FF_OG_PROD_DAY(QTR_R_OIL_BOE,"&amp;Current_Quarter&amp;")"),_xll.FDS($A5,"FF_OG_PROD_TOT_NET(QTR_R_OIL_BOE,"&amp;Current_Quarter&amp;")")/Inputs!$C$20),0)</f>
        <v>27.402000000000001</v>
      </c>
      <c r="D5" s="15">
        <f>IFERROR(IFERROR(_xll.FDS($A5,"FF_OG_PROD_DAY(QTR_R_NG_CFE,"&amp;Current_Quarter&amp;")")/1000,_xll.FDS($A5,"FF_OG_PROD_TOT_NET(QTR_R_NG_CFE,"&amp;Current_Quarter&amp;")")/1000/Inputs!$C$20),0)</f>
        <v>63.216999999999999</v>
      </c>
      <c r="E5" s="15">
        <f>IFERROR(IFERROR(_xll.FDS($A5,"FF_OG_PROD_DAY(QTR_R_NGL_BOE,"&amp;Current_Quarter&amp;")"),_xll.FDS($A5,"FF_OG_PROD_TOT_NET(QTR_R_NGL_BOE,"&amp;Current_Quarter&amp;")")/Inputs!$C$20),0)</f>
        <v>6.37</v>
      </c>
      <c r="F5" s="14">
        <f>+C5+D5/6+E5</f>
        <v>44.308166666666665</v>
      </c>
      <c r="G5" s="21">
        <f>(C5*Inputs!$C$15+D5*Inputs!$C$16+E5*Inputs!$C$17)*Inputs!$C$20</f>
        <v>185116.05200000003</v>
      </c>
      <c r="H5" s="19">
        <f>+G5/(F5*92)</f>
        <v>45.412192635669129</v>
      </c>
      <c r="I5" s="19">
        <f>_xll.FDS($A5,"FF_OG_PROD_EXP(QTR_R,"&amp;Current_Quarter&amp;")")/($F5*Inputs!$C$20/1000)</f>
        <v>5.6979877593148256</v>
      </c>
      <c r="J5" s="19">
        <f>_xll.FDS($A5,"FF_DEP_AMORT_EXP(QTR_R,"&amp;Current_Quarter&amp;")")/($F5*Inputs!$C$20/1000)</f>
        <v>14.420003378838626</v>
      </c>
      <c r="K5" s="19">
        <f>_xll.FDS($A5,"FF_SGA(QTR_R,"&amp;Current_Quarter&amp;")")/($F5*Inputs!$C$20/1000)</f>
        <v>3.4013260551470297</v>
      </c>
      <c r="L5" s="19">
        <f>+H5-I5-K5</f>
        <v>36.312878821207271</v>
      </c>
      <c r="M5" s="19">
        <f>+H5-I5-J5-K5</f>
        <v>21.892875442368645</v>
      </c>
      <c r="N5" s="14"/>
      <c r="O5" s="11"/>
      <c r="P5" s="11"/>
    </row>
    <row r="6" spans="1:16" ht="18.75" x14ac:dyDescent="0.3">
      <c r="A6" s="12" t="s">
        <v>87</v>
      </c>
      <c r="B6" s="13" t="str">
        <f>_xll.FDS($A6,"FG_COMPANY_NAME")</f>
        <v>ConocoPhillips</v>
      </c>
      <c r="C6" s="14">
        <f>IFERROR(IFERROR(_xll.FDS($A6,"FF_OG_PROD_DAY(QTR_R_OIL_BOE,"&amp;Current_Quarter&amp;")"),_xll.FDS($A6,"FF_OG_PROD_TOT_NET(QTR_R_OIL_BOE,"&amp;Current_Quarter&amp;")")/Inputs!$C$20),0)</f>
        <v>689</v>
      </c>
      <c r="D6" s="15">
        <f>IFERROR(IFERROR(_xll.FDS($A6,"FF_OG_PROD_DAY(QTR_R_NG_CFE,"&amp;Current_Quarter&amp;")")/1000,_xll.FDS($A6,"FF_OG_PROD_TOT_NET(QTR_R_NG_CFE,"&amp;Current_Quarter&amp;")")/1000/Inputs!$C$20),0)</f>
        <v>2868</v>
      </c>
      <c r="E6" s="15">
        <f>IFERROR(IFERROR(_xll.FDS($A6,"FF_OG_PROD_DAY(QTR_R_NGL_BOE,"&amp;Current_Quarter&amp;")"),_xll.FDS($A6,"FF_OG_PROD_TOT_NET(QTR_R_NGL_BOE,"&amp;Current_Quarter&amp;")")/Inputs!$C$20),0)</f>
        <v>89</v>
      </c>
      <c r="F6" s="14">
        <f>+C6+D6/6+E6</f>
        <v>1256</v>
      </c>
      <c r="G6" s="21">
        <f>(C6*Inputs!$C$15+D6*Inputs!$C$16+E6*Inputs!$C$17)*Inputs!$C$20</f>
        <v>4824112</v>
      </c>
      <c r="H6" s="19">
        <f>+G6/(F6*92)</f>
        <v>41.748407643312099</v>
      </c>
      <c r="I6" s="19" t="e">
        <f>_xll.FDS($A6,"FF_OG_PROD_EXP(QTR_R,"&amp;Current_Quarter&amp;")")/($F6*Inputs!$C$20/1000)</f>
        <v>#N/A</v>
      </c>
      <c r="J6" s="19">
        <f>_xll.FDS($A6,"FF_DEP_AMORT_EXP(QTR_R,"&amp;Current_Quarter&amp;")")/($F6*Inputs!$C$20/1000)</f>
        <v>15.265854333979506</v>
      </c>
      <c r="K6" s="19">
        <f>_xll.FDS($A6,"FF_SGA(QTR_R,"&amp;Current_Quarter&amp;")")/($F6*Inputs!$C$20/1000)</f>
        <v>1.1942675159235667</v>
      </c>
      <c r="L6" s="19" t="e">
        <f>+H6-I6-K6</f>
        <v>#N/A</v>
      </c>
      <c r="M6" s="19" t="e">
        <f>+H6-I6-J6-K6</f>
        <v>#N/A</v>
      </c>
      <c r="N6" s="14"/>
      <c r="O6" s="11"/>
      <c r="P6" s="11"/>
    </row>
    <row r="7" spans="1:16" ht="18.75" x14ac:dyDescent="0.3">
      <c r="A7" s="12" t="s">
        <v>20</v>
      </c>
      <c r="B7" s="13" t="str">
        <f>_xll.FDS($A7,"FG_COMPANY_NAME")</f>
        <v>Callon Petroleum Company</v>
      </c>
      <c r="C7" s="14">
        <f>IFERROR(IFERROR(_xll.FDS($A7,"FF_OG_PROD_DAY(QTR_R_OIL_BOE,"&amp;Current_Quarter&amp;")"),_xll.FDS($A7,"FF_OG_PROD_TOT_NET(QTR_R_OIL_BOE,"&amp;Current_Quarter&amp;")")/Inputs!$C$20),0)</f>
        <v>20.9437</v>
      </c>
      <c r="D7" s="15">
        <f>IFERROR(IFERROR(_xll.FDS($A7,"FF_OG_PROD_DAY(QTR_R_NG_CFE,"&amp;Current_Quarter&amp;")")/1000,_xll.FDS($A7,"FF_OG_PROD_TOT_NET(QTR_R_NG_CFE,"&amp;Current_Quarter&amp;")")/1000/Inputs!$C$20),0)</f>
        <v>33.403860000000002</v>
      </c>
      <c r="E7" s="15">
        <f>IFERROR(IFERROR(_xll.FDS($A7,"FF_OG_PROD_DAY(QTR_R_NGL_BOE,"&amp;Current_Quarter&amp;")"),_xll.FDS($A7,"FF_OG_PROD_TOT_NET(QTR_R_NGL_BOE,"&amp;Current_Quarter&amp;")")/Inputs!$C$20),0)</f>
        <v>0</v>
      </c>
      <c r="F7" s="14">
        <f>+C7+D7/6+E7</f>
        <v>26.511009999999999</v>
      </c>
      <c r="G7" s="21">
        <f>(C7*Inputs!$C$15+D7*Inputs!$C$16+E7*Inputs!$C$17)*Inputs!$C$20</f>
        <v>124828.68936</v>
      </c>
      <c r="H7" s="19">
        <f>+G7/(F7*92)</f>
        <v>51.180003326919646</v>
      </c>
      <c r="I7" s="19">
        <f>_xll.FDS($A7,"FF_OG_PROD_EXP(QTR_R,"&amp;Current_Quarter&amp;")")/($F7*Inputs!$C$20/1000)</f>
        <v>7.9651074583073544</v>
      </c>
      <c r="J7" s="19">
        <f>_xll.FDS($A7,"FF_DEP_AMORT_EXP(QTR_R,"&amp;Current_Quarter&amp;")")/($F7*Inputs!$C$20/1000)</f>
        <v>15.324232066798562</v>
      </c>
      <c r="K7" s="19">
        <f>_xll.FDS($A7,"FF_SGA(QTR_R,"&amp;Current_Quarter&amp;")")/($F7*Inputs!$C$20/1000)</f>
        <v>3.3505357568995575</v>
      </c>
      <c r="L7" s="19">
        <f>+H7-I7-K7</f>
        <v>39.864360111712728</v>
      </c>
      <c r="M7" s="19">
        <f>+H7-I7-J7-K7</f>
        <v>24.540128044914169</v>
      </c>
      <c r="N7" s="14"/>
      <c r="O7" s="28"/>
      <c r="P7" s="11"/>
    </row>
    <row r="8" spans="1:16" ht="18.75" x14ac:dyDescent="0.3">
      <c r="A8" s="12" t="s">
        <v>17</v>
      </c>
      <c r="B8" s="13" t="str">
        <f>_xll.FDS($A8,"FG_COMPANY_NAME")</f>
        <v>Carrizo Oil &amp; Gas, Inc.</v>
      </c>
      <c r="C8" s="14">
        <f>IFERROR(IFERROR(_xll.FDS($A8,"FF_OG_PROD_DAY(QTR_R_OIL_BOE,"&amp;Current_Quarter&amp;")"),_xll.FDS($A8,"FF_OG_PROD_TOT_NET(QTR_R_OIL_BOE,"&amp;Current_Quarter&amp;")")/Inputs!$C$20),0)</f>
        <v>40.206000000000003</v>
      </c>
      <c r="D8" s="15">
        <f>IFERROR(IFERROR(_xll.FDS($A8,"FF_OG_PROD_DAY(QTR_R_NG_CFE,"&amp;Current_Quarter&amp;")")/1000,_xll.FDS($A8,"FF_OG_PROD_TOT_NET(QTR_R_NG_CFE,"&amp;Current_Quarter&amp;")")/1000/Inputs!$C$20),0)</f>
        <v>78.182000000000002</v>
      </c>
      <c r="E8" s="15">
        <f>IFERROR(IFERROR(_xll.FDS($A8,"FF_OG_PROD_DAY(QTR_R_NGL_BOE,"&amp;Current_Quarter&amp;")"),_xll.FDS($A8,"FF_OG_PROD_TOT_NET(QTR_R_NGL_BOE,"&amp;Current_Quarter&amp;")")/Inputs!$C$20),0)</f>
        <v>9.1809999999999992</v>
      </c>
      <c r="F8" s="14">
        <f>+C8+D8/6+E8</f>
        <v>62.417333333333332</v>
      </c>
      <c r="G8" s="21">
        <f>(C8*Inputs!$C$15+D8*Inputs!$C$16+E8*Inputs!$C$17)*Inputs!$C$20</f>
        <v>267165.60800000001</v>
      </c>
      <c r="H8" s="19">
        <f>+G8/(F8*92)</f>
        <v>46.525121227009599</v>
      </c>
      <c r="I8" s="19">
        <f>_xll.FDS($A8,"FF_OG_PROD_EXP(QTR_R,"&amp;Current_Quarter&amp;")")/($F8*Inputs!$C$20/1000)</f>
        <v>9.0545848932710076</v>
      </c>
      <c r="J8" s="19">
        <f>_xll.FDS($A8,"FF_DEP_AMORT_EXP(QTR_R,"&amp;Current_Quarter&amp;")")/($F8*Inputs!$C$20/1000)</f>
        <v>14.205049414924693</v>
      </c>
      <c r="K8" s="19">
        <f>_xll.FDS($A8,"FF_SGA(QTR_R,"&amp;Current_Quarter&amp;")")/($F8*Inputs!$C$20/1000)</f>
        <v>2.9431972166780134</v>
      </c>
      <c r="L8" s="19">
        <f>+H8-I8-K8</f>
        <v>34.527339117060578</v>
      </c>
      <c r="M8" s="19">
        <f>+H8-I8-J8-K8</f>
        <v>20.322289702135887</v>
      </c>
      <c r="N8" s="14"/>
      <c r="O8" s="11"/>
      <c r="P8" s="11"/>
    </row>
    <row r="9" spans="1:16" ht="18.75" x14ac:dyDescent="0.3">
      <c r="A9" s="12" t="s">
        <v>7</v>
      </c>
      <c r="B9" s="13" t="str">
        <f>_xll.FDS($A9,"FG_COMPANY_NAME")</f>
        <v>Concho Resources Inc.</v>
      </c>
      <c r="C9" s="14">
        <f>IFERROR(IFERROR(_xll.FDS($A9,"FF_OG_PROD_DAY(QTR_R_OIL_BOE,"&amp;Current_Quarter&amp;")"),_xll.FDS($A9,"FF_OG_PROD_TOT_NET(QTR_R_OIL_BOE,"&amp;Current_Quarter&amp;")")/Inputs!$C$20),0)</f>
        <v>129.83699999999999</v>
      </c>
      <c r="D9" s="15">
        <f>IFERROR(IFERROR(_xll.FDS($A9,"FF_OG_PROD_DAY(QTR_R_NG_CFE,"&amp;Current_Quarter&amp;")")/1000,_xll.FDS($A9,"FF_OG_PROD_TOT_NET(QTR_R_NG_CFE,"&amp;Current_Quarter&amp;")")/1000/Inputs!$C$20),0)</f>
        <v>487.47800000000001</v>
      </c>
      <c r="E9" s="15">
        <f>IFERROR(IFERROR(_xll.FDS($A9,"FF_OG_PROD_DAY(QTR_R_NGL_BOE,"&amp;Current_Quarter&amp;")"),_xll.FDS($A9,"FF_OG_PROD_TOT_NET(QTR_R_NGL_BOE,"&amp;Current_Quarter&amp;")")/Inputs!$C$20),0)</f>
        <v>0</v>
      </c>
      <c r="F9" s="14">
        <f>+C9+D9/6+E9</f>
        <v>211.08333333333331</v>
      </c>
      <c r="G9" s="21">
        <f>(C9*Inputs!$C$15+D9*Inputs!$C$16+E9*Inputs!$C$17)*Inputs!$C$20</f>
        <v>851244.16799999983</v>
      </c>
      <c r="H9" s="19">
        <f>+G9/(F9*92)</f>
        <v>43.834128701144884</v>
      </c>
      <c r="I9" s="19">
        <f>_xll.FDS($A9,"FF_OG_PROD_EXP(QTR_R,"&amp;Current_Quarter&amp;")")/($F9*Inputs!$C$20/1000)</f>
        <v>8.9599890145728569</v>
      </c>
      <c r="J9" s="19">
        <f>_xll.FDS($A9,"FF_DEP_AMORT_EXP(QTR_R,"&amp;Current_Quarter&amp;")")/($F9*Inputs!$C$20/1000)</f>
        <v>15.34526854219949</v>
      </c>
      <c r="K9" s="19">
        <f>_xll.FDS($A9,"FF_SGA(QTR_R,"&amp;Current_Quarter&amp;")")/($F9*Inputs!$C$20/1000)</f>
        <v>3.2956281432911658</v>
      </c>
      <c r="L9" s="19">
        <f>+H9-I9-K9</f>
        <v>31.578511543280865</v>
      </c>
      <c r="M9" s="19">
        <f>+H9-I9-J9-K9</f>
        <v>16.233243001081373</v>
      </c>
      <c r="N9" s="14"/>
      <c r="O9" s="11"/>
      <c r="P9" s="11"/>
    </row>
    <row r="10" spans="1:16" ht="18.75" x14ac:dyDescent="0.3">
      <c r="A10" s="12" t="s">
        <v>82</v>
      </c>
      <c r="B10" s="13" t="str">
        <f>_xll.FDS($A10,"FG_COMPANY_NAME")</f>
        <v>Devon Energy Corporation</v>
      </c>
      <c r="C10" s="14">
        <f>IFERROR(IFERROR(_xll.FDS($A10,"FF_OG_PROD_DAY(QTR_R_OIL_BOE,"&amp;Current_Quarter&amp;")"),_xll.FDS($A10,"FF_OG_PROD_TOT_NET(QTR_R_OIL_BOE,"&amp;Current_Quarter&amp;")")/Inputs!$C$20),0)</f>
        <v>246</v>
      </c>
      <c r="D10" s="15">
        <f>IFERROR(IFERROR(_xll.FDS($A10,"FF_OG_PROD_DAY(QTR_R_NG_CFE,"&amp;Current_Quarter&amp;")")/1000,_xll.FDS($A10,"FF_OG_PROD_TOT_NET(QTR_R_NG_CFE,"&amp;Current_Quarter&amp;")")/1000/Inputs!$C$20),0)</f>
        <v>1175</v>
      </c>
      <c r="E10" s="15">
        <f>IFERROR(IFERROR(_xll.FDS($A10,"FF_OG_PROD_DAY(QTR_R_NGL_BOE,"&amp;Current_Quarter&amp;")"),_xll.FDS($A10,"FF_OG_PROD_TOT_NET(QTR_R_NGL_BOE,"&amp;Current_Quarter&amp;")")/Inputs!$C$20),0)</f>
        <v>106</v>
      </c>
      <c r="F10" s="14">
        <f>+C10+D10/6+E10</f>
        <v>547.83333333333337</v>
      </c>
      <c r="G10" s="21">
        <f>(C10*Inputs!$C$15+D10*Inputs!$C$16+E10*Inputs!$C$17)*Inputs!$C$20</f>
        <v>1955276</v>
      </c>
      <c r="H10" s="19">
        <f>+G10/(F10*92)</f>
        <v>38.79464557347125</v>
      </c>
      <c r="I10" s="19">
        <f>_xll.FDS($A10,"FF_OG_PROD_EXP(QTR_R,"&amp;Current_Quarter&amp;")")/($F10*Inputs!$C$20/1000)</f>
        <v>5.9523022182246255</v>
      </c>
      <c r="J10" s="19">
        <f>_xll.FDS($A10,"FF_DEP_AMORT_EXP(QTR_R,"&amp;Current_Quarter&amp;")")/($F10*Inputs!$C$20/1000)</f>
        <v>13.531567042763983</v>
      </c>
      <c r="K10" s="19">
        <f>_xll.FDS($A10,"FF_SGA(QTR_R,"&amp;Current_Quarter&amp;")")/($F10*Inputs!$C$20/1000)</f>
        <v>4.4047036414862228</v>
      </c>
      <c r="L10" s="19">
        <f>+H10-I10-K10</f>
        <v>28.437639713760404</v>
      </c>
      <c r="M10" s="19">
        <f>+H10-I10-J10-K10</f>
        <v>14.906072670996423</v>
      </c>
      <c r="N10" s="14"/>
      <c r="O10" s="11"/>
      <c r="P10" s="11"/>
    </row>
    <row r="11" spans="1:16" ht="18.75" x14ac:dyDescent="0.3">
      <c r="A11" s="12" t="s">
        <v>6</v>
      </c>
      <c r="B11" s="13" t="str">
        <f>_xll.FDS($A11,"FG_COMPANY_NAME")</f>
        <v>Encana Corporation</v>
      </c>
      <c r="C11" s="14">
        <f>IFERROR(IFERROR(_xll.FDS($A11,"FF_OG_PROD_DAY(QTR_R_OIL_BOE,"&amp;Current_Quarter&amp;")"),_xll.FDS($A11,"FF_OG_PROD_TOT_NET(QTR_R_OIL_BOE,"&amp;Current_Quarter&amp;")")/Inputs!$C$20),0)</f>
        <v>111.4</v>
      </c>
      <c r="D11" s="15">
        <f>IFERROR(IFERROR(_xll.FDS($A11,"FF_OG_PROD_DAY(QTR_R_NG_CFE,"&amp;Current_Quarter&amp;")")/1000,_xll.FDS($A11,"FF_OG_PROD_TOT_NET(QTR_R_NG_CFE,"&amp;Current_Quarter&amp;")")/1000/Inputs!$C$20),0)</f>
        <v>1188</v>
      </c>
      <c r="E11" s="15">
        <f>IFERROR(IFERROR(_xll.FDS($A11,"FF_OG_PROD_DAY(QTR_R_NGL_BOE,"&amp;Current_Quarter&amp;")"),_xll.FDS($A11,"FF_OG_PROD_TOT_NET(QTR_R_NGL_BOE,"&amp;Current_Quarter&amp;")")/Inputs!$C$20),0)</f>
        <v>79.2</v>
      </c>
      <c r="F11" s="14">
        <f>+C11+D11/6+E11</f>
        <v>388.59999999999997</v>
      </c>
      <c r="G11" s="21">
        <f>(C11*Inputs!$C$15+D11*Inputs!$C$16+E11*Inputs!$C$17)*Inputs!$C$20</f>
        <v>1146835.2</v>
      </c>
      <c r="H11" s="19">
        <f>+G11/(F11*92)</f>
        <v>32.078229541945447</v>
      </c>
      <c r="I11" s="19">
        <f>_xll.FDS($A11,"FF_OG_PROD_EXP(QTR_R,"&amp;Current_Quarter&amp;")")/($F11*Inputs!$C$20/1000)</f>
        <v>4.0278368278547294</v>
      </c>
      <c r="J11" s="19">
        <f>_xll.FDS($A11,"FF_DEP_AMORT_EXP(QTR_R,"&amp;Current_Quarter&amp;")")/($F11*Inputs!$C$20/1000)</f>
        <v>6.9927722705811277</v>
      </c>
      <c r="K11" s="19">
        <f>_xll.FDS($A11,"FF_SGA(QTR_R,"&amp;Current_Quarter&amp;")")/($F11*Inputs!$C$20/1000)</f>
        <v>2.4055136610799082</v>
      </c>
      <c r="L11" s="19">
        <f>+H11-I11-K11</f>
        <v>25.644879053010811</v>
      </c>
      <c r="M11" s="19">
        <f>+H11-I11-J11-K11</f>
        <v>18.652106782429684</v>
      </c>
      <c r="N11" s="14"/>
      <c r="O11" s="11"/>
      <c r="P11" s="11"/>
    </row>
    <row r="12" spans="1:16" ht="18.75" x14ac:dyDescent="0.3">
      <c r="A12" s="12" t="s">
        <v>9</v>
      </c>
      <c r="B12" s="13" t="str">
        <f>_xll.FDS($A12,"FG_COMPANY_NAME")</f>
        <v>Energen Corporation</v>
      </c>
      <c r="C12" s="14">
        <f>IFERROR(IFERROR(_xll.FDS($A12,"FF_OG_PROD_DAY(QTR_R_OIL_BOE,"&amp;Current_Quarter&amp;")"),_xll.FDS($A12,"FF_OG_PROD_TOT_NET(QTR_R_OIL_BOE,"&amp;Current_Quarter&amp;")")/Inputs!$C$20),0)</f>
        <v>58.1</v>
      </c>
      <c r="D12" s="15">
        <f>IFERROR(IFERROR(_xll.FDS($A12,"FF_OG_PROD_DAY(QTR_R_NG_CFE,"&amp;Current_Quarter&amp;")")/1000,_xll.FDS($A12,"FF_OG_PROD_TOT_NET(QTR_R_NG_CFE,"&amp;Current_Quarter&amp;")")/1000/Inputs!$C$20),0)</f>
        <v>119.9</v>
      </c>
      <c r="E12" s="15">
        <f>IFERROR(IFERROR(_xll.FDS($A12,"FF_OG_PROD_DAY(QTR_R_NGL_BOE,"&amp;Current_Quarter&amp;")"),_xll.FDS($A12,"FF_OG_PROD_TOT_NET(QTR_R_NGL_BOE,"&amp;Current_Quarter&amp;")")/Inputs!$C$20),0)</f>
        <v>19.047599999999999</v>
      </c>
      <c r="F12" s="14">
        <f>+C12+D12/6+E12</f>
        <v>97.130933333333346</v>
      </c>
      <c r="G12" s="21">
        <f>(C12*Inputs!$C$15+D12*Inputs!$C$16+E12*Inputs!$C$17)*Inputs!$C$20</f>
        <v>402871.01760000002</v>
      </c>
      <c r="H12" s="19">
        <f>+G12/(F12*92)</f>
        <v>45.083812640531953</v>
      </c>
      <c r="I12" s="19">
        <f>_xll.FDS($A12,"FF_OG_PROD_EXP(QTR_R,"&amp;Current_Quarter&amp;")")/($F12*Inputs!$C$20/1000)</f>
        <v>8.0610597880548038</v>
      </c>
      <c r="J12" s="19">
        <f>_xll.FDS($A12,"FF_DEP_AMORT_EXP(QTR_R,"&amp;Current_Quarter&amp;")")/($F12*Inputs!$C$20/1000)</f>
        <v>14.762681612019177</v>
      </c>
      <c r="K12" s="19">
        <f>_xll.FDS($A12,"FF_SGA(QTR_R,"&amp;Current_Quarter&amp;")")/($F12*Inputs!$C$20/1000)</f>
        <v>2.5915265370765628</v>
      </c>
      <c r="L12" s="19">
        <f>+H12-I12-K12</f>
        <v>34.431226315400586</v>
      </c>
      <c r="M12" s="19">
        <f>+H12-I12-J12-K12</f>
        <v>19.668544703381407</v>
      </c>
      <c r="N12" s="14"/>
      <c r="O12" s="11"/>
      <c r="P12" s="11"/>
    </row>
    <row r="13" spans="1:16" ht="18.75" x14ac:dyDescent="0.3">
      <c r="A13" s="12" t="s">
        <v>38</v>
      </c>
      <c r="B13" s="13" t="str">
        <f>_xll.FDS($A13,"FG_COMPANY_NAME")</f>
        <v>EOG Resources, Inc.</v>
      </c>
      <c r="C13" s="14">
        <f>IFERROR(IFERROR(_xll.FDS($A13,"FF_OG_PROD_DAY(QTR_R_OIL_BOE,"&amp;Current_Quarter&amp;")"),_xll.FDS($A13,"FF_OG_PROD_TOT_NET(QTR_R_OIL_BOE,"&amp;Current_Quarter&amp;")")/Inputs!$C$20),0)</f>
        <v>368.1</v>
      </c>
      <c r="D13" s="15">
        <f>IFERROR(IFERROR(_xll.FDS($A13,"FF_OG_PROD_DAY(QTR_R_NG_CFE,"&amp;Current_Quarter&amp;")")/1000,_xll.FDS($A13,"FF_OG_PROD_TOT_NET(QTR_R_NG_CFE,"&amp;Current_Quarter&amp;")")/1000/Inputs!$C$20),0)</f>
        <v>1160</v>
      </c>
      <c r="E13" s="15">
        <f>IFERROR(IFERROR(_xll.FDS($A13,"FF_OG_PROD_DAY(QTR_R_NGL_BOE,"&amp;Current_Quarter&amp;")"),_xll.FDS($A13,"FF_OG_PROD_TOT_NET(QTR_R_NGL_BOE,"&amp;Current_Quarter&amp;")")/Inputs!$C$20),0)</f>
        <v>100.6</v>
      </c>
      <c r="F13" s="14">
        <f>+C13+D13/6+E13</f>
        <v>662.03333333333342</v>
      </c>
      <c r="G13" s="21">
        <f>(C13*Inputs!$C$15+D13*Inputs!$C$16+E13*Inputs!$C$17)*Inputs!$C$20</f>
        <v>2611217.6</v>
      </c>
      <c r="H13" s="19">
        <f>+G13/(F13*92)</f>
        <v>42.872161522581941</v>
      </c>
      <c r="I13" s="24">
        <f>(251943+183565+32590+125912)/1000/($F13*Inputs!$C$20/1000)</f>
        <v>9.7527271055575362</v>
      </c>
      <c r="J13" s="19">
        <f>_xll.FDS($A13,"FF_DEP_AMORT_EXP(QTR_R,"&amp;Current_Quarter&amp;")")/($F13*Inputs!$C$20/1000)</f>
        <v>14.551300013353677</v>
      </c>
      <c r="K13" s="19">
        <f>_xll.FDS($A13,"FF_SGA(QTR_R,"&amp;Current_Quarter&amp;")")/($F13*Inputs!$C$20/1000)</f>
        <v>1.9210414555070783</v>
      </c>
      <c r="L13" s="19">
        <f>+H13-I13-K13</f>
        <v>31.198392961517328</v>
      </c>
      <c r="M13" s="19">
        <f>+H13-I13-J13-K13</f>
        <v>16.647092948163653</v>
      </c>
      <c r="N13" s="14"/>
      <c r="O13" s="11"/>
      <c r="P13" s="11"/>
    </row>
    <row r="14" spans="1:16" ht="18.75" x14ac:dyDescent="0.3">
      <c r="A14" s="12" t="s">
        <v>3</v>
      </c>
      <c r="B14" s="13" t="str">
        <f>_xll.FDS($A14,"FG_COMPANY_NAME")</f>
        <v>EP Energy Corp. Class A</v>
      </c>
      <c r="C14" s="14">
        <f>IFERROR(IFERROR(_xll.FDS($A14,"FF_OG_PROD_DAY(QTR_R_OIL_BOE,"&amp;Current_Quarter&amp;")"),_xll.FDS($A14,"FF_OG_PROD_TOT_NET(QTR_R_OIL_BOE,"&amp;Current_Quarter&amp;")")/Inputs!$C$20),0)</f>
        <v>43.6</v>
      </c>
      <c r="D14" s="15">
        <f>IFERROR(IFERROR(_xll.FDS($A14,"FF_OG_PROD_DAY(QTR_R_NG_CFE,"&amp;Current_Quarter&amp;")")/1000,_xll.FDS($A14,"FF_OG_PROD_TOT_NET(QTR_R_NG_CFE,"&amp;Current_Quarter&amp;")")/1000/Inputs!$C$20),0)</f>
        <v>130</v>
      </c>
      <c r="E14" s="15">
        <f>IFERROR(IFERROR(_xll.FDS($A14,"FF_OG_PROD_DAY(QTR_R_NGL_BOE,"&amp;Current_Quarter&amp;")"),_xll.FDS($A14,"FF_OG_PROD_TOT_NET(QTR_R_NGL_BOE,"&amp;Current_Quarter&amp;")")/Inputs!$C$20),0)</f>
        <v>15.3</v>
      </c>
      <c r="F14" s="14">
        <f>+C14+D14/6+E14</f>
        <v>80.566666666666663</v>
      </c>
      <c r="G14" s="21">
        <f>(C14*Inputs!$C$15+D14*Inputs!$C$16+E14*Inputs!$C$17)*Inputs!$C$20</f>
        <v>315964.79999999999</v>
      </c>
      <c r="H14" s="19">
        <f>+G14/(F14*92)</f>
        <v>42.628051303268514</v>
      </c>
      <c r="I14" s="19">
        <f>_xll.FDS($A14,"FF_OG_PROD_EXP(QTR_R,"&amp;Current_Quarter&amp;")")/($F14*Inputs!$C$20/1000)</f>
        <v>7.01552409562699</v>
      </c>
      <c r="J14" s="19">
        <f>_xll.FDS($A14,"FF_DEP_AMORT_EXP(QTR_R,"&amp;Current_Quarter&amp;")")/($F14*Inputs!$C$20/1000)</f>
        <v>16.054757064992536</v>
      </c>
      <c r="K14" s="19">
        <f>_xll.FDS($A14,"FF_SGA(QTR_R,"&amp;Current_Quarter&amp;")")/($F14*Inputs!$C$20/1000)</f>
        <v>1.3491392491590366</v>
      </c>
      <c r="L14" s="19">
        <f>+H14-I14-K14</f>
        <v>34.263387958482483</v>
      </c>
      <c r="M14" s="19">
        <f>+H14-I14-J14-K14</f>
        <v>18.208630893489946</v>
      </c>
      <c r="N14" s="14"/>
      <c r="O14" s="11"/>
      <c r="P14" s="11"/>
    </row>
    <row r="15" spans="1:16" ht="18.75" x14ac:dyDescent="0.3">
      <c r="A15" s="12" t="s">
        <v>42</v>
      </c>
      <c r="B15" s="13" t="str">
        <f>_xll.FDS($A15,"FG_COMPANY_NAME")</f>
        <v>Earthstone Energy, Inc. Class A</v>
      </c>
      <c r="C15" s="14">
        <f>IFERROR(IFERROR(_xll.FDS($A15,"FF_OG_PROD_DAY(QTR_R_OIL_BOE,"&amp;Current_Quarter&amp;")"),_xll.FDS($A15,"FF_OG_PROD_TOT_NET(QTR_R_OIL_BOE,"&amp;Current_Quarter&amp;")")/Inputs!$C$20),0)</f>
        <v>5.7391304347826084</v>
      </c>
      <c r="D15" s="15">
        <f>IFERROR(IFERROR(_xll.FDS($A15,"FF_OG_PROD_DAY(QTR_R_NG_CFE,"&amp;Current_Quarter&amp;")")/1000,_xll.FDS($A15,"FF_OG_PROD_TOT_NET(QTR_R_NG_CFE,"&amp;Current_Quarter&amp;")")/1000/Inputs!$C$20),0)</f>
        <v>10.130434782608695</v>
      </c>
      <c r="E15" s="15">
        <f>IFERROR(IFERROR(_xll.FDS($A15,"FF_OG_PROD_DAY(QTR_R_NGL_BOE,"&amp;Current_Quarter&amp;")"),_xll.FDS($A15,"FF_OG_PROD_TOT_NET(QTR_R_NGL_BOE,"&amp;Current_Quarter&amp;")")/Inputs!$C$20),0)</f>
        <v>1.6304347826086956</v>
      </c>
      <c r="F15" s="14">
        <f>+C15+D15/6+E15</f>
        <v>9.0579710144927539</v>
      </c>
      <c r="G15" s="21">
        <f>(C15*Inputs!$C$15+D15*Inputs!$C$16+E15*Inputs!$C$17)*Inputs!$C$20</f>
        <v>38676</v>
      </c>
      <c r="H15" s="19">
        <f>+G15/(F15*92)</f>
        <v>46.411200000000001</v>
      </c>
      <c r="I15" s="19">
        <f>_xll.FDS($A15,"FF_OG_PROD_EXP(QTR_R,"&amp;Current_Quarter&amp;")")/($F15*Inputs!$C$20/1000)</f>
        <v>8.428799999999999</v>
      </c>
      <c r="J15" s="19">
        <f>_xll.FDS($A15,"FF_DEP_AMORT_EXP(QTR_R,"&amp;Current_Quarter&amp;")")/($F15*Inputs!$C$20/1000)</f>
        <v>10.455599999999999</v>
      </c>
      <c r="K15" s="19">
        <f>_xll.FDS($A15,"FF_SGA(QTR_R,"&amp;Current_Quarter&amp;")")/($F15*Inputs!$C$20/1000)</f>
        <v>9.1007999999999996</v>
      </c>
      <c r="L15" s="19">
        <f>+H15-I15-K15</f>
        <v>28.881599999999999</v>
      </c>
      <c r="M15" s="19">
        <f>+H15-I15-J15-K15</f>
        <v>18.426000000000002</v>
      </c>
      <c r="N15" s="14"/>
      <c r="O15" s="11"/>
      <c r="P15" s="11"/>
    </row>
    <row r="16" spans="1:16" ht="18.75" x14ac:dyDescent="0.3">
      <c r="A16" s="12" t="s">
        <v>8</v>
      </c>
      <c r="B16" s="13" t="str">
        <f>_xll.FDS($A16,"FG_COMPANY_NAME")</f>
        <v>Diamondback Energy, Inc.</v>
      </c>
      <c r="C16" s="14">
        <f>IFERROR(IFERROR(_xll.FDS($A16,"FF_OG_PROD_DAY(QTR_R_OIL_BOE,"&amp;Current_Quarter&amp;")"),_xll.FDS($A16,"FF_OG_PROD_TOT_NET(QTR_R_OIL_BOE,"&amp;Current_Quarter&amp;")")/Inputs!$C$20),0)</f>
        <v>68.725300000000004</v>
      </c>
      <c r="D16" s="15">
        <f>IFERROR(IFERROR(_xll.FDS($A16,"FF_OG_PROD_DAY(QTR_R_NG_CFE,"&amp;Current_Quarter&amp;")")/1000,_xll.FDS($A16,"FF_OG_PROD_TOT_NET(QTR_R_NG_CFE,"&amp;Current_Quarter&amp;")")/1000/Inputs!$C$20),0)</f>
        <v>66.342271739130425</v>
      </c>
      <c r="E16" s="15">
        <f>IFERROR(IFERROR(_xll.FDS($A16,"FF_OG_PROD_DAY(QTR_R_NGL_BOE,"&amp;Current_Quarter&amp;")"),_xll.FDS($A16,"FF_OG_PROD_TOT_NET(QTR_R_NGL_BOE,"&amp;Current_Quarter&amp;")")/Inputs!$C$20),0)</f>
        <v>12.851891304347827</v>
      </c>
      <c r="F16" s="14">
        <f>+C16+D16/6+E16</f>
        <v>92.634236594202903</v>
      </c>
      <c r="G16" s="21">
        <f>(C16*Inputs!$C$15+D16*Inputs!$C$16+E16*Inputs!$C$17)*Inputs!$C$20</f>
        <v>430780.59500000003</v>
      </c>
      <c r="H16" s="19">
        <f>+G16/(F16*92)</f>
        <v>50.547162084910603</v>
      </c>
      <c r="I16" s="19">
        <f>_xll.FDS($A16,"FF_OG_PROD_EXP(QTR_R,"&amp;Current_Quarter&amp;")")/($F16*Inputs!$C$20/1000)</f>
        <v>7.2680659320354195</v>
      </c>
      <c r="J16" s="19">
        <f>_xll.FDS($A16,"FF_DEP_AMORT_EXP(QTR_R,"&amp;Current_Quarter&amp;")")/($F16*Inputs!$C$20/1000)</f>
        <v>12.3720573417911</v>
      </c>
      <c r="K16" s="19">
        <f>_xll.FDS($A16,"FF_SGA(QTR_R,"&amp;Current_Quarter&amp;")")/($F16*Inputs!$C$20/1000)</f>
        <v>1.3077379250017718</v>
      </c>
      <c r="L16" s="19">
        <f>+H16-I16-K16</f>
        <v>41.971358227873409</v>
      </c>
      <c r="M16" s="19">
        <f>+H16-I16-J16-K16</f>
        <v>29.599300886082315</v>
      </c>
      <c r="N16" s="14"/>
      <c r="O16" s="11"/>
      <c r="P16" s="11"/>
    </row>
    <row r="17" spans="1:16" ht="18.75" x14ac:dyDescent="0.3">
      <c r="A17" s="12" t="s">
        <v>21</v>
      </c>
      <c r="B17" s="13" t="str">
        <f>_xll.FDS($A17,"FG_COMPANY_NAME")</f>
        <v>Halcon Resources Corp</v>
      </c>
      <c r="C17" s="14">
        <f>IFERROR(IFERROR(_xll.FDS($A17,"FF_OG_PROD_DAY(QTR_R_OIL_BOE,"&amp;Current_Quarter&amp;")"),_xll.FDS($A17,"FF_OG_PROD_TOT_NET(QTR_R_OIL_BOE,"&amp;Current_Quarter&amp;")")/Inputs!$C$20),0)</f>
        <v>4.3804347826086953</v>
      </c>
      <c r="D17" s="15">
        <f>IFERROR(IFERROR(_xll.FDS($A17,"FF_OG_PROD_DAY(QTR_R_NG_CFE,"&amp;Current_Quarter&amp;")")/1000,_xll.FDS($A17,"FF_OG_PROD_TOT_NET(QTR_R_NG_CFE,"&amp;Current_Quarter&amp;")")/1000/Inputs!$C$20),0)</f>
        <v>5.9456521739130439</v>
      </c>
      <c r="E17" s="15">
        <f>IFERROR(IFERROR(_xll.FDS($A17,"FF_OG_PROD_DAY(QTR_R_NGL_BOE,"&amp;Current_Quarter&amp;")"),_xll.FDS($A17,"FF_OG_PROD_TOT_NET(QTR_R_NGL_BOE,"&amp;Current_Quarter&amp;")")/Inputs!$C$20),0)</f>
        <v>0.91304347826086951</v>
      </c>
      <c r="F17" s="14">
        <f>+C17+D17/6+E17</f>
        <v>6.2844202898550723</v>
      </c>
      <c r="G17" s="21">
        <f>(C17*Inputs!$C$15+D17*Inputs!$C$16+E17*Inputs!$C$17)*Inputs!$C$20</f>
        <v>28173.000000000004</v>
      </c>
      <c r="H17" s="19">
        <f>+G17/(F17*92)</f>
        <v>48.728163735946971</v>
      </c>
      <c r="I17" s="19">
        <f>_xll.FDS($A17,"FF_OG_PROD_EXP(QTR_R,"&amp;Current_Quarter&amp;")")/($F17*Inputs!$C$20/1000)</f>
        <v>7.0135485730758145</v>
      </c>
      <c r="J17" s="19">
        <f>_xll.FDS($A17,"FF_DEP_AMORT_EXP(QTR_R,"&amp;Current_Quarter&amp;")")/($F17*Inputs!$C$20/1000)</f>
        <v>16.291150187373887</v>
      </c>
      <c r="K17" s="19">
        <f>_xll.FDS($A17,"FF_SGA(QTR_R,"&amp;Current_Quarter&amp;")")/($F17*Inputs!$C$20/1000)</f>
        <v>42.176419717497843</v>
      </c>
      <c r="L17" s="19">
        <f>+H17-I17-K17</f>
        <v>-0.46180455462668846</v>
      </c>
      <c r="M17" s="19">
        <f>+H17-I17-J17-K17</f>
        <v>-16.752954742000576</v>
      </c>
      <c r="N17" s="14"/>
      <c r="O17" s="11"/>
      <c r="P17" s="11"/>
    </row>
    <row r="18" spans="1:16" ht="18.75" x14ac:dyDescent="0.3">
      <c r="A18" s="12" t="s">
        <v>36</v>
      </c>
      <c r="B18" s="13" t="str">
        <f>_xll.FDS($A18,"FG_COMPANY_NAME")</f>
        <v>Jagged Peak Energy, Inc.</v>
      </c>
      <c r="C18" s="14">
        <f>IFERROR(IFERROR(_xll.FDS($A18,"FF_OG_PROD_DAY(QTR_R_OIL_BOE,"&amp;Current_Quarter&amp;")"),_xll.FDS($A18,"FF_OG_PROD_TOT_NET(QTR_R_OIL_BOE,"&amp;Current_Quarter&amp;")")/Inputs!$C$20),0)</f>
        <v>19.229600000000001</v>
      </c>
      <c r="D18" s="15">
        <f>IFERROR(IFERROR(_xll.FDS($A18,"FF_OG_PROD_DAY(QTR_R_NG_CFE,"&amp;Current_Quarter&amp;")")/1000,_xll.FDS($A18,"FF_OG_PROD_TOT_NET(QTR_R_NG_CFE,"&amp;Current_Quarter&amp;")")/1000/Inputs!$C$20),0)</f>
        <v>14.967391304347826</v>
      </c>
      <c r="E18" s="15">
        <f>IFERROR(IFERROR(_xll.FDS($A18,"FF_OG_PROD_DAY(QTR_R_NGL_BOE,"&amp;Current_Quarter&amp;")"),_xll.FDS($A18,"FF_OG_PROD_TOT_NET(QTR_R_NGL_BOE,"&amp;Current_Quarter&amp;")")/Inputs!$C$20),0)</f>
        <v>2.2934782608695654</v>
      </c>
      <c r="F18" s="14">
        <f>+C18+D18/6+E18</f>
        <v>24.017643478260872</v>
      </c>
      <c r="G18" s="21">
        <f>(C18*Inputs!$C$15+D18*Inputs!$C$16+E18*Inputs!$C$17)*Inputs!$C$20</f>
        <v>116186.39200000001</v>
      </c>
      <c r="H18" s="19">
        <f>+G18/(F18*92)</f>
        <v>52.581993165169514</v>
      </c>
      <c r="I18" s="19">
        <f>_xll.FDS($A18,"FF_OG_PROD_EXP(QTR_R,"&amp;Current_Quarter&amp;")")/($F18*Inputs!$C$20/1000)</f>
        <v>5.6091011354334075</v>
      </c>
      <c r="J18" s="19">
        <f>_xll.FDS($A18,"FF_DEP_AMORT_EXP(QTR_R,"&amp;Current_Quarter&amp;")")/($F18*Inputs!$C$20/1000)</f>
        <v>19.845012489007175</v>
      </c>
      <c r="K18" s="19">
        <f>_xll.FDS($A18,"FF_SGA(QTR_R,"&amp;Current_Quarter&amp;")")/($F18*Inputs!$C$20/1000)</f>
        <v>7.4958481608991061</v>
      </c>
      <c r="L18" s="19">
        <f>+H18-I18-K18</f>
        <v>39.477043868837001</v>
      </c>
      <c r="M18" s="19">
        <f>+H18-I18-J18-K18</f>
        <v>19.632031379829826</v>
      </c>
      <c r="N18" s="14"/>
      <c r="O18" s="11"/>
      <c r="P18" s="11"/>
    </row>
    <row r="19" spans="1:16" ht="18.75" x14ac:dyDescent="0.3">
      <c r="A19" s="12" t="s">
        <v>10</v>
      </c>
      <c r="B19" s="13" t="str">
        <f>_xll.FDS($A19,"FG_COMPANY_NAME")</f>
        <v>Laredo Petroleum, Inc.</v>
      </c>
      <c r="C19" s="14">
        <f>IFERROR(IFERROR(_xll.FDS($A19,"FF_OG_PROD_DAY(QTR_R_OIL_BOE,"&amp;Current_Quarter&amp;")"),_xll.FDS($A19,"FF_OG_PROD_TOT_NET(QTR_R_OIL_BOE,"&amp;Current_Quarter&amp;")")/Inputs!$C$20),0)</f>
        <v>26.6265</v>
      </c>
      <c r="D19" s="15">
        <f>IFERROR(IFERROR(_xll.FDS($A19,"FF_OG_PROD_DAY(QTR_R_NG_CFE,"&amp;Current_Quarter&amp;")")/1000,_xll.FDS($A19,"FF_OG_PROD_TOT_NET(QTR_R_NG_CFE,"&amp;Current_Quarter&amp;")")/1000/Inputs!$C$20),0)</f>
        <v>211.77323999999999</v>
      </c>
      <c r="E19" s="15">
        <f>IFERROR(IFERROR(_xll.FDS($A19,"FF_OG_PROD_DAY(QTR_R_NGL_BOE,"&amp;Current_Quarter&amp;")"),_xll.FDS($A19,"FF_OG_PROD_TOT_NET(QTR_R_NGL_BOE,"&amp;Current_Quarter&amp;")")/Inputs!$C$20),0)</f>
        <v>17.338200000000001</v>
      </c>
      <c r="F19" s="14">
        <f>+C19+D19/6+E19</f>
        <v>79.260239999999996</v>
      </c>
      <c r="G19" s="21">
        <f>(C19*Inputs!$C$15+D19*Inputs!$C$16+E19*Inputs!$C$17)*Inputs!$C$20</f>
        <v>250090.89743999997</v>
      </c>
      <c r="H19" s="19">
        <f>+G19/(F19*92)</f>
        <v>34.296884793687219</v>
      </c>
      <c r="I19" s="19">
        <f>_xll.FDS($A19,"FF_OG_PROD_EXP(QTR_R,"&amp;Current_Quarter&amp;")")/($F19*Inputs!$C$20/1000)</f>
        <v>4.0249908293292425</v>
      </c>
      <c r="J19" s="19">
        <f>_xll.FDS($A19,"FF_DEP_AMORT_EXP(QTR_R,"&amp;Current_Quarter&amp;")")/($F19*Inputs!$C$20/1000)</f>
        <v>6.3125844246969116</v>
      </c>
      <c r="K19" s="19">
        <f>_xll.FDS($A19,"FF_SGA(QTR_R,"&amp;Current_Quarter&amp;")")/($F19*Inputs!$C$20/1000)</f>
        <v>3.2511229162149351</v>
      </c>
      <c r="L19" s="19">
        <f>+H19-I19-K19</f>
        <v>27.020771048143043</v>
      </c>
      <c r="M19" s="19">
        <f>+H19-I19-J19-K19</f>
        <v>20.708186623446132</v>
      </c>
      <c r="N19" s="14"/>
      <c r="O19" s="11"/>
      <c r="P19" s="11"/>
    </row>
    <row r="20" spans="1:16" ht="18.75" x14ac:dyDescent="0.3">
      <c r="A20" s="12" t="s">
        <v>2</v>
      </c>
      <c r="B20" s="13" t="str">
        <f>_xll.FDS($A20,"FG_COMPANY_NAME")</f>
        <v>Marathon Oil Corporation</v>
      </c>
      <c r="C20" s="14">
        <f>IFERROR(IFERROR(_xll.FDS($A20,"FF_OG_PROD_DAY(QTR_R_OIL_BOE,"&amp;Current_Quarter&amp;")"),_xll.FDS($A20,"FF_OG_PROD_TOT_NET(QTR_R_OIL_BOE,"&amp;Current_Quarter&amp;")")/Inputs!$C$20),0)</f>
        <v>208</v>
      </c>
      <c r="D20" s="15">
        <f>IFERROR(IFERROR(_xll.FDS($A20,"FF_OG_PROD_DAY(QTR_R_NG_CFE,"&amp;Current_Quarter&amp;")")/1000,_xll.FDS($A20,"FF_OG_PROD_TOT_NET(QTR_R_NG_CFE,"&amp;Current_Quarter&amp;")")/1000/Inputs!$C$20),0)</f>
        <v>869</v>
      </c>
      <c r="E20" s="15">
        <f>IFERROR(IFERROR(_xll.FDS($A20,"FF_OG_PROD_DAY(QTR_R_NGL_BOE,"&amp;Current_Quarter&amp;")"),_xll.FDS($A20,"FF_OG_PROD_TOT_NET(QTR_R_NGL_BOE,"&amp;Current_Quarter&amp;")")/Inputs!$C$20),0)</f>
        <v>62</v>
      </c>
      <c r="F20" s="14">
        <f>+C20+D20/6+E20</f>
        <v>414.83333333333337</v>
      </c>
      <c r="G20" s="21">
        <f>(C20*Inputs!$C$15+D20*Inputs!$C$16+E20*Inputs!$C$17)*Inputs!$C$20</f>
        <v>1547716</v>
      </c>
      <c r="H20" s="19">
        <f>+G20/(F20*92)</f>
        <v>40.55363599839292</v>
      </c>
      <c r="I20" s="19">
        <f>_xll.FDS($A20,"FF_OG_PROD_EXP(QTR_R,"&amp;Current_Quarter&amp;")")/($F20*Inputs!$C$20/1000)</f>
        <v>6.3147413838279736</v>
      </c>
      <c r="J20" s="19">
        <f>_xll.FDS($A20,"FF_DEP_AMORT_EXP(QTR_R,"&amp;Current_Quarter&amp;")")/($F20*Inputs!$C$20/1000)</f>
        <v>16.035774800426221</v>
      </c>
      <c r="K20" s="19">
        <f>_xll.FDS($A20,"FF_SGA(QTR_R,"&amp;Current_Quarter&amp;")")/($F20*Inputs!$C$20/1000)</f>
        <v>2.6464268869984453</v>
      </c>
      <c r="L20" s="19">
        <f>+H20-I20-K20</f>
        <v>31.592467727566504</v>
      </c>
      <c r="M20" s="19">
        <f>+H20-I20-J20-K20</f>
        <v>15.556692927140283</v>
      </c>
      <c r="N20" s="14"/>
      <c r="O20" s="11"/>
      <c r="P20" s="11"/>
    </row>
    <row r="21" spans="1:16" ht="18.75" x14ac:dyDescent="0.3">
      <c r="A21" s="12" t="s">
        <v>16</v>
      </c>
      <c r="B21" s="13" t="str">
        <f>_xll.FDS($A21,"FG_COMPANY_NAME")</f>
        <v>Matador Resources Company</v>
      </c>
      <c r="C21" s="14">
        <f>IFERROR(IFERROR(_xll.FDS($A21,"FF_OG_PROD_DAY(QTR_R_OIL_BOE,"&amp;Current_Quarter&amp;")"),_xll.FDS($A21,"FF_OG_PROD_TOT_NET(QTR_R_OIL_BOE,"&amp;Current_Quarter&amp;")")/Inputs!$C$20),0)</f>
        <v>24.664999999999999</v>
      </c>
      <c r="D21" s="15">
        <f>IFERROR(IFERROR(_xll.FDS($A21,"FF_OG_PROD_DAY(QTR_R_NG_CFE,"&amp;Current_Quarter&amp;")")/1000,_xll.FDS($A21,"FF_OG_PROD_TOT_NET(QTR_R_NG_CFE,"&amp;Current_Quarter&amp;")")/1000/Inputs!$C$20),0)</f>
        <v>114.3</v>
      </c>
      <c r="E21" s="15">
        <f>IFERROR(IFERROR(_xll.FDS($A21,"FF_OG_PROD_DAY(QTR_R_NGL_BOE,"&amp;Current_Quarter&amp;")"),_xll.FDS($A21,"FF_OG_PROD_TOT_NET(QTR_R_NGL_BOE,"&amp;Current_Quarter&amp;")")/Inputs!$C$20),0)</f>
        <v>0</v>
      </c>
      <c r="F21" s="14">
        <f>+C21+D21/6+E21</f>
        <v>43.715000000000003</v>
      </c>
      <c r="G21" s="21">
        <f>(C21*Inputs!$C$15+D21*Inputs!$C$16+E21*Inputs!$C$17)*Inputs!$C$20</f>
        <v>167697.59999999998</v>
      </c>
      <c r="H21" s="19">
        <f>+G21/(F21*92)</f>
        <v>41.697357886309042</v>
      </c>
      <c r="I21" s="19">
        <f>_xll.FDS($A21,"FF_OG_PROD_EXP(QTR_R,"&amp;Current_Quarter&amp;")")/($F21*Inputs!$C$20/1000)</f>
        <v>9.1387395630790333</v>
      </c>
      <c r="J21" s="19">
        <f>_xll.FDS($A21,"FF_DEP_AMORT_EXP(QTR_R,"&amp;Current_Quarter&amp;")")/($F21*Inputs!$C$20/1000)</f>
        <v>13.623072370940228</v>
      </c>
      <c r="K21" s="19">
        <f>_xll.FDS($A21,"FF_SGA(QTR_R,"&amp;Current_Quarter&amp;")")/($F21*Inputs!$C$20/1000)</f>
        <v>4.0641208619069156</v>
      </c>
      <c r="L21" s="19">
        <f>+H21-I21-K21</f>
        <v>28.494497461323093</v>
      </c>
      <c r="M21" s="19">
        <f>+H21-I21-J21-K21</f>
        <v>14.871425090382864</v>
      </c>
      <c r="N21" s="14"/>
      <c r="O21" s="11"/>
      <c r="P21" s="11"/>
    </row>
    <row r="22" spans="1:16" ht="18.75" x14ac:dyDescent="0.3">
      <c r="A22" s="12" t="s">
        <v>13</v>
      </c>
      <c r="B22" s="13" t="str">
        <f>_xll.FDS($A22,"FG_COMPANY_NAME")</f>
        <v>Noble Energy, Inc.</v>
      </c>
      <c r="C22" s="14">
        <f>IFERROR(IFERROR(_xll.FDS($A22,"FF_OG_PROD_DAY(QTR_R_OIL_BOE,"&amp;Current_Quarter&amp;")"),_xll.FDS($A22,"FF_OG_PROD_TOT_NET(QTR_R_OIL_BOE,"&amp;Current_Quarter&amp;")")/Inputs!$C$20),0)</f>
        <v>141</v>
      </c>
      <c r="D22" s="15">
        <f>IFERROR(IFERROR(_xll.FDS($A22,"FF_OG_PROD_DAY(QTR_R_NG_CFE,"&amp;Current_Quarter&amp;")")/1000,_xll.FDS($A22,"FF_OG_PROD_TOT_NET(QTR_R_NG_CFE,"&amp;Current_Quarter&amp;")")/1000/Inputs!$C$20),0)</f>
        <v>1012</v>
      </c>
      <c r="E22" s="15">
        <f>IFERROR(IFERROR(_xll.FDS($A22,"FF_OG_PROD_DAY(QTR_R_NGL_BOE,"&amp;Current_Quarter&amp;")"),_xll.FDS($A22,"FF_OG_PROD_TOT_NET(QTR_R_NGL_BOE,"&amp;Current_Quarter&amp;")")/Inputs!$C$20),0)</f>
        <v>70</v>
      </c>
      <c r="F22" s="14">
        <f>+C22+D22/6+E22</f>
        <v>379.66666666666663</v>
      </c>
      <c r="G22" s="21">
        <f>(C22*Inputs!$C$15+D22*Inputs!$C$16+E22*Inputs!$C$17)*Inputs!$C$20</f>
        <v>1237952</v>
      </c>
      <c r="H22" s="19">
        <f>+G22/(F22*92)</f>
        <v>35.441615452151012</v>
      </c>
      <c r="I22" s="19">
        <f>_xll.FDS($A22,"FF_OG_PROD_EXP(QTR_R,"&amp;Current_Quarter&amp;")")/($F22*Inputs!$C$20/1000)</f>
        <v>5.0387448944535649</v>
      </c>
      <c r="J22" s="19">
        <f>_xll.FDS($A22,"FF_DEP_AMORT_EXP(QTR_R,"&amp;Current_Quarter&amp;")")/($F22*Inputs!$C$20/1000)</f>
        <v>14.486391571553998</v>
      </c>
      <c r="K22" s="19">
        <f>_xll.FDS($A22,"FF_SGA(QTR_R,"&amp;Current_Quarter&amp;")")/($F22*Inputs!$C$20/1000)</f>
        <v>4.5234187120662686</v>
      </c>
      <c r="L22" s="19">
        <f>+H22-I22-K22</f>
        <v>25.879451845631181</v>
      </c>
      <c r="M22" s="19">
        <f>+H22-I22-J22-K22</f>
        <v>11.393060274077181</v>
      </c>
      <c r="N22" s="14"/>
      <c r="O22" s="11"/>
      <c r="P22" s="11"/>
    </row>
    <row r="23" spans="1:16" ht="18.75" x14ac:dyDescent="0.3">
      <c r="A23" s="12" t="s">
        <v>43</v>
      </c>
      <c r="B23" s="13" t="str">
        <f>_xll.FDS($A23,"FG_COMPANY_NAME")</f>
        <v>Occidental Petroleum Corporation</v>
      </c>
      <c r="C23" s="14">
        <f>IFERROR(IFERROR(_xll.FDS($A23,"FF_OG_PROD_DAY(QTR_R_OIL_BOE,"&amp;Current_Quarter&amp;")"),_xll.FDS($A23,"FF_OG_PROD_TOT_NET(QTR_R_OIL_BOE,"&amp;Current_Quarter&amp;")")/Inputs!$C$20),0)</f>
        <v>396</v>
      </c>
      <c r="D23" s="15">
        <f>IFERROR(IFERROR(_xll.FDS($A23,"FF_OG_PROD_DAY(QTR_R_NG_CFE,"&amp;Current_Quarter&amp;")")/1000,_xll.FDS($A23,"FF_OG_PROD_TOT_NET(QTR_R_NG_CFE,"&amp;Current_Quarter&amp;")")/1000/Inputs!$C$20),0)</f>
        <v>810</v>
      </c>
      <c r="E23" s="15">
        <f>IFERROR(IFERROR(_xll.FDS($A23,"FF_OG_PROD_DAY(QTR_R_NGL_BOE,"&amp;Current_Quarter&amp;")"),_xll.FDS($A23,"FF_OG_PROD_TOT_NET(QTR_R_NGL_BOE,"&amp;Current_Quarter&amp;")")/Inputs!$C$20),0)</f>
        <v>90</v>
      </c>
      <c r="F23" s="14">
        <f>+C23+D23/6+E23</f>
        <v>621</v>
      </c>
      <c r="G23" s="21">
        <f>(C23*Inputs!$C$15+D23*Inputs!$C$16+E23*Inputs!$C$17)*Inputs!$C$20</f>
        <v>2641320</v>
      </c>
      <c r="H23" s="19">
        <f>+G23/(F23*92)</f>
        <v>46.231884057971016</v>
      </c>
      <c r="I23" s="24">
        <v>10</v>
      </c>
      <c r="J23" s="19">
        <f>_xll.FDS($A23,"FF_DEP_AMORT_EXP(QTR_R,"&amp;Current_Quarter&amp;")")/($F23*Inputs!$C$20/1000)</f>
        <v>19.586221382062593</v>
      </c>
      <c r="K23" s="19">
        <f>_xll.FDS($A23,"FF_SGA(QTR_R,"&amp;Current_Quarter&amp;")")/($F23*Inputs!$C$20/1000)</f>
        <v>7.8414898830777853</v>
      </c>
      <c r="L23" s="19">
        <f>+H23-I23-K23</f>
        <v>28.390394174893231</v>
      </c>
      <c r="M23" s="19">
        <f>+H23-I23-J23-K23</f>
        <v>8.8041727928306379</v>
      </c>
      <c r="N23" s="14"/>
      <c r="O23" s="11"/>
      <c r="P23" s="11"/>
    </row>
    <row r="24" spans="1:16" ht="18.75" x14ac:dyDescent="0.3">
      <c r="A24" s="12" t="s">
        <v>19</v>
      </c>
      <c r="B24" s="13" t="str">
        <f>_xll.FDS($A24,"FG_COMPANY_NAME")</f>
        <v>PDC Energy Inc</v>
      </c>
      <c r="C24" s="14">
        <f>IFERROR(IFERROR(_xll.FDS($A24,"FF_OG_PROD_DAY(QTR_R_OIL_BOE,"&amp;Current_Quarter&amp;")"),_xll.FDS($A24,"FF_OG_PROD_TOT_NET(QTR_R_OIL_BOE,"&amp;Current_Quarter&amp;")")/Inputs!$C$20),0)</f>
        <v>40.413043478260867</v>
      </c>
      <c r="D24" s="15">
        <f>IFERROR(IFERROR(_xll.FDS($A24,"FF_OG_PROD_DAY(QTR_R_NG_CFE,"&amp;Current_Quarter&amp;")")/1000,_xll.FDS($A24,"FF_OG_PROD_TOT_NET(QTR_R_NG_CFE,"&amp;Current_Quarter&amp;")")/1000/Inputs!$C$20),0)</f>
        <v>209.2608695652174</v>
      </c>
      <c r="E24" s="15">
        <f>IFERROR(IFERROR(_xll.FDS($A24,"FF_OG_PROD_DAY(QTR_R_NGL_BOE,"&amp;Current_Quarter&amp;")"),_xll.FDS($A24,"FF_OG_PROD_TOT_NET(QTR_R_NGL_BOE,"&amp;Current_Quarter&amp;")")/Inputs!$C$20),0)</f>
        <v>18.826086956521738</v>
      </c>
      <c r="F24" s="14">
        <f>+C24+D24/6+E24</f>
        <v>94.115942028985501</v>
      </c>
      <c r="G24" s="21">
        <f>(C24*Inputs!$C$15+D24*Inputs!$C$16+E24*Inputs!$C$17)*Inputs!$C$20</f>
        <v>329331.99999999994</v>
      </c>
      <c r="H24" s="19">
        <f>+G24/(F24*92)</f>
        <v>38.034955343393896</v>
      </c>
      <c r="I24" s="19">
        <f>_xll.FDS($A24,"FF_OG_PROD_EXP(QTR_R,"&amp;Current_Quarter&amp;")")/($F24*Inputs!$C$20/1000)</f>
        <v>4.8773098244533424</v>
      </c>
      <c r="J24" s="19">
        <f>_xll.FDS($A24,"FF_DEP_AMORT_EXP(QTR_R,"&amp;Current_Quarter&amp;")")/($F24*Inputs!$C$20/1000)</f>
        <v>13.098437018786575</v>
      </c>
      <c r="K24" s="19">
        <f>_xll.FDS($A24,"FF_SGA(QTR_R,"&amp;Current_Quarter&amp;")")/($F24*Inputs!$C$20/1000)</f>
        <v>4.0681783184477984</v>
      </c>
      <c r="L24" s="19">
        <f>+H24-I24-K24</f>
        <v>29.089467200492756</v>
      </c>
      <c r="M24" s="19">
        <f>+H24-I24-J24-K24</f>
        <v>15.991030181706179</v>
      </c>
      <c r="N24" s="14"/>
      <c r="O24" s="11"/>
      <c r="P24" s="11"/>
    </row>
    <row r="25" spans="1:16" ht="18.75" x14ac:dyDescent="0.3">
      <c r="A25" s="12" t="s">
        <v>11</v>
      </c>
      <c r="B25" s="13" t="str">
        <f>_xll.FDS($A25,"FG_COMPANY_NAME")</f>
        <v>Parsley Energy, Inc. Class A</v>
      </c>
      <c r="C25" s="14">
        <f>IFERROR(IFERROR(_xll.FDS($A25,"FF_OG_PROD_DAY(QTR_R_OIL_BOE,"&amp;Current_Quarter&amp;")"),_xll.FDS($A25,"FF_OG_PROD_TOT_NET(QTR_R_OIL_BOE,"&amp;Current_Quarter&amp;")")/Inputs!$C$20),0)</f>
        <v>51.489130434782609</v>
      </c>
      <c r="D25" s="15">
        <f>IFERROR(IFERROR(_xll.FDS($A25,"FF_OG_PROD_DAY(QTR_R_NG_CFE,"&amp;Current_Quarter&amp;")")/1000,_xll.FDS($A25,"FF_OG_PROD_TOT_NET(QTR_R_NG_CFE,"&amp;Current_Quarter&amp;")")/1000/Inputs!$C$20),0)</f>
        <v>78.489130434782609</v>
      </c>
      <c r="E25" s="15">
        <f>IFERROR(IFERROR(_xll.FDS($A25,"FF_OG_PROD_DAY(QTR_R_NGL_BOE,"&amp;Current_Quarter&amp;")"),_xll.FDS($A25,"FF_OG_PROD_TOT_NET(QTR_R_NGL_BOE,"&amp;Current_Quarter&amp;")")/Inputs!$C$20),0)</f>
        <v>15.75</v>
      </c>
      <c r="F25" s="14">
        <f>+C25+D25/6+E25</f>
        <v>80.320652173913047</v>
      </c>
      <c r="G25" s="21">
        <f>(C25*Inputs!$C$15+D25*Inputs!$C$16+E25*Inputs!$C$17)*Inputs!$C$20</f>
        <v>346455</v>
      </c>
      <c r="H25" s="19">
        <f>+G25/(F25*92)</f>
        <v>46.884768928885578</v>
      </c>
      <c r="I25" s="19">
        <f>_xll.FDS($A25,"FF_OG_PROD_EXP(QTR_R,"&amp;Current_Quarter&amp;")")/($F25*Inputs!$C$20/1000)</f>
        <v>6.4496921307260298</v>
      </c>
      <c r="J25" s="19">
        <f>_xll.FDS($A25,"FF_DEP_AMORT_EXP(QTR_R,"&amp;Current_Quarter&amp;")")/($F25*Inputs!$C$20/1000)</f>
        <v>14.279315244603829</v>
      </c>
      <c r="K25" s="19">
        <f>_xll.FDS($A25,"FF_SGA(QTR_R,"&amp;Current_Quarter&amp;")")/($F25*Inputs!$C$20/1000)</f>
        <v>4.7200757832058997</v>
      </c>
      <c r="L25" s="19">
        <f>+H25-I25-K25</f>
        <v>35.71500101495365</v>
      </c>
      <c r="M25" s="19">
        <f>+H25-I25-J25-K25</f>
        <v>21.435685770349821</v>
      </c>
      <c r="N25" s="14"/>
      <c r="O25" s="11"/>
      <c r="P25" s="11"/>
    </row>
    <row r="26" spans="1:16" ht="18.75" x14ac:dyDescent="0.3">
      <c r="A26" s="12" t="s">
        <v>15</v>
      </c>
      <c r="B26" s="13" t="str">
        <f>_xll.FDS($A26,"FG_COMPANY_NAME")</f>
        <v>Pioneer Natural Resources Company</v>
      </c>
      <c r="C26" s="14">
        <f>IFERROR(IFERROR(_xll.FDS($A26,"FF_OG_PROD_DAY(QTR_R_OIL_BOE,"&amp;Current_Quarter&amp;")"),_xll.FDS($A26,"FF_OG_PROD_TOT_NET(QTR_R_OIL_BOE,"&amp;Current_Quarter&amp;")")/Inputs!$C$20),0)</f>
        <v>179.73699999999999</v>
      </c>
      <c r="D26" s="15">
        <f>IFERROR(IFERROR(_xll.FDS($A26,"FF_OG_PROD_DAY(QTR_R_NG_CFE,"&amp;Current_Quarter&amp;")")/1000,_xll.FDS($A26,"FF_OG_PROD_TOT_NET(QTR_R_NG_CFE,"&amp;Current_Quarter&amp;")")/1000/Inputs!$C$20),0)</f>
        <v>377.14100000000002</v>
      </c>
      <c r="E26" s="15">
        <f>IFERROR(IFERROR(_xll.FDS($A26,"FF_OG_PROD_DAY(QTR_R_NGL_BOE,"&amp;Current_Quarter&amp;")"),_xll.FDS($A26,"FF_OG_PROD_TOT_NET(QTR_R_NGL_BOE,"&amp;Current_Quarter&amp;")")/Inputs!$C$20),0)</f>
        <v>62.395000000000003</v>
      </c>
      <c r="F26" s="14">
        <f>+C26+D26/6+E26</f>
        <v>304.98883333333333</v>
      </c>
      <c r="G26" s="21">
        <f>(C26*Inputs!$C$15+D26*Inputs!$C$16+E26*Inputs!$C$17)*Inputs!$C$20</f>
        <v>1256968.676</v>
      </c>
      <c r="H26" s="19">
        <f>+G26/(F26*92)</f>
        <v>44.797387663919935</v>
      </c>
      <c r="I26" s="19">
        <f>_xll.FDS($A26,"FF_OG_PROD_EXP(QTR_R,"&amp;Current_Quarter&amp;")")/($F26*Inputs!$C$20/1000)</f>
        <v>7.6267938438896037</v>
      </c>
      <c r="J26" s="19">
        <f>_xll.FDS($A26,"FF_DEP_AMORT_EXP(QTR_R,"&amp;Current_Quarter&amp;")")/($F26*Inputs!$C$20/1000)</f>
        <v>13.257791167882862</v>
      </c>
      <c r="K26" s="19">
        <f>_xll.FDS($A26,"FF_SGA(QTR_R,"&amp;Current_Quarter&amp;")")/($F26*Inputs!$C$20/1000)</f>
        <v>2.8511378855662071</v>
      </c>
      <c r="L26" s="19">
        <f>+H26-I26-K26</f>
        <v>34.319455934464123</v>
      </c>
      <c r="M26" s="19">
        <f>+H26-I26-J26-K26</f>
        <v>21.061664766581263</v>
      </c>
      <c r="N26" s="14"/>
      <c r="O26" s="11"/>
      <c r="P26" s="11"/>
    </row>
    <row r="27" spans="1:16" ht="18.75" x14ac:dyDescent="0.3">
      <c r="A27" s="12" t="s">
        <v>5</v>
      </c>
      <c r="B27" s="13" t="str">
        <f>_xll.FDS($A27,"FG_COMPANY_NAME")</f>
        <v>QEP Resources, Inc.</v>
      </c>
      <c r="C27" s="14">
        <f>IFERROR(IFERROR(_xll.FDS($A27,"FF_OG_PROD_DAY(QTR_R_OIL_BOE,"&amp;Current_Quarter&amp;")"),_xll.FDS($A27,"FF_OG_PROD_TOT_NET(QTR_R_OIL_BOE,"&amp;Current_Quarter&amp;")")/Inputs!$C$20),0)</f>
        <v>56.963043478260872</v>
      </c>
      <c r="D27" s="15">
        <f>IFERROR(IFERROR(_xll.FDS($A27,"FF_OG_PROD_DAY(QTR_R_NG_CFE,"&amp;Current_Quarter&amp;")")/1000,_xll.FDS($A27,"FF_OG_PROD_TOT_NET(QTR_R_NG_CFE,"&amp;Current_Quarter&amp;")")/1000/Inputs!$C$20),0)</f>
        <v>370.6521739130435</v>
      </c>
      <c r="E27" s="15">
        <f>IFERROR(IFERROR(_xll.FDS($A27,"FF_OG_PROD_DAY(QTR_R_NGL_BOE,"&amp;Current_Quarter&amp;")"),_xll.FDS($A27,"FF_OG_PROD_TOT_NET(QTR_R_NGL_BOE,"&amp;Current_Quarter&amp;")")/Inputs!$C$20),0)</f>
        <v>12.401086956521739</v>
      </c>
      <c r="F27" s="14">
        <f>+C27+D27/6+E27</f>
        <v>131.13949275362319</v>
      </c>
      <c r="G27" s="21">
        <f>(C27*Inputs!$C$15+D27*Inputs!$C$16+E27*Inputs!$C$17)*Inputs!$C$20</f>
        <v>448681.2</v>
      </c>
      <c r="H27" s="19">
        <f>+G27/(F27*92)</f>
        <v>37.189175150920718</v>
      </c>
      <c r="I27" s="19">
        <f>_xll.FDS($A27,"FF_OG_PROD_EXP(QTR_R,"&amp;Current_Quarter&amp;")")/($F27*Inputs!$C$20/1000)</f>
        <v>8.9184820898202748</v>
      </c>
      <c r="J27" s="19">
        <f>_xll.FDS($A27,"FF_DEP_AMORT_EXP(QTR_R,"&amp;Current_Quarter&amp;")")/($F27*Inputs!$C$20/1000)</f>
        <v>16.162676649767228</v>
      </c>
      <c r="K27" s="19">
        <f>_xll.FDS($A27,"FF_SGA(QTR_R,"&amp;Current_Quarter&amp;")")/($F27*Inputs!$C$20/1000)</f>
        <v>3.7464255618947631</v>
      </c>
      <c r="L27" s="19">
        <f>+H27-I27-K27</f>
        <v>24.524267499205681</v>
      </c>
      <c r="M27" s="19">
        <f>+H27-I27-J27-K27</f>
        <v>8.3615908494384534</v>
      </c>
      <c r="N27" s="14"/>
      <c r="O27" s="11"/>
      <c r="P27" s="11"/>
    </row>
    <row r="28" spans="1:16" ht="18.75" x14ac:dyDescent="0.3">
      <c r="A28" s="12" t="s">
        <v>41</v>
      </c>
      <c r="B28" s="13" t="str">
        <f>_xll.FDS($A28,"FG_COMPANY_NAME")</f>
        <v>Resolute Energy Corporation</v>
      </c>
      <c r="C28" s="14">
        <f>IFERROR(IFERROR(_xll.FDS($A28,"FF_OG_PROD_DAY(QTR_R_OIL_BOE,"&amp;Current_Quarter&amp;")"),_xll.FDS($A28,"FF_OG_PROD_TOT_NET(QTR_R_OIL_BOE,"&amp;Current_Quarter&amp;")")/Inputs!$C$20),0)</f>
        <v>14.467391304347826</v>
      </c>
      <c r="D28" s="15">
        <f>IFERROR(IFERROR(_xll.FDS($A28,"FF_OG_PROD_DAY(QTR_R_NG_CFE,"&amp;Current_Quarter&amp;")")/1000,_xll.FDS($A28,"FF_OG_PROD_TOT_NET(QTR_R_NG_CFE,"&amp;Current_Quarter&amp;")")/1000/Inputs!$C$20),0)</f>
        <v>40.597826086956523</v>
      </c>
      <c r="E28" s="15">
        <f>IFERROR(IFERROR(_xll.FDS($A28,"FF_OG_PROD_DAY(QTR_R_NGL_BOE,"&amp;Current_Quarter&amp;")"),_xll.FDS($A28,"FF_OG_PROD_TOT_NET(QTR_R_NGL_BOE,"&amp;Current_Quarter&amp;")")/Inputs!$C$20),0)</f>
        <v>6.3586956521739131</v>
      </c>
      <c r="F28" s="14">
        <f>+C28+D28/6+E28</f>
        <v>27.592391304347828</v>
      </c>
      <c r="G28" s="21">
        <f>(C28*Inputs!$C$15+D28*Inputs!$C$16+E28*Inputs!$C$17)*Inputs!$C$20</f>
        <v>107445</v>
      </c>
      <c r="H28" s="19">
        <f>+G28/(F28*92)</f>
        <v>42.326176876107937</v>
      </c>
      <c r="I28" s="19">
        <f>_xll.FDS($A28,"FF_OG_PROD_EXP(QTR_R,"&amp;Current_Quarter&amp;")")/($F28*Inputs!$C$20/1000)</f>
        <v>6.9407130194997047</v>
      </c>
      <c r="J28" s="19">
        <f>_xll.FDS($A28,"FF_DEP_AMORT_EXP(QTR_R,"&amp;Current_Quarter&amp;")")/($F28*Inputs!$C$20/1000)</f>
        <v>11.108922592081939</v>
      </c>
      <c r="K28" s="19">
        <f>_xll.FDS($A28,"FF_SGA(QTR_R,"&amp;Current_Quarter&amp;")")/($F28*Inputs!$C$20/1000)</f>
        <v>10.34784321449675</v>
      </c>
      <c r="L28" s="19">
        <f>+H28-I28-K28</f>
        <v>25.037620642111484</v>
      </c>
      <c r="M28" s="19">
        <f>+H28-I28-J28-K28</f>
        <v>13.928698050029544</v>
      </c>
      <c r="N28" s="14"/>
      <c r="O28" s="11"/>
      <c r="P28" s="11"/>
    </row>
    <row r="29" spans="1:16" ht="18.75" x14ac:dyDescent="0.3">
      <c r="A29" s="12" t="s">
        <v>12</v>
      </c>
      <c r="B29" s="13" t="str">
        <f>_xll.FDS($A29,"FG_COMPANY_NAME")</f>
        <v>RSP Permian, Inc.</v>
      </c>
      <c r="C29" s="14">
        <f>IFERROR(IFERROR(_xll.FDS($A29,"FF_OG_PROD_DAY(QTR_R_OIL_BOE,"&amp;Current_Quarter&amp;")"),_xll.FDS($A29,"FF_OG_PROD_TOT_NET(QTR_R_OIL_BOE,"&amp;Current_Quarter&amp;")")/Inputs!$C$20),0)</f>
        <v>44.304000000000002</v>
      </c>
      <c r="D29" s="15">
        <f>IFERROR(IFERROR(_xll.FDS($A29,"FF_OG_PROD_DAY(QTR_R_NG_CFE,"&amp;Current_Quarter&amp;")")/1000,_xll.FDS($A29,"FF_OG_PROD_TOT_NET(QTR_R_NG_CFE,"&amp;Current_Quarter&amp;")")/1000/Inputs!$C$20),0)</f>
        <v>44.927999999999997</v>
      </c>
      <c r="E29" s="15">
        <f>IFERROR(IFERROR(_xll.FDS($A29,"FF_OG_PROD_DAY(QTR_R_NGL_BOE,"&amp;Current_Quarter&amp;")"),_xll.FDS($A29,"FF_OG_PROD_TOT_NET(QTR_R_NGL_BOE,"&amp;Current_Quarter&amp;")")/Inputs!$C$20),0)</f>
        <v>10.608000000000001</v>
      </c>
      <c r="F29" s="14">
        <f>+C29+D29/6+E29</f>
        <v>62.400000000000006</v>
      </c>
      <c r="G29" s="21">
        <f>(C29*Inputs!$C$15+D29*Inputs!$C$16+E29*Inputs!$C$17)*Inputs!$C$20</f>
        <v>284284.41600000003</v>
      </c>
      <c r="H29" s="19">
        <f>+G29/(F29*92)</f>
        <v>49.52</v>
      </c>
      <c r="I29" s="19">
        <f>_xll.FDS($A29,"FF_OG_PROD_EXP(QTR_R,"&amp;Current_Quarter&amp;")")/($F29*Inputs!$C$20/1000)</f>
        <v>8.9222756410256405</v>
      </c>
      <c r="J29" s="19">
        <f>_xll.FDS($A29,"FF_DEP_AMORT_EXP(QTR_R,"&amp;Current_Quarter&amp;")")/($F29*Inputs!$C$20/1000)</f>
        <v>22.687604515050168</v>
      </c>
      <c r="K29" s="19">
        <f>_xll.FDS($A29,"FF_SGA(QTR_R,"&amp;Current_Quarter&amp;")")/($F29*Inputs!$C$20/1000)</f>
        <v>1.9566959308807135</v>
      </c>
      <c r="L29" s="19">
        <f>+H29-I29-K29</f>
        <v>38.641028428093648</v>
      </c>
      <c r="M29" s="19">
        <f>+H29-I29-J29-K29</f>
        <v>15.95342391304348</v>
      </c>
      <c r="N29" s="14"/>
      <c r="O29" s="11"/>
    </row>
    <row r="30" spans="1:16" ht="18.75" x14ac:dyDescent="0.3">
      <c r="A30" s="12" t="s">
        <v>18</v>
      </c>
      <c r="B30" s="13" t="str">
        <f>_xll.FDS($A30,"FG_COMPANY_NAME")</f>
        <v>SM Energy Company</v>
      </c>
      <c r="C30" s="14">
        <f>IFERROR(IFERROR(_xll.FDS($A30,"FF_OG_PROD_DAY(QTR_R_OIL_BOE,"&amp;Current_Quarter&amp;")"),_xll.FDS($A30,"FF_OG_PROD_TOT_NET(QTR_R_OIL_BOE,"&amp;Current_Quarter&amp;")")/Inputs!$C$20),0)</f>
        <v>41.5</v>
      </c>
      <c r="D30" s="15">
        <f>IFERROR(IFERROR(_xll.FDS($A30,"FF_OG_PROD_DAY(QTR_R_NG_CFE,"&amp;Current_Quarter&amp;")")/1000,_xll.FDS($A30,"FF_OG_PROD_TOT_NET(QTR_R_NG_CFE,"&amp;Current_Quarter&amp;")")/1000/Inputs!$C$20),0)</f>
        <v>282.5</v>
      </c>
      <c r="E30" s="15">
        <f>IFERROR(IFERROR(_xll.FDS($A30,"FF_OG_PROD_DAY(QTR_R_NGL_BOE,"&amp;Current_Quarter&amp;")"),_xll.FDS($A30,"FF_OG_PROD_TOT_NET(QTR_R_NGL_BOE,"&amp;Current_Quarter&amp;")")/Inputs!$C$20),0)</f>
        <v>24</v>
      </c>
      <c r="F30" s="14">
        <f>+C30+D30/6+E30</f>
        <v>112.58333333333334</v>
      </c>
      <c r="G30" s="21">
        <f>(C30*Inputs!$C$15+D30*Inputs!$C$16+E30*Inputs!$C$17)*Inputs!$C$20</f>
        <v>368874</v>
      </c>
      <c r="H30" s="19">
        <f>+G30/(F30*92)</f>
        <v>35.613619541080674</v>
      </c>
      <c r="I30" s="19">
        <f>_xll.FDS($A30,"FF_OG_PROD_EXP(QTR_R,"&amp;Current_Quarter&amp;")")/($F30*Inputs!$C$20/1000)</f>
        <v>6.8451710488205189</v>
      </c>
      <c r="J30" s="19">
        <f>_xll.FDS($A30,"FF_DEP_AMORT_EXP(QTR_R,"&amp;Current_Quarter&amp;")")/($F30*Inputs!$C$20/1000)</f>
        <v>14.085122131754254</v>
      </c>
      <c r="K30" s="19">
        <f>_xll.FDS($A30,"FF_SGA(QTR_R,"&amp;Current_Quarter&amp;")")/($F30*Inputs!$C$20/1000)</f>
        <v>3.3811669294886229</v>
      </c>
      <c r="L30" s="19">
        <f>+H30-I30-K30</f>
        <v>25.387281562771534</v>
      </c>
      <c r="M30" s="19">
        <f>+H30-I30-J30-K30</f>
        <v>11.302159431017278</v>
      </c>
      <c r="N30" s="14"/>
      <c r="O30" s="11"/>
    </row>
    <row r="31" spans="1:16" ht="18.75" x14ac:dyDescent="0.3">
      <c r="A31" s="12" t="s">
        <v>88</v>
      </c>
      <c r="B31" s="13" t="str">
        <f>_xll.FDS($A31,"FG_COMPANY_NAME")</f>
        <v>U.S. Energy Corp.</v>
      </c>
      <c r="C31" s="14">
        <f>IFERROR(IFERROR(_xll.FDS($A31,"FF_OG_PROD_DAY(QTR_R_OIL_BOE,"&amp;Current_Quarter&amp;")"),_xll.FDS($A31,"FF_OG_PROD_TOT_NET(QTR_R_OIL_BOE,"&amp;Current_Quarter&amp;")")/Inputs!$C$20),0)</f>
        <v>0.18342391304347827</v>
      </c>
      <c r="D31" s="15">
        <f>IFERROR(IFERROR(_xll.FDS($A31,"FF_OG_PROD_DAY(QTR_R_NG_CFE,"&amp;Current_Quarter&amp;")")/1000,_xll.FDS($A31,"FF_OG_PROD_TOT_NET(QTR_R_NG_CFE,"&amp;Current_Quarter&amp;")")/1000/Inputs!$C$20),0)</f>
        <v>1.2333586956521738</v>
      </c>
      <c r="E31" s="15">
        <f>IFERROR(IFERROR(_xll.FDS($A31,"FF_OG_PROD_DAY(QTR_R_NGL_BOE,"&amp;Current_Quarter&amp;")"),_xll.FDS($A31,"FF_OG_PROD_TOT_NET(QTR_R_NGL_BOE,"&amp;Current_Quarter&amp;")")/Inputs!$C$20),0)</f>
        <v>0</v>
      </c>
      <c r="F31" s="14">
        <f>+C31+D31/6+E31</f>
        <v>0.38898369565217394</v>
      </c>
      <c r="G31" s="21">
        <f>(C31*Inputs!$C$15+D31*Inputs!$C$16+E31*Inputs!$C$17)*Inputs!$C$20</f>
        <v>1352.9069999999999</v>
      </c>
      <c r="H31" s="19">
        <f>+G31/(F31*92)</f>
        <v>37.804954382239103</v>
      </c>
      <c r="I31" s="19">
        <f>_xll.FDS($A31,"FF_OG_PROD_EXP(QTR_R,"&amp;Current_Quarter&amp;")")/($F31*Inputs!$C$20/1000)</f>
        <v>19.281013790116379</v>
      </c>
      <c r="J31" s="19">
        <f>_xll.FDS($A31,"FF_DEP_AMORT_EXP(QTR_R,"&amp;Current_Quarter&amp;")")/($F31*Inputs!$C$20/1000)</f>
        <v>4.6665642071730957</v>
      </c>
      <c r="K31" s="19">
        <f>_xll.FDS($A31,"FF_SGA(QTR_R,"&amp;Current_Quarter&amp;")")/($F31*Inputs!$C$20/1000)</f>
        <v>17.49262990233747</v>
      </c>
      <c r="L31" s="19">
        <f>+H31-I31-K31</f>
        <v>1.0313106897852542</v>
      </c>
      <c r="M31" s="19">
        <f>+H31-I31-J31-K31</f>
        <v>-3.6352535173878415</v>
      </c>
    </row>
    <row r="32" spans="1:16" ht="18.75" x14ac:dyDescent="0.3">
      <c r="A32" s="12" t="s">
        <v>14</v>
      </c>
      <c r="B32" s="13" t="str">
        <f>_xll.FDS($A32,"FG_COMPANY_NAME")</f>
        <v>WPX Energy, Inc. Class A</v>
      </c>
      <c r="C32" s="14">
        <f>IFERROR(IFERROR(_xll.FDS($A32,"FF_OG_PROD_DAY(QTR_R_OIL_BOE,"&amp;Current_Quarter&amp;")"),_xll.FDS($A32,"FF_OG_PROD_TOT_NET(QTR_R_OIL_BOE,"&amp;Current_Quarter&amp;")")/Inputs!$C$20),0)</f>
        <v>75.2</v>
      </c>
      <c r="D32" s="15">
        <f>IFERROR(IFERROR(_xll.FDS($A32,"FF_OG_PROD_DAY(QTR_R_NG_CFE,"&amp;Current_Quarter&amp;")")/1000,_xll.FDS($A32,"FF_OG_PROD_TOT_NET(QTR_R_NG_CFE,"&amp;Current_Quarter&amp;")")/1000/Inputs!$C$20),0)</f>
        <v>231</v>
      </c>
      <c r="E32" s="15">
        <f>IFERROR(IFERROR(_xll.FDS($A32,"FF_OG_PROD_DAY(QTR_R_NGL_BOE,"&amp;Current_Quarter&amp;")"),_xll.FDS($A32,"FF_OG_PROD_TOT_NET(QTR_R_NGL_BOE,"&amp;Current_Quarter&amp;")")/Inputs!$C$20),0)</f>
        <v>16.8</v>
      </c>
      <c r="F32" s="14">
        <f>+C32+D32/6+E32</f>
        <v>130.5</v>
      </c>
      <c r="G32" s="21">
        <f>(C32*Inputs!$C$15+D32*Inputs!$C$16+E32*Inputs!$C$17)*Inputs!$C$20</f>
        <v>522136.8</v>
      </c>
      <c r="H32" s="19">
        <f>+G32/(F32*92)</f>
        <v>43.489655172413791</v>
      </c>
      <c r="I32" s="19">
        <f>_xll.FDS($A32,"FF_OG_PROD_EXP(QTR_R,"&amp;Current_Quarter&amp;")")/($F32*Inputs!$C$20/1000)</f>
        <v>7.7461269365317342</v>
      </c>
      <c r="J32" s="19">
        <f>_xll.FDS($A32,"FF_DEP_AMORT_EXP(QTR_R,"&amp;Current_Quarter&amp;")")/($F32*Inputs!$C$20/1000)</f>
        <v>17.158087622855238</v>
      </c>
      <c r="K32" s="19">
        <f>_xll.FDS($A32,"FF_SGA(QTR_R,"&amp;Current_Quarter&amp;")")/($F32*Inputs!$C$20/1000)</f>
        <v>3.5815425620523071</v>
      </c>
      <c r="L32" s="19">
        <f>+H32-I32-K32</f>
        <v>32.161985673829747</v>
      </c>
      <c r="M32" s="19">
        <f>+H32-I32-J32-K32</f>
        <v>15.003898050974508</v>
      </c>
    </row>
    <row r="33" spans="1:13" ht="18.75" x14ac:dyDescent="0.3">
      <c r="A33" s="12" t="s">
        <v>4</v>
      </c>
      <c r="B33" s="13" t="str">
        <f>_xll.FDS($A33,"FG_COMPANY_NAME")</f>
        <v>Cimarex Energy Co.</v>
      </c>
      <c r="C33" s="14">
        <f>IFERROR(IFERROR(_xll.FDS($A33,"FF_OG_PROD_DAY(QTR_R_OIL_BOE,"&amp;Current_Quarter&amp;")"),_xll.FDS($A33,"FF_OG_PROD_TOT_NET(QTR_R_OIL_BOE,"&amp;Current_Quarter&amp;")")/Inputs!$C$20),0)</f>
        <v>61.771000000000001</v>
      </c>
      <c r="D33" s="15">
        <f>IFERROR(IFERROR(_xll.FDS($A33,"FF_OG_PROD_DAY(QTR_R_NG_CFE,"&amp;Current_Quarter&amp;")")/1000,_xll.FDS($A33,"FF_OG_PROD_TOT_NET(QTR_R_NG_CFE,"&amp;Current_Quarter&amp;")")/1000/Inputs!$C$20),0)</f>
        <v>534</v>
      </c>
      <c r="E33" s="15">
        <f>IFERROR(IFERROR(_xll.FDS($A33,"FF_OG_PROD_DAY(QTR_R_NGL_BOE,"&amp;Current_Quarter&amp;")"),_xll.FDS($A33,"FF_OG_PROD_TOT_NET(QTR_R_NGL_BOE,"&amp;Current_Quarter&amp;")")/Inputs!$C$20),0)</f>
        <v>49.954000000000001</v>
      </c>
      <c r="F33" s="14">
        <f>+C33+D33/6+E33</f>
        <v>200.72500000000002</v>
      </c>
      <c r="G33" s="21">
        <f>(C33*Inputs!$C$15+D33*Inputs!$C$16+E33*Inputs!$C$17)*Inputs!$C$20</f>
        <v>617041.424</v>
      </c>
      <c r="H33" s="19">
        <f>+G33/(F33*92)</f>
        <v>33.413735209864242</v>
      </c>
      <c r="I33" s="19">
        <f>_xll.FDS($A33,"FF_OG_PROD_EXP(QTR_R,"&amp;Current_Quarter&amp;")")/($F33*Inputs!$C$20/1000)</f>
        <v>5.3356040873572432</v>
      </c>
      <c r="J33" s="19">
        <f>_xll.FDS($A33,"FF_DEP_AMORT_EXP(QTR_R,"&amp;Current_Quarter&amp;")")/($F33*Inputs!$C$20/1000)</f>
        <v>7.7156178418450514</v>
      </c>
      <c r="K33" s="19">
        <f>_xll.FDS($A33,"FF_SGA(QTR_R,"&amp;Current_Quarter&amp;")")/($F33*Inputs!$C$20/1000)</f>
        <v>1.5053041420502851</v>
      </c>
      <c r="L33" s="19">
        <f>+H33-I33-K33</f>
        <v>26.572826980456714</v>
      </c>
      <c r="M33" s="19">
        <f>+H33-I33-J33-K33</f>
        <v>18.857209138611662</v>
      </c>
    </row>
  </sheetData>
  <autoFilter ref="A1:M33">
    <sortState ref="A2:M33">
      <sortCondition ref="A1:A33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85" zoomScaleNormal="85" workbookViewId="0">
      <pane xSplit="2" ySplit="1" topLeftCell="C5" activePane="bottomRight" state="frozen"/>
      <selection activeCell="D9" sqref="D9"/>
      <selection pane="topRight" activeCell="D9" sqref="D9"/>
      <selection pane="bottomLeft" activeCell="D9" sqref="D9"/>
      <selection pane="bottomRight" activeCell="B24" sqref="B24"/>
    </sheetView>
  </sheetViews>
  <sheetFormatPr defaultRowHeight="15" x14ac:dyDescent="0.25"/>
  <cols>
    <col min="1" max="1" width="11.28515625" style="8" customWidth="1"/>
    <col min="2" max="2" width="34" style="9" customWidth="1"/>
    <col min="3" max="3" width="20.5703125" style="10" customWidth="1"/>
    <col min="4" max="4" width="16.7109375" style="10" bestFit="1" customWidth="1"/>
    <col min="5" max="5" width="18.85546875" style="10" customWidth="1"/>
    <col min="6" max="6" width="18.28515625" style="10" customWidth="1"/>
    <col min="7" max="11" width="19.42578125" style="1" customWidth="1"/>
    <col min="12" max="16384" width="9.140625" style="1"/>
  </cols>
  <sheetData>
    <row r="1" spans="1:14" ht="67.5" customHeight="1" x14ac:dyDescent="0.25">
      <c r="A1" s="22" t="s">
        <v>0</v>
      </c>
      <c r="B1" s="22" t="s">
        <v>1</v>
      </c>
      <c r="C1" s="22" t="s">
        <v>48</v>
      </c>
      <c r="D1" s="22" t="s">
        <v>49</v>
      </c>
      <c r="E1" s="22" t="s">
        <v>50</v>
      </c>
      <c r="F1" s="22" t="s">
        <v>34</v>
      </c>
      <c r="G1" s="22" t="s">
        <v>60</v>
      </c>
      <c r="H1" s="22" t="s">
        <v>66</v>
      </c>
      <c r="I1" s="22" t="s">
        <v>67</v>
      </c>
      <c r="J1" s="22" t="s">
        <v>68</v>
      </c>
      <c r="K1" s="22" t="s">
        <v>65</v>
      </c>
    </row>
    <row r="2" spans="1:14" ht="18.75" x14ac:dyDescent="0.3">
      <c r="A2" s="12" t="s">
        <v>19</v>
      </c>
      <c r="B2" s="13" t="str">
        <f>_xll.FDS($A2,"FG_COMPANY_NAME")</f>
        <v>PDC Energy Inc</v>
      </c>
      <c r="C2" s="14">
        <f>IFERROR(IFERROR(_xll.FDS($A2,"FF_OG_PROD_DAY(QTR_R_OIL_BOE,"&amp;Current_Quarter&amp;")"),_xll.FDS($A2,"FF_OG_PROD_TOT_NET(QTR_R_OIL_BOE,"&amp;Current_Quarter&amp;")")/Inputs!$C$20),0)</f>
        <v>40.413043478260867</v>
      </c>
      <c r="D2" s="15">
        <f>IFERROR(IFERROR(_xll.FDS($A2,"FF_OG_PROD_DAY(QTR_R_NG_CFE,"&amp;Current_Quarter&amp;")")/1000,_xll.FDS($A2,"FF_OG_PROD_TOT_NET(QTR_R_NG_CFE,"&amp;Current_Quarter&amp;")")/1000/Inputs!$C$20),0)</f>
        <v>209.2608695652174</v>
      </c>
      <c r="E2" s="15">
        <f>IFERROR(IFERROR(_xll.FDS($A2,"FF_OG_PROD_DAY(QTR_R_NGL_BOE,"&amp;Current_Quarter&amp;")"),_xll.FDS($A2,"FF_OG_PROD_TOT_NET(QTR_R_NGL_BOE,"&amp;Current_Quarter&amp;")")/Inputs!$C$20),0)</f>
        <v>18.826086956521738</v>
      </c>
      <c r="F2" s="14">
        <f t="shared" ref="F2:F29" si="0">+C2+D2/6+E2</f>
        <v>94.115942028985501</v>
      </c>
      <c r="G2" s="14">
        <f>IFERROR(IFERROR(_xll.FDS($A2,"FF_OG_PROD_DAY(QTR_R_OIL_BOE,"&amp;Prev_Quarter&amp;")"),_xll.FDS($A2,"FF_OG_PROD_TOT_NET(QTR_R_OIL_BOE,"&amp;Prev_Quarter&amp;")")/Inputs!$C$20),0)</f>
        <v>36.996400000000001</v>
      </c>
      <c r="H2" s="15">
        <f>IFERROR(IFERROR(_xll.FDS($A2,"FF_OG_PROD_DAY(QTR_R_NG_CFE,"&amp;Prev_Quarter&amp;")")/1000,_xll.FDS($A2,"FF_OG_PROD_TOT_NET(QTR_R_NG_CFE,"&amp;Prev_Quarter&amp;")")/1000/Inputs!$C$20),0)</f>
        <v>207.28260869565219</v>
      </c>
      <c r="I2" s="15">
        <f>IFERROR(IFERROR(_xll.FDS($A2,"FF_OG_PROD_DAY(QTR_R_NGL_BOE,"&amp;Prev_Quarter&amp;")"),_xll.FDS($A2,"FF_OG_PROD_TOT_NET(QTR_R_NGL_BOE,"&amp;Prev_Quarter&amp;")")/Inputs!$C$20),0)</f>
        <v>20.565217391304348</v>
      </c>
      <c r="J2" s="14">
        <f>+G2+H2/6+I2</f>
        <v>92.108718840579712</v>
      </c>
      <c r="K2" s="27">
        <f t="shared" ref="K2:K29" si="1">+F2/J2-1</f>
        <v>2.1791891296195853E-2</v>
      </c>
      <c r="L2" s="14"/>
      <c r="M2" s="11"/>
      <c r="N2" s="11"/>
    </row>
    <row r="3" spans="1:14" ht="18.75" x14ac:dyDescent="0.3">
      <c r="A3" s="12" t="s">
        <v>40</v>
      </c>
      <c r="B3" s="13" t="str">
        <f>_xll.FDS($A3,"FG_COMPANY_NAME")</f>
        <v>Approach Resources Inc.</v>
      </c>
      <c r="C3" s="14">
        <f>IFERROR(IFERROR(_xll.FDS($A3,"FF_OG_PROD_DAY(QTR_R_OIL_BOE,"&amp;Current_Quarter&amp;")"),_xll.FDS($A3,"FF_OG_PROD_TOT_NET(QTR_R_OIL_BOE,"&amp;Current_Quarter&amp;")")/Inputs!$C$20),0)</f>
        <v>2.9</v>
      </c>
      <c r="D3" s="15">
        <f>IFERROR(IFERROR(_xll.FDS($A3,"FF_OG_PROD_DAY(QTR_R_NG_CFE,"&amp;Current_Quarter&amp;")")/1000,_xll.FDS($A3,"FF_OG_PROD_TOT_NET(QTR_R_NG_CFE,"&amp;Current_Quarter&amp;")")/1000/Inputs!$C$20),0)</f>
        <v>27.143999999999998</v>
      </c>
      <c r="E3" s="15">
        <f>IFERROR(IFERROR(_xll.FDS($A3,"FF_OG_PROD_DAY(QTR_R_NGL_BOE,"&amp;Current_Quarter&amp;")"),_xll.FDS($A3,"FF_OG_PROD_TOT_NET(QTR_R_NGL_BOE,"&amp;Current_Quarter&amp;")")/Inputs!$C$20),0)</f>
        <v>4.1760000000000002</v>
      </c>
      <c r="F3" s="14">
        <f t="shared" si="0"/>
        <v>11.6</v>
      </c>
      <c r="G3" s="14">
        <f>IFERROR(IFERROR(_xll.FDS($A3,"FF_OG_PROD_DAY(QTR_R_OIL_BOE,"&amp;Prev_Quarter&amp;")"),_xll.FDS($A3,"FF_OG_PROD_TOT_NET(QTR_R_OIL_BOE,"&amp;Prev_Quarter&amp;")")/Inputs!$C$20),0)</f>
        <v>2.99</v>
      </c>
      <c r="H3" s="15">
        <f>IFERROR(IFERROR(_xll.FDS($A3,"FF_OG_PROD_DAY(QTR_R_NG_CFE,"&amp;Prev_Quarter&amp;")")/1000,_xll.FDS($A3,"FF_OG_PROD_TOT_NET(QTR_R_NG_CFE,"&amp;Prev_Quarter&amp;")")/1000/Inputs!$C$20),0)</f>
        <v>26.91</v>
      </c>
      <c r="I3" s="15">
        <f>IFERROR(IFERROR(_xll.FDS($A3,"FF_OG_PROD_DAY(QTR_R_NGL_BOE,"&amp;Prev_Quarter&amp;")"),_xll.FDS($A3,"FF_OG_PROD_TOT_NET(QTR_R_NGL_BOE,"&amp;Prev_Quarter&amp;")")/Inputs!$C$20),0)</f>
        <v>4.0250000000000004</v>
      </c>
      <c r="J3" s="14">
        <f t="shared" ref="J3:J29" si="2">+G3+H3/6+I3</f>
        <v>11.5</v>
      </c>
      <c r="K3" s="27">
        <f t="shared" si="1"/>
        <v>8.6956521739129933E-3</v>
      </c>
      <c r="L3" s="14"/>
      <c r="M3" s="11"/>
      <c r="N3" s="11"/>
    </row>
    <row r="4" spans="1:14" ht="18.75" x14ac:dyDescent="0.3">
      <c r="A4" s="12" t="s">
        <v>5</v>
      </c>
      <c r="B4" s="13" t="str">
        <f>_xll.FDS($A4,"FG_COMPANY_NAME")</f>
        <v>QEP Resources, Inc.</v>
      </c>
      <c r="C4" s="14">
        <f>IFERROR(IFERROR(_xll.FDS($A4,"FF_OG_PROD_DAY(QTR_R_OIL_BOE,"&amp;Current_Quarter&amp;")"),_xll.FDS($A4,"FF_OG_PROD_TOT_NET(QTR_R_OIL_BOE,"&amp;Current_Quarter&amp;")")/Inputs!$C$20),0)</f>
        <v>56.963043478260872</v>
      </c>
      <c r="D4" s="15">
        <f>IFERROR(IFERROR(_xll.FDS($A4,"FF_OG_PROD_DAY(QTR_R_NG_CFE,"&amp;Current_Quarter&amp;")")/1000,_xll.FDS($A4,"FF_OG_PROD_TOT_NET(QTR_R_NG_CFE,"&amp;Current_Quarter&amp;")")/1000/Inputs!$C$20),0)</f>
        <v>370.6521739130435</v>
      </c>
      <c r="E4" s="15">
        <f>IFERROR(IFERROR(_xll.FDS($A4,"FF_OG_PROD_DAY(QTR_R_NGL_BOE,"&amp;Current_Quarter&amp;")"),_xll.FDS($A4,"FF_OG_PROD_TOT_NET(QTR_R_NGL_BOE,"&amp;Current_Quarter&amp;")")/Inputs!$C$20),0)</f>
        <v>12.401086956521739</v>
      </c>
      <c r="F4" s="14">
        <f t="shared" si="0"/>
        <v>131.13949275362319</v>
      </c>
      <c r="G4" s="14">
        <f>IFERROR(IFERROR(_xll.FDS($A4,"FF_OG_PROD_DAY(QTR_R_OIL_BOE,"&amp;Prev_Quarter&amp;")"),_xll.FDS($A4,"FF_OG_PROD_TOT_NET(QTR_R_OIL_BOE,"&amp;Prev_Quarter&amp;")")/Inputs!$C$20),0)</f>
        <v>52.468478260869567</v>
      </c>
      <c r="H4" s="15">
        <f>IFERROR(IFERROR(_xll.FDS($A4,"FF_OG_PROD_DAY(QTR_R_NG_CFE,"&amp;Prev_Quarter&amp;")")/1000,_xll.FDS($A4,"FF_OG_PROD_TOT_NET(QTR_R_NG_CFE,"&amp;Prev_Quarter&amp;")")/1000/Inputs!$C$20),0)</f>
        <v>507.60869565217394</v>
      </c>
      <c r="I4" s="15">
        <f>IFERROR(IFERROR(_xll.FDS($A4,"FF_OG_PROD_DAY(QTR_R_NGL_BOE,"&amp;Prev_Quarter&amp;")"),_xll.FDS($A4,"FF_OG_PROD_TOT_NET(QTR_R_NGL_BOE,"&amp;Prev_Quarter&amp;")")/Inputs!$C$20),0)</f>
        <v>16.479347826086954</v>
      </c>
      <c r="J4" s="14">
        <f t="shared" si="2"/>
        <v>153.54927536231884</v>
      </c>
      <c r="K4" s="27">
        <f t="shared" si="1"/>
        <v>-0.14594521892608703</v>
      </c>
      <c r="L4" s="14"/>
      <c r="M4" s="11"/>
      <c r="N4" s="11"/>
    </row>
    <row r="5" spans="1:14" ht="18.75" x14ac:dyDescent="0.3">
      <c r="A5" s="12" t="s">
        <v>2</v>
      </c>
      <c r="B5" s="13" t="str">
        <f>_xll.FDS($A5,"FG_COMPANY_NAME")</f>
        <v>Marathon Oil Corporation</v>
      </c>
      <c r="C5" s="14">
        <f>IFERROR(IFERROR(_xll.FDS($A5,"FF_OG_PROD_DAY(QTR_R_OIL_BOE,"&amp;Current_Quarter&amp;")"),_xll.FDS($A5,"FF_OG_PROD_TOT_NET(QTR_R_OIL_BOE,"&amp;Current_Quarter&amp;")")/Inputs!$C$20),0)</f>
        <v>208</v>
      </c>
      <c r="D5" s="15">
        <f>IFERROR(IFERROR(_xll.FDS($A5,"FF_OG_PROD_DAY(QTR_R_NG_CFE,"&amp;Current_Quarter&amp;")")/1000,_xll.FDS($A5,"FF_OG_PROD_TOT_NET(QTR_R_NG_CFE,"&amp;Current_Quarter&amp;")")/1000/Inputs!$C$20),0)</f>
        <v>869</v>
      </c>
      <c r="E5" s="15">
        <f>IFERROR(IFERROR(_xll.FDS($A5,"FF_OG_PROD_DAY(QTR_R_NGL_BOE,"&amp;Current_Quarter&amp;")"),_xll.FDS($A5,"FF_OG_PROD_TOT_NET(QTR_R_NGL_BOE,"&amp;Current_Quarter&amp;")")/Inputs!$C$20),0)</f>
        <v>62</v>
      </c>
      <c r="F5" s="14">
        <f t="shared" si="0"/>
        <v>414.83333333333337</v>
      </c>
      <c r="G5" s="14">
        <f>IFERROR(IFERROR(_xll.FDS($A5,"FF_OG_PROD_DAY(QTR_R_OIL_BOE,"&amp;Prev_Quarter&amp;")"),_xll.FDS($A5,"FF_OG_PROD_TOT_NET(QTR_R_OIL_BOE,"&amp;Prev_Quarter&amp;")")/Inputs!$C$20),0)</f>
        <v>207</v>
      </c>
      <c r="H5" s="15">
        <f>IFERROR(IFERROR(_xll.FDS($A5,"FF_OG_PROD_DAY(QTR_R_NG_CFE,"&amp;Prev_Quarter&amp;")")/1000,_xll.FDS($A5,"FF_OG_PROD_TOT_NET(QTR_R_NG_CFE,"&amp;Prev_Quarter&amp;")")/1000/Inputs!$C$20),0)</f>
        <v>876</v>
      </c>
      <c r="I5" s="15">
        <f>IFERROR(IFERROR(_xll.FDS($A5,"FF_OG_PROD_DAY(QTR_R_NGL_BOE,"&amp;Prev_Quarter&amp;")"),_xll.FDS($A5,"FF_OG_PROD_TOT_NET(QTR_R_NGL_BOE,"&amp;Prev_Quarter&amp;")")/Inputs!$C$20),0)</f>
        <v>57</v>
      </c>
      <c r="J5" s="14">
        <f t="shared" si="2"/>
        <v>410</v>
      </c>
      <c r="K5" s="27">
        <f t="shared" si="1"/>
        <v>1.178861788617902E-2</v>
      </c>
      <c r="L5" s="14"/>
      <c r="M5" s="11"/>
      <c r="N5" s="11"/>
    </row>
    <row r="6" spans="1:14" ht="18.75" x14ac:dyDescent="0.3">
      <c r="A6" s="12" t="s">
        <v>39</v>
      </c>
      <c r="B6" s="13" t="str">
        <f>_xll.FDS($A6,"FG_COMPANY_NAME")</f>
        <v>Apache Corporation</v>
      </c>
      <c r="C6" s="14">
        <f>IFERROR(IFERROR(_xll.FDS($A6,"FF_OG_PROD_DAY(QTR_R_OIL_BOE,"&amp;Current_Quarter&amp;")"),_xll.FDS($A6,"FF_OG_PROD_TOT_NET(QTR_R_OIL_BOE,"&amp;Current_Quarter&amp;")")/Inputs!$C$20),0)</f>
        <v>242.58</v>
      </c>
      <c r="D6" s="15">
        <f>IFERROR(IFERROR(_xll.FDS($A6,"FF_OG_PROD_DAY(QTR_R_NG_CFE,"&amp;Current_Quarter&amp;")")/1000,_xll.FDS($A6,"FF_OG_PROD_TOT_NET(QTR_R_NG_CFE,"&amp;Current_Quarter&amp;")")/1000/Inputs!$C$20),0)</f>
        <v>870.95600000000002</v>
      </c>
      <c r="E6" s="15">
        <f>IFERROR(IFERROR(_xll.FDS($A6,"FF_OG_PROD_DAY(QTR_R_NGL_BOE,"&amp;Current_Quarter&amp;")"),_xll.FDS($A6,"FF_OG_PROD_TOT_NET(QTR_R_NGL_BOE,"&amp;Current_Quarter&amp;")")/Inputs!$C$20),0)</f>
        <v>52.462000000000003</v>
      </c>
      <c r="F6" s="14">
        <f t="shared" si="0"/>
        <v>440.20133333333331</v>
      </c>
      <c r="G6" s="14">
        <f>IFERROR(IFERROR(_xll.FDS($A6,"FF_OG_PROD_DAY(QTR_R_OIL_BOE,"&amp;Prev_Quarter&amp;")"),_xll.FDS($A6,"FF_OG_PROD_TOT_NET(QTR_R_OIL_BOE,"&amp;Prev_Quarter&amp;")")/Inputs!$C$20),0)</f>
        <v>238.018</v>
      </c>
      <c r="H6" s="15">
        <f>IFERROR(IFERROR(_xll.FDS($A6,"FF_OG_PROD_DAY(QTR_R_NG_CFE,"&amp;Prev_Quarter&amp;")")/1000,_xll.FDS($A6,"FF_OG_PROD_TOT_NET(QTR_R_NG_CFE,"&amp;Prev_Quarter&amp;")")/1000/Inputs!$C$20),0)</f>
        <v>940.49300000000005</v>
      </c>
      <c r="I6" s="15">
        <f>IFERROR(IFERROR(_xll.FDS($A6,"FF_OG_PROD_DAY(QTR_R_NGL_BOE,"&amp;Prev_Quarter&amp;")"),_xll.FDS($A6,"FF_OG_PROD_TOT_NET(QTR_R_NGL_BOE,"&amp;Prev_Quarter&amp;")")/Inputs!$C$20),0)</f>
        <v>53.466999999999999</v>
      </c>
      <c r="J6" s="14">
        <f t="shared" si="2"/>
        <v>448.23383333333334</v>
      </c>
      <c r="K6" s="27">
        <f t="shared" si="1"/>
        <v>-1.792033399233961E-2</v>
      </c>
      <c r="L6" s="14"/>
      <c r="M6" s="11"/>
      <c r="N6" s="11"/>
    </row>
    <row r="7" spans="1:14" ht="18.75" x14ac:dyDescent="0.3">
      <c r="A7" s="12" t="s">
        <v>13</v>
      </c>
      <c r="B7" s="13" t="str">
        <f>_xll.FDS($A7,"FG_COMPANY_NAME")</f>
        <v>Noble Energy, Inc.</v>
      </c>
      <c r="C7" s="14">
        <f>IFERROR(IFERROR(_xll.FDS($A7,"FF_OG_PROD_DAY(QTR_R_OIL_BOE,"&amp;Current_Quarter&amp;")"),_xll.FDS($A7,"FF_OG_PROD_TOT_NET(QTR_R_OIL_BOE,"&amp;Current_Quarter&amp;")")/Inputs!$C$20),0)</f>
        <v>141</v>
      </c>
      <c r="D7" s="15">
        <f>IFERROR(IFERROR(_xll.FDS($A7,"FF_OG_PROD_DAY(QTR_R_NG_CFE,"&amp;Current_Quarter&amp;")")/1000,_xll.FDS($A7,"FF_OG_PROD_TOT_NET(QTR_R_NG_CFE,"&amp;Current_Quarter&amp;")")/1000/Inputs!$C$20),0)</f>
        <v>1012</v>
      </c>
      <c r="E7" s="15">
        <f>IFERROR(IFERROR(_xll.FDS($A7,"FF_OG_PROD_DAY(QTR_R_NGL_BOE,"&amp;Current_Quarter&amp;")"),_xll.FDS($A7,"FF_OG_PROD_TOT_NET(QTR_R_NGL_BOE,"&amp;Current_Quarter&amp;")")/Inputs!$C$20),0)</f>
        <v>70</v>
      </c>
      <c r="F7" s="14">
        <f t="shared" si="0"/>
        <v>379.66666666666663</v>
      </c>
      <c r="G7" s="14">
        <f>IFERROR(IFERROR(_xll.FDS($A7,"FF_OG_PROD_DAY(QTR_R_OIL_BOE,"&amp;Prev_Quarter&amp;")"),_xll.FDS($A7,"FF_OG_PROD_TOT_NET(QTR_R_OIL_BOE,"&amp;Prev_Quarter&amp;")")/Inputs!$C$20),0)</f>
        <v>129</v>
      </c>
      <c r="H7" s="15">
        <f>IFERROR(IFERROR(_xll.FDS($A7,"FF_OG_PROD_DAY(QTR_R_NG_CFE,"&amp;Prev_Quarter&amp;")")/1000,_xll.FDS($A7,"FF_OG_PROD_TOT_NET(QTR_R_NG_CFE,"&amp;Prev_Quarter&amp;")")/1000/Inputs!$C$20),0)</f>
        <v>978</v>
      </c>
      <c r="I7" s="15">
        <f>IFERROR(IFERROR(_xll.FDS($A7,"FF_OG_PROD_DAY(QTR_R_NGL_BOE,"&amp;Prev_Quarter&amp;")"),_xll.FDS($A7,"FF_OG_PROD_TOT_NET(QTR_R_NGL_BOE,"&amp;Prev_Quarter&amp;")")/Inputs!$C$20),0)</f>
        <v>63</v>
      </c>
      <c r="J7" s="14">
        <f t="shared" si="2"/>
        <v>355</v>
      </c>
      <c r="K7" s="27">
        <f t="shared" si="1"/>
        <v>6.9483568075117352E-2</v>
      </c>
      <c r="L7" s="14"/>
      <c r="M7" s="28"/>
      <c r="N7" s="11"/>
    </row>
    <row r="8" spans="1:14" ht="18.75" x14ac:dyDescent="0.3">
      <c r="A8" s="12" t="s">
        <v>43</v>
      </c>
      <c r="B8" s="13" t="str">
        <f>_xll.FDS($A8,"FG_COMPANY_NAME")</f>
        <v>Occidental Petroleum Corporation</v>
      </c>
      <c r="C8" s="14">
        <f>IFERROR(IFERROR(_xll.FDS($A8,"FF_OG_PROD_DAY(QTR_R_OIL_BOE,"&amp;Current_Quarter&amp;")"),_xll.FDS($A8,"FF_OG_PROD_TOT_NET(QTR_R_OIL_BOE,"&amp;Current_Quarter&amp;")")/Inputs!$C$20),0)</f>
        <v>396</v>
      </c>
      <c r="D8" s="15">
        <f>IFERROR(IFERROR(_xll.FDS($A8,"FF_OG_PROD_DAY(QTR_R_NG_CFE,"&amp;Current_Quarter&amp;")")/1000,_xll.FDS($A8,"FF_OG_PROD_TOT_NET(QTR_R_NG_CFE,"&amp;Current_Quarter&amp;")")/1000/Inputs!$C$20),0)</f>
        <v>810</v>
      </c>
      <c r="E8" s="15">
        <f>IFERROR(IFERROR(_xll.FDS($A8,"FF_OG_PROD_DAY(QTR_R_NGL_BOE,"&amp;Current_Quarter&amp;")"),_xll.FDS($A8,"FF_OG_PROD_TOT_NET(QTR_R_NGL_BOE,"&amp;Current_Quarter&amp;")")/Inputs!$C$20),0)</f>
        <v>90</v>
      </c>
      <c r="F8" s="14">
        <f t="shared" si="0"/>
        <v>621</v>
      </c>
      <c r="G8" s="14">
        <f>IFERROR(IFERROR(_xll.FDS($A8,"FF_OG_PROD_DAY(QTR_R_OIL_BOE,"&amp;Prev_Quarter&amp;")"),_xll.FDS($A8,"FF_OG_PROD_TOT_NET(QTR_R_OIL_BOE,"&amp;Prev_Quarter&amp;")")/Inputs!$C$20),0)</f>
        <v>379</v>
      </c>
      <c r="H8" s="15">
        <f>IFERROR(IFERROR(_xll.FDS($A8,"FF_OG_PROD_DAY(QTR_R_NG_CFE,"&amp;Prev_Quarter&amp;")")/1000,_xll.FDS($A8,"FF_OG_PROD_TOT_NET(QTR_R_NG_CFE,"&amp;Prev_Quarter&amp;")")/1000/Inputs!$C$20),0)</f>
        <v>801</v>
      </c>
      <c r="I8" s="15">
        <f>IFERROR(IFERROR(_xll.FDS($A8,"FF_OG_PROD_DAY(QTR_R_NGL_BOE,"&amp;Prev_Quarter&amp;")"),_xll.FDS($A8,"FF_OG_PROD_TOT_NET(QTR_R_NGL_BOE,"&amp;Prev_Quarter&amp;")")/Inputs!$C$20),0)</f>
        <v>87</v>
      </c>
      <c r="J8" s="14">
        <f t="shared" si="2"/>
        <v>599.5</v>
      </c>
      <c r="K8" s="27">
        <f t="shared" si="1"/>
        <v>3.5863219349457909E-2</v>
      </c>
      <c r="L8" s="14"/>
      <c r="M8" s="11"/>
      <c r="N8" s="11"/>
    </row>
    <row r="9" spans="1:14" ht="18.75" x14ac:dyDescent="0.3">
      <c r="A9" s="12" t="s">
        <v>21</v>
      </c>
      <c r="B9" s="13" t="str">
        <f>_xll.FDS($A9,"FG_COMPANY_NAME")</f>
        <v>Halcon Resources Corp</v>
      </c>
      <c r="C9" s="14">
        <f>IFERROR(IFERROR(_xll.FDS($A9,"FF_OG_PROD_DAY(QTR_R_OIL_BOE,"&amp;Current_Quarter&amp;")"),_xll.FDS($A9,"FF_OG_PROD_TOT_NET(QTR_R_OIL_BOE,"&amp;Current_Quarter&amp;")")/Inputs!$C$20),0)</f>
        <v>4.3804347826086953</v>
      </c>
      <c r="D9" s="15">
        <f>IFERROR(IFERROR(_xll.FDS($A9,"FF_OG_PROD_DAY(QTR_R_NG_CFE,"&amp;Current_Quarter&amp;")")/1000,_xll.FDS($A9,"FF_OG_PROD_TOT_NET(QTR_R_NG_CFE,"&amp;Current_Quarter&amp;")")/1000/Inputs!$C$20),0)</f>
        <v>5.9456521739130439</v>
      </c>
      <c r="E9" s="15">
        <f>IFERROR(IFERROR(_xll.FDS($A9,"FF_OG_PROD_DAY(QTR_R_NGL_BOE,"&amp;Current_Quarter&amp;")"),_xll.FDS($A9,"FF_OG_PROD_TOT_NET(QTR_R_NGL_BOE,"&amp;Current_Quarter&amp;")")/Inputs!$C$20),0)</f>
        <v>0.91304347826086951</v>
      </c>
      <c r="F9" s="14">
        <f t="shared" si="0"/>
        <v>6.2844202898550723</v>
      </c>
      <c r="G9" s="14">
        <f>IFERROR(IFERROR(_xll.FDS($A9,"FF_OG_PROD_DAY(QTR_R_OIL_BOE,"&amp;Prev_Quarter&amp;")"),_xll.FDS($A9,"FF_OG_PROD_TOT_NET(QTR_R_OIL_BOE,"&amp;Prev_Quarter&amp;")")/Inputs!$C$20),0)</f>
        <v>21.9328</v>
      </c>
      <c r="H9" s="15">
        <f>IFERROR(IFERROR(_xll.FDS($A9,"FF_OG_PROD_DAY(QTR_R_NG_CFE,"&amp;Prev_Quarter&amp;")")/1000,_xll.FDS($A9,"FF_OG_PROD_TOT_NET(QTR_R_NG_CFE,"&amp;Prev_Quarter&amp;")")/1000/Inputs!$C$20),0)</f>
        <v>20.778479999999998</v>
      </c>
      <c r="I9" s="15">
        <f>IFERROR(IFERROR(_xll.FDS($A9,"FF_OG_PROD_DAY(QTR_R_NGL_BOE,"&amp;Prev_Quarter&amp;")"),_xll.FDS($A9,"FF_OG_PROD_TOT_NET(QTR_R_NGL_BOE,"&amp;Prev_Quarter&amp;")")/Inputs!$C$20),0)</f>
        <v>3.4630999999999998</v>
      </c>
      <c r="J9" s="14">
        <f t="shared" si="2"/>
        <v>28.858979999999999</v>
      </c>
      <c r="K9" s="27">
        <f t="shared" si="1"/>
        <v>-0.78223692279300683</v>
      </c>
      <c r="L9" s="14"/>
      <c r="M9" s="11"/>
      <c r="N9" s="11"/>
    </row>
    <row r="10" spans="1:14" ht="18.75" x14ac:dyDescent="0.3">
      <c r="A10" s="12" t="s">
        <v>14</v>
      </c>
      <c r="B10" s="13" t="str">
        <f>_xll.FDS($A10,"FG_COMPANY_NAME")</f>
        <v>WPX Energy, Inc. Class A</v>
      </c>
      <c r="C10" s="14">
        <f>IFERROR(IFERROR(_xll.FDS($A10,"FF_OG_PROD_DAY(QTR_R_OIL_BOE,"&amp;Current_Quarter&amp;")"),_xll.FDS($A10,"FF_OG_PROD_TOT_NET(QTR_R_OIL_BOE,"&amp;Current_Quarter&amp;")")/Inputs!$C$20),0)</f>
        <v>75.2</v>
      </c>
      <c r="D10" s="15">
        <f>IFERROR(IFERROR(_xll.FDS($A10,"FF_OG_PROD_DAY(QTR_R_NG_CFE,"&amp;Current_Quarter&amp;")")/1000,_xll.FDS($A10,"FF_OG_PROD_TOT_NET(QTR_R_NG_CFE,"&amp;Current_Quarter&amp;")")/1000/Inputs!$C$20),0)</f>
        <v>231</v>
      </c>
      <c r="E10" s="15">
        <f>IFERROR(IFERROR(_xll.FDS($A10,"FF_OG_PROD_DAY(QTR_R_NGL_BOE,"&amp;Current_Quarter&amp;")"),_xll.FDS($A10,"FF_OG_PROD_TOT_NET(QTR_R_NGL_BOE,"&amp;Current_Quarter&amp;")")/Inputs!$C$20),0)</f>
        <v>16.8</v>
      </c>
      <c r="F10" s="14">
        <f t="shared" si="0"/>
        <v>130.5</v>
      </c>
      <c r="G10" s="14">
        <f>IFERROR(IFERROR(_xll.FDS($A10,"FF_OG_PROD_DAY(QTR_R_OIL_BOE,"&amp;Prev_Quarter&amp;")"),_xll.FDS($A10,"FF_OG_PROD_TOT_NET(QTR_R_OIL_BOE,"&amp;Prev_Quarter&amp;")")/Inputs!$C$20),0)</f>
        <v>64.8</v>
      </c>
      <c r="H10" s="15">
        <f>IFERROR(IFERROR(_xll.FDS($A10,"FF_OG_PROD_DAY(QTR_R_NG_CFE,"&amp;Prev_Quarter&amp;")")/1000,_xll.FDS($A10,"FF_OG_PROD_TOT_NET(QTR_R_NG_CFE,"&amp;Prev_Quarter&amp;")")/1000/Inputs!$C$20),0)</f>
        <v>204</v>
      </c>
      <c r="I10" s="15">
        <f>IFERROR(IFERROR(_xll.FDS($A10,"FF_OG_PROD_DAY(QTR_R_NGL_BOE,"&amp;Prev_Quarter&amp;")"),_xll.FDS($A10,"FF_OG_PROD_TOT_NET(QTR_R_NGL_BOE,"&amp;Prev_Quarter&amp;")")/Inputs!$C$20),0)</f>
        <v>13.3</v>
      </c>
      <c r="J10" s="14">
        <f t="shared" si="2"/>
        <v>112.1</v>
      </c>
      <c r="K10" s="27">
        <f t="shared" si="1"/>
        <v>0.16413916146297947</v>
      </c>
      <c r="L10" s="14"/>
      <c r="M10" s="11"/>
      <c r="N10" s="11"/>
    </row>
    <row r="11" spans="1:14" ht="18.75" x14ac:dyDescent="0.3">
      <c r="A11" s="12" t="s">
        <v>18</v>
      </c>
      <c r="B11" s="13" t="str">
        <f>_xll.FDS($A11,"FG_COMPANY_NAME")</f>
        <v>SM Energy Company</v>
      </c>
      <c r="C11" s="14">
        <f>IFERROR(IFERROR(_xll.FDS($A11,"FF_OG_PROD_DAY(QTR_R_OIL_BOE,"&amp;Current_Quarter&amp;")"),_xll.FDS($A11,"FF_OG_PROD_TOT_NET(QTR_R_OIL_BOE,"&amp;Current_Quarter&amp;")")/Inputs!$C$20),0)</f>
        <v>41.5</v>
      </c>
      <c r="D11" s="15">
        <f>IFERROR(IFERROR(_xll.FDS($A11,"FF_OG_PROD_DAY(QTR_R_NG_CFE,"&amp;Current_Quarter&amp;")")/1000,_xll.FDS($A11,"FF_OG_PROD_TOT_NET(QTR_R_NG_CFE,"&amp;Current_Quarter&amp;")")/1000/Inputs!$C$20),0)</f>
        <v>282.5</v>
      </c>
      <c r="E11" s="15">
        <f>IFERROR(IFERROR(_xll.FDS($A11,"FF_OG_PROD_DAY(QTR_R_NGL_BOE,"&amp;Current_Quarter&amp;")"),_xll.FDS($A11,"FF_OG_PROD_TOT_NET(QTR_R_NGL_BOE,"&amp;Current_Quarter&amp;")")/Inputs!$C$20),0)</f>
        <v>24</v>
      </c>
      <c r="F11" s="14">
        <f t="shared" si="0"/>
        <v>112.58333333333334</v>
      </c>
      <c r="G11" s="14">
        <f>IFERROR(IFERROR(_xll.FDS($A11,"FF_OG_PROD_DAY(QTR_R_OIL_BOE,"&amp;Prev_Quarter&amp;")"),_xll.FDS($A11,"FF_OG_PROD_TOT_NET(QTR_R_OIL_BOE,"&amp;Prev_Quarter&amp;")")/Inputs!$C$20),0)</f>
        <v>37.1</v>
      </c>
      <c r="H11" s="15">
        <f>IFERROR(IFERROR(_xll.FDS($A11,"FF_OG_PROD_DAY(QTR_R_NG_CFE,"&amp;Prev_Quarter&amp;")")/1000,_xll.FDS($A11,"FF_OG_PROD_TOT_NET(QTR_R_NG_CFE,"&amp;Prev_Quarter&amp;")")/1000/Inputs!$C$20),0)</f>
        <v>316.10000000000002</v>
      </c>
      <c r="I11" s="15">
        <f>IFERROR(IFERROR(_xll.FDS($A11,"FF_OG_PROD_DAY(QTR_R_NGL_BOE,"&amp;Prev_Quarter&amp;")"),_xll.FDS($A11,"FF_OG_PROD_TOT_NET(QTR_R_NGL_BOE,"&amp;Prev_Quarter&amp;")")/Inputs!$C$20),0)</f>
        <v>26.2</v>
      </c>
      <c r="J11" s="14">
        <f t="shared" si="2"/>
        <v>115.98333333333333</v>
      </c>
      <c r="K11" s="27">
        <f t="shared" si="1"/>
        <v>-2.9314556689179372E-2</v>
      </c>
      <c r="L11" s="14"/>
      <c r="M11" s="11"/>
      <c r="N11" s="11"/>
    </row>
    <row r="12" spans="1:14" ht="18.75" x14ac:dyDescent="0.3">
      <c r="A12" s="12" t="s">
        <v>38</v>
      </c>
      <c r="B12" s="13" t="str">
        <f>_xll.FDS($A12,"FG_COMPANY_NAME")</f>
        <v>EOG Resources, Inc.</v>
      </c>
      <c r="C12" s="14">
        <f>IFERROR(IFERROR(_xll.FDS($A12,"FF_OG_PROD_DAY(QTR_R_OIL_BOE,"&amp;Current_Quarter&amp;")"),_xll.FDS($A12,"FF_OG_PROD_TOT_NET(QTR_R_OIL_BOE,"&amp;Current_Quarter&amp;")")/Inputs!$C$20),0)</f>
        <v>368.1</v>
      </c>
      <c r="D12" s="15">
        <f>IFERROR(IFERROR(_xll.FDS($A12,"FF_OG_PROD_DAY(QTR_R_NG_CFE,"&amp;Current_Quarter&amp;")")/1000,_xll.FDS($A12,"FF_OG_PROD_TOT_NET(QTR_R_NG_CFE,"&amp;Current_Quarter&amp;")")/1000/Inputs!$C$20),0)</f>
        <v>1160</v>
      </c>
      <c r="E12" s="15">
        <f>IFERROR(IFERROR(_xll.FDS($A12,"FF_OG_PROD_DAY(QTR_R_NGL_BOE,"&amp;Current_Quarter&amp;")"),_xll.FDS($A12,"FF_OG_PROD_TOT_NET(QTR_R_NGL_BOE,"&amp;Current_Quarter&amp;")")/Inputs!$C$20),0)</f>
        <v>100.6</v>
      </c>
      <c r="F12" s="14">
        <f t="shared" si="0"/>
        <v>662.03333333333342</v>
      </c>
      <c r="G12" s="14">
        <f>IFERROR(IFERROR(_xll.FDS($A12,"FF_OG_PROD_DAY(QTR_R_OIL_BOE,"&amp;Prev_Quarter&amp;")"),_xll.FDS($A12,"FF_OG_PROD_TOT_NET(QTR_R_OIL_BOE,"&amp;Prev_Quarter&amp;")")/Inputs!$C$20),0)</f>
        <v>327.9</v>
      </c>
      <c r="H12" s="15">
        <f>IFERROR(IFERROR(_xll.FDS($A12,"FF_OG_PROD_DAY(QTR_R_NG_CFE,"&amp;Prev_Quarter&amp;")")/1000,_xll.FDS($A12,"FF_OG_PROD_TOT_NET(QTR_R_NG_CFE,"&amp;Prev_Quarter&amp;")")/1000/Inputs!$C$20),0)</f>
        <v>1096</v>
      </c>
      <c r="I12" s="15">
        <f>IFERROR(IFERROR(_xll.FDS($A12,"FF_OG_PROD_DAY(QTR_R_NGL_BOE,"&amp;Prev_Quarter&amp;")"),_xll.FDS($A12,"FF_OG_PROD_TOT_NET(QTR_R_NGL_BOE,"&amp;Prev_Quarter&amp;")")/Inputs!$C$20),0)</f>
        <v>87.4</v>
      </c>
      <c r="J12" s="14">
        <f t="shared" si="2"/>
        <v>597.96666666666658</v>
      </c>
      <c r="K12" s="27">
        <f t="shared" si="1"/>
        <v>0.10714086626902319</v>
      </c>
      <c r="L12" s="14"/>
      <c r="M12" s="11"/>
      <c r="N12" s="11"/>
    </row>
    <row r="13" spans="1:14" ht="18.75" x14ac:dyDescent="0.3">
      <c r="A13" s="12" t="s">
        <v>6</v>
      </c>
      <c r="B13" s="13" t="str">
        <f>_xll.FDS($A13,"FG_COMPANY_NAME")</f>
        <v>Encana Corporation</v>
      </c>
      <c r="C13" s="14">
        <f>IFERROR(IFERROR(_xll.FDS($A13,"FF_OG_PROD_DAY(QTR_R_OIL_BOE,"&amp;Current_Quarter&amp;")"),_xll.FDS($A13,"FF_OG_PROD_TOT_NET(QTR_R_OIL_BOE,"&amp;Current_Quarter&amp;")")/Inputs!$C$20),0)</f>
        <v>111.4</v>
      </c>
      <c r="D13" s="15">
        <f>IFERROR(IFERROR(_xll.FDS($A13,"FF_OG_PROD_DAY(QTR_R_NG_CFE,"&amp;Current_Quarter&amp;")")/1000,_xll.FDS($A13,"FF_OG_PROD_TOT_NET(QTR_R_NG_CFE,"&amp;Current_Quarter&amp;")")/1000/Inputs!$C$20),0)</f>
        <v>1188</v>
      </c>
      <c r="E13" s="15">
        <f>IFERROR(IFERROR(_xll.FDS($A13,"FF_OG_PROD_DAY(QTR_R_NGL_BOE,"&amp;Current_Quarter&amp;")"),_xll.FDS($A13,"FF_OG_PROD_TOT_NET(QTR_R_NGL_BOE,"&amp;Current_Quarter&amp;")")/Inputs!$C$20),0)</f>
        <v>79.2</v>
      </c>
      <c r="F13" s="14">
        <f t="shared" si="0"/>
        <v>388.59999999999997</v>
      </c>
      <c r="G13" s="14">
        <f>IFERROR(IFERROR(_xll.FDS($A13,"FF_OG_PROD_DAY(QTR_R_OIL_BOE,"&amp;Prev_Quarter&amp;")"),_xll.FDS($A13,"FF_OG_PROD_TOT_NET(QTR_R_OIL_BOE,"&amp;Prev_Quarter&amp;")")/Inputs!$C$20),0)</f>
        <v>75.2</v>
      </c>
      <c r="H13" s="15">
        <f>IFERROR(IFERROR(_xll.FDS($A13,"FF_OG_PROD_DAY(QTR_R_NG_CFE,"&amp;Prev_Quarter&amp;")")/1000,_xll.FDS($A13,"FF_OG_PROD_TOT_NET(QTR_R_NG_CFE,"&amp;Prev_Quarter&amp;")")/1000/Inputs!$C$20),0)</f>
        <v>939</v>
      </c>
      <c r="I13" s="15">
        <f>IFERROR(IFERROR(_xll.FDS($A13,"FF_OG_PROD_DAY(QTR_R_NGL_BOE,"&amp;Prev_Quarter&amp;")"),_xll.FDS($A13,"FF_OG_PROD_TOT_NET(QTR_R_NGL_BOE,"&amp;Prev_Quarter&amp;")")/Inputs!$C$20),0)</f>
        <v>52.3</v>
      </c>
      <c r="J13" s="14">
        <f t="shared" si="2"/>
        <v>284</v>
      </c>
      <c r="K13" s="27">
        <f t="shared" si="1"/>
        <v>0.36830985915492942</v>
      </c>
      <c r="L13" s="14"/>
      <c r="M13" s="11"/>
      <c r="N13" s="11"/>
    </row>
    <row r="14" spans="1:14" ht="18.75" x14ac:dyDescent="0.3">
      <c r="A14" s="12" t="s">
        <v>7</v>
      </c>
      <c r="B14" s="13" t="str">
        <f>_xll.FDS($A14,"FG_COMPANY_NAME")</f>
        <v>Concho Resources Inc.</v>
      </c>
      <c r="C14" s="14">
        <f>IFERROR(IFERROR(_xll.FDS($A14,"FF_OG_PROD_DAY(QTR_R_OIL_BOE,"&amp;Current_Quarter&amp;")"),_xll.FDS($A14,"FF_OG_PROD_TOT_NET(QTR_R_OIL_BOE,"&amp;Current_Quarter&amp;")")/Inputs!$C$20),0)</f>
        <v>129.83699999999999</v>
      </c>
      <c r="D14" s="15">
        <f>IFERROR(IFERROR(_xll.FDS($A14,"FF_OG_PROD_DAY(QTR_R_NG_CFE,"&amp;Current_Quarter&amp;")")/1000,_xll.FDS($A14,"FF_OG_PROD_TOT_NET(QTR_R_NG_CFE,"&amp;Current_Quarter&amp;")")/1000/Inputs!$C$20),0)</f>
        <v>487.47800000000001</v>
      </c>
      <c r="E14" s="15">
        <f>IFERROR(IFERROR(_xll.FDS($A14,"FF_OG_PROD_DAY(QTR_R_NGL_BOE,"&amp;Current_Quarter&amp;")"),_xll.FDS($A14,"FF_OG_PROD_TOT_NET(QTR_R_NGL_BOE,"&amp;Current_Quarter&amp;")")/Inputs!$C$20),0)</f>
        <v>0</v>
      </c>
      <c r="F14" s="14">
        <f t="shared" si="0"/>
        <v>211.08333333333331</v>
      </c>
      <c r="G14" s="14">
        <f>IFERROR(IFERROR(_xll.FDS($A14,"FF_OG_PROD_DAY(QTR_R_OIL_BOE,"&amp;Prev_Quarter&amp;")"),_xll.FDS($A14,"FF_OG_PROD_TOT_NET(QTR_R_OIL_BOE,"&amp;Prev_Quarter&amp;")")/Inputs!$C$20),0)</f>
        <v>119.565</v>
      </c>
      <c r="H14" s="15">
        <f>IFERROR(IFERROR(_xll.FDS($A14,"FF_OG_PROD_DAY(QTR_R_NG_CFE,"&amp;Prev_Quarter&amp;")")/1000,_xll.FDS($A14,"FF_OG_PROD_TOT_NET(QTR_R_NG_CFE,"&amp;Prev_Quarter&amp;")")/1000/Inputs!$C$20),0)</f>
        <v>441.58699999999999</v>
      </c>
      <c r="I14" s="15">
        <f>IFERROR(IFERROR(_xll.FDS($A14,"FF_OG_PROD_DAY(QTR_R_NGL_BOE,"&amp;Prev_Quarter&amp;")"),_xll.FDS($A14,"FF_OG_PROD_TOT_NET(QTR_R_NGL_BOE,"&amp;Prev_Quarter&amp;")")/Inputs!$C$20),0)</f>
        <v>0</v>
      </c>
      <c r="J14" s="14">
        <f t="shared" si="2"/>
        <v>193.16283333333331</v>
      </c>
      <c r="K14" s="27">
        <f t="shared" si="1"/>
        <v>9.2774058501592371E-2</v>
      </c>
      <c r="L14" s="14"/>
      <c r="M14" s="11"/>
      <c r="N14" s="11"/>
    </row>
    <row r="15" spans="1:14" ht="18.75" x14ac:dyDescent="0.3">
      <c r="A15" s="12" t="s">
        <v>3</v>
      </c>
      <c r="B15" s="13" t="str">
        <f>_xll.FDS($A15,"FG_COMPANY_NAME")</f>
        <v>EP Energy Corp. Class A</v>
      </c>
      <c r="C15" s="14">
        <f>IFERROR(IFERROR(_xll.FDS($A15,"FF_OG_PROD_DAY(QTR_R_OIL_BOE,"&amp;Current_Quarter&amp;")"),_xll.FDS($A15,"FF_OG_PROD_TOT_NET(QTR_R_OIL_BOE,"&amp;Current_Quarter&amp;")")/Inputs!$C$20),0)</f>
        <v>43.6</v>
      </c>
      <c r="D15" s="15">
        <f>IFERROR(IFERROR(_xll.FDS($A15,"FF_OG_PROD_DAY(QTR_R_NG_CFE,"&amp;Current_Quarter&amp;")")/1000,_xll.FDS($A15,"FF_OG_PROD_TOT_NET(QTR_R_NG_CFE,"&amp;Current_Quarter&amp;")")/1000/Inputs!$C$20),0)</f>
        <v>130</v>
      </c>
      <c r="E15" s="15">
        <f>IFERROR(IFERROR(_xll.FDS($A15,"FF_OG_PROD_DAY(QTR_R_NGL_BOE,"&amp;Current_Quarter&amp;")"),_xll.FDS($A15,"FF_OG_PROD_TOT_NET(QTR_R_NGL_BOE,"&amp;Current_Quarter&amp;")")/Inputs!$C$20),0)</f>
        <v>15.3</v>
      </c>
      <c r="F15" s="14">
        <f t="shared" si="0"/>
        <v>80.566666666666663</v>
      </c>
      <c r="G15" s="14">
        <f>IFERROR(IFERROR(_xll.FDS($A15,"FF_OG_PROD_DAY(QTR_R_OIL_BOE,"&amp;Prev_Quarter&amp;")"),_xll.FDS($A15,"FF_OG_PROD_TOT_NET(QTR_R_OIL_BOE,"&amp;Prev_Quarter&amp;")")/Inputs!$C$20),0)</f>
        <v>45.1</v>
      </c>
      <c r="H15" s="15">
        <f>IFERROR(IFERROR(_xll.FDS($A15,"FF_OG_PROD_DAY(QTR_R_NG_CFE,"&amp;Prev_Quarter&amp;")")/1000,_xll.FDS($A15,"FF_OG_PROD_TOT_NET(QTR_R_NG_CFE,"&amp;Prev_Quarter&amp;")")/1000/Inputs!$C$20),0)</f>
        <v>126</v>
      </c>
      <c r="I15" s="15">
        <f>IFERROR(IFERROR(_xll.FDS($A15,"FF_OG_PROD_DAY(QTR_R_NGL_BOE,"&amp;Prev_Quarter&amp;")"),_xll.FDS($A15,"FF_OG_PROD_TOT_NET(QTR_R_NGL_BOE,"&amp;Prev_Quarter&amp;")")/Inputs!$C$20),0)</f>
        <v>14.9</v>
      </c>
      <c r="J15" s="14">
        <f t="shared" si="2"/>
        <v>81</v>
      </c>
      <c r="K15" s="27">
        <f t="shared" si="1"/>
        <v>-5.3497942386832031E-3</v>
      </c>
      <c r="L15" s="14"/>
      <c r="M15" s="11"/>
      <c r="N15" s="11"/>
    </row>
    <row r="16" spans="1:14" ht="18.75" x14ac:dyDescent="0.3">
      <c r="A16" s="12" t="s">
        <v>9</v>
      </c>
      <c r="B16" s="13" t="str">
        <f>_xll.FDS($A16,"FG_COMPANY_NAME")</f>
        <v>Energen Corporation</v>
      </c>
      <c r="C16" s="14">
        <f>IFERROR(IFERROR(_xll.FDS($A16,"FF_OG_PROD_DAY(QTR_R_OIL_BOE,"&amp;Current_Quarter&amp;")"),_xll.FDS($A16,"FF_OG_PROD_TOT_NET(QTR_R_OIL_BOE,"&amp;Current_Quarter&amp;")")/Inputs!$C$20),0)</f>
        <v>58.1</v>
      </c>
      <c r="D16" s="15">
        <f>IFERROR(IFERROR(_xll.FDS($A16,"FF_OG_PROD_DAY(QTR_R_NG_CFE,"&amp;Current_Quarter&amp;")")/1000,_xll.FDS($A16,"FF_OG_PROD_TOT_NET(QTR_R_NG_CFE,"&amp;Current_Quarter&amp;")")/1000/Inputs!$C$20),0)</f>
        <v>119.9</v>
      </c>
      <c r="E16" s="15">
        <f>IFERROR(IFERROR(_xll.FDS($A16,"FF_OG_PROD_DAY(QTR_R_NGL_BOE,"&amp;Current_Quarter&amp;")"),_xll.FDS($A16,"FF_OG_PROD_TOT_NET(QTR_R_NGL_BOE,"&amp;Current_Quarter&amp;")")/Inputs!$C$20),0)</f>
        <v>19.047599999999999</v>
      </c>
      <c r="F16" s="14">
        <f t="shared" si="0"/>
        <v>97.130933333333346</v>
      </c>
      <c r="G16" s="14">
        <f>IFERROR(IFERROR(_xll.FDS($A16,"FF_OG_PROD_DAY(QTR_R_OIL_BOE,"&amp;Prev_Quarter&amp;")"),_xll.FDS($A16,"FF_OG_PROD_TOT_NET(QTR_R_OIL_BOE,"&amp;Prev_Quarter&amp;")")/Inputs!$C$20),0)</f>
        <v>49</v>
      </c>
      <c r="H16" s="15">
        <f>IFERROR(IFERROR(_xll.FDS($A16,"FF_OG_PROD_DAY(QTR_R_NG_CFE,"&amp;Prev_Quarter&amp;")")/1000,_xll.FDS($A16,"FF_OG_PROD_TOT_NET(QTR_R_NG_CFE,"&amp;Prev_Quarter&amp;")")/1000/Inputs!$C$20),0)</f>
        <v>99.7</v>
      </c>
      <c r="I16" s="15">
        <f>IFERROR(IFERROR(_xll.FDS($A16,"FF_OG_PROD_DAY(QTR_R_NGL_BOE,"&amp;Prev_Quarter&amp;")"),_xll.FDS($A16,"FF_OG_PROD_TOT_NET(QTR_R_NGL_BOE,"&amp;Prev_Quarter&amp;")")/Inputs!$C$20),0)</f>
        <v>16.666699999999999</v>
      </c>
      <c r="J16" s="14">
        <f t="shared" si="2"/>
        <v>82.283366666666666</v>
      </c>
      <c r="K16" s="27">
        <f t="shared" si="1"/>
        <v>0.18044432633407892</v>
      </c>
      <c r="L16" s="14"/>
      <c r="M16" s="11"/>
      <c r="N16" s="11"/>
    </row>
    <row r="17" spans="1:14" ht="18.75" x14ac:dyDescent="0.3">
      <c r="A17" s="12" t="s">
        <v>16</v>
      </c>
      <c r="B17" s="13" t="str">
        <f>_xll.FDS($A17,"FG_COMPANY_NAME")</f>
        <v>Matador Resources Company</v>
      </c>
      <c r="C17" s="14">
        <f>IFERROR(IFERROR(_xll.FDS($A17,"FF_OG_PROD_DAY(QTR_R_OIL_BOE,"&amp;Current_Quarter&amp;")"),_xll.FDS($A17,"FF_OG_PROD_TOT_NET(QTR_R_OIL_BOE,"&amp;Current_Quarter&amp;")")/Inputs!$C$20),0)</f>
        <v>24.664999999999999</v>
      </c>
      <c r="D17" s="15">
        <f>IFERROR(IFERROR(_xll.FDS($A17,"FF_OG_PROD_DAY(QTR_R_NG_CFE,"&amp;Current_Quarter&amp;")")/1000,_xll.FDS($A17,"FF_OG_PROD_TOT_NET(QTR_R_NG_CFE,"&amp;Current_Quarter&amp;")")/1000/Inputs!$C$20),0)</f>
        <v>114.3</v>
      </c>
      <c r="E17" s="15">
        <f>IFERROR(IFERROR(_xll.FDS($A17,"FF_OG_PROD_DAY(QTR_R_NGL_BOE,"&amp;Current_Quarter&amp;")"),_xll.FDS($A17,"FF_OG_PROD_TOT_NET(QTR_R_NGL_BOE,"&amp;Current_Quarter&amp;")")/Inputs!$C$20),0)</f>
        <v>0</v>
      </c>
      <c r="F17" s="14">
        <f t="shared" si="0"/>
        <v>43.715000000000003</v>
      </c>
      <c r="G17" s="14">
        <f>IFERROR(IFERROR(_xll.FDS($A17,"FF_OG_PROD_DAY(QTR_R_OIL_BOE,"&amp;Prev_Quarter&amp;")"),_xll.FDS($A17,"FF_OG_PROD_TOT_NET(QTR_R_OIL_BOE,"&amp;Prev_Quarter&amp;")")/Inputs!$C$20),0)</f>
        <v>23.538</v>
      </c>
      <c r="H17" s="15">
        <f>IFERROR(IFERROR(_xll.FDS($A17,"FF_OG_PROD_DAY(QTR_R_NG_CFE,"&amp;Prev_Quarter&amp;")")/1000,_xll.FDS($A17,"FF_OG_PROD_TOT_NET(QTR_R_NG_CFE,"&amp;Prev_Quarter&amp;")")/1000/Inputs!$C$20),0)</f>
        <v>110.5</v>
      </c>
      <c r="I17" s="15">
        <f>IFERROR(IFERROR(_xll.FDS($A17,"FF_OG_PROD_DAY(QTR_R_NGL_BOE,"&amp;Prev_Quarter&amp;")"),_xll.FDS($A17,"FF_OG_PROD_TOT_NET(QTR_R_NGL_BOE,"&amp;Prev_Quarter&amp;")")/Inputs!$C$20),0)</f>
        <v>0</v>
      </c>
      <c r="J17" s="14">
        <f t="shared" si="2"/>
        <v>41.954666666666668</v>
      </c>
      <c r="K17" s="27">
        <f t="shared" si="1"/>
        <v>4.1957986398016844E-2</v>
      </c>
      <c r="L17" s="14"/>
      <c r="M17" s="11"/>
      <c r="N17" s="11"/>
    </row>
    <row r="18" spans="1:14" ht="18.75" x14ac:dyDescent="0.3">
      <c r="A18" s="12" t="s">
        <v>36</v>
      </c>
      <c r="B18" s="13" t="str">
        <f>_xll.FDS($A18,"FG_COMPANY_NAME")</f>
        <v>Jagged Peak Energy, Inc.</v>
      </c>
      <c r="C18" s="14">
        <f>IFERROR(IFERROR(_xll.FDS($A18,"FF_OG_PROD_DAY(QTR_R_OIL_BOE,"&amp;Current_Quarter&amp;")"),_xll.FDS($A18,"FF_OG_PROD_TOT_NET(QTR_R_OIL_BOE,"&amp;Current_Quarter&amp;")")/Inputs!$C$20),0)</f>
        <v>19.229600000000001</v>
      </c>
      <c r="D18" s="15">
        <f>IFERROR(IFERROR(_xll.FDS($A18,"FF_OG_PROD_DAY(QTR_R_NG_CFE,"&amp;Current_Quarter&amp;")")/1000,_xll.FDS($A18,"FF_OG_PROD_TOT_NET(QTR_R_NG_CFE,"&amp;Current_Quarter&amp;")")/1000/Inputs!$C$20),0)</f>
        <v>14.967391304347826</v>
      </c>
      <c r="E18" s="15">
        <f>IFERROR(IFERROR(_xll.FDS($A18,"FF_OG_PROD_DAY(QTR_R_NGL_BOE,"&amp;Current_Quarter&amp;")"),_xll.FDS($A18,"FF_OG_PROD_TOT_NET(QTR_R_NGL_BOE,"&amp;Current_Quarter&amp;")")/Inputs!$C$20),0)</f>
        <v>2.2934782608695654</v>
      </c>
      <c r="F18" s="14">
        <f t="shared" si="0"/>
        <v>24.017643478260872</v>
      </c>
      <c r="G18" s="14">
        <f>IFERROR(IFERROR(_xll.FDS($A18,"FF_OG_PROD_DAY(QTR_R_OIL_BOE,"&amp;Prev_Quarter&amp;")"),_xll.FDS($A18,"FF_OG_PROD_TOT_NET(QTR_R_OIL_BOE,"&amp;Prev_Quarter&amp;")")/Inputs!$C$20),0)</f>
        <v>15.036</v>
      </c>
      <c r="H18" s="15">
        <f>IFERROR(IFERROR(_xll.FDS($A18,"FF_OG_PROD_DAY(QTR_R_NG_CFE,"&amp;Prev_Quarter&amp;")")/1000,_xll.FDS($A18,"FF_OG_PROD_TOT_NET(QTR_R_NG_CFE,"&amp;Prev_Quarter&amp;")")/1000/Inputs!$C$20),0)</f>
        <v>12.346</v>
      </c>
      <c r="I18" s="15">
        <f>IFERROR(IFERROR(_xll.FDS($A18,"FF_OG_PROD_DAY(QTR_R_NGL_BOE,"&amp;Prev_Quarter&amp;")"),_xll.FDS($A18,"FF_OG_PROD_TOT_NET(QTR_R_NGL_BOE,"&amp;Prev_Quarter&amp;")")/Inputs!$C$20),0)</f>
        <v>2.0870000000000002</v>
      </c>
      <c r="J18" s="14">
        <f t="shared" si="2"/>
        <v>19.180666666666667</v>
      </c>
      <c r="K18" s="27">
        <f t="shared" si="1"/>
        <v>0.25217980665918138</v>
      </c>
      <c r="L18" s="14"/>
      <c r="M18" s="11"/>
      <c r="N18" s="11"/>
    </row>
    <row r="19" spans="1:14" ht="18.75" x14ac:dyDescent="0.3">
      <c r="A19" s="12" t="s">
        <v>41</v>
      </c>
      <c r="B19" s="13" t="str">
        <f>_xll.FDS($A19,"FG_COMPANY_NAME")</f>
        <v>Resolute Energy Corporation</v>
      </c>
      <c r="C19" s="14">
        <f>IFERROR(IFERROR(_xll.FDS($A19,"FF_OG_PROD_DAY(QTR_R_OIL_BOE,"&amp;Current_Quarter&amp;")"),_xll.FDS($A19,"FF_OG_PROD_TOT_NET(QTR_R_OIL_BOE,"&amp;Current_Quarter&amp;")")/Inputs!$C$20),0)</f>
        <v>14.467391304347826</v>
      </c>
      <c r="D19" s="15">
        <f>IFERROR(IFERROR(_xll.FDS($A19,"FF_OG_PROD_DAY(QTR_R_NG_CFE,"&amp;Current_Quarter&amp;")")/1000,_xll.FDS($A19,"FF_OG_PROD_TOT_NET(QTR_R_NG_CFE,"&amp;Current_Quarter&amp;")")/1000/Inputs!$C$20),0)</f>
        <v>40.597826086956523</v>
      </c>
      <c r="E19" s="15">
        <f>IFERROR(IFERROR(_xll.FDS($A19,"FF_OG_PROD_DAY(QTR_R_NGL_BOE,"&amp;Current_Quarter&amp;")"),_xll.FDS($A19,"FF_OG_PROD_TOT_NET(QTR_R_NGL_BOE,"&amp;Current_Quarter&amp;")")/Inputs!$C$20),0)</f>
        <v>6.3586956521739131</v>
      </c>
      <c r="F19" s="14">
        <f t="shared" si="0"/>
        <v>27.592391304347828</v>
      </c>
      <c r="G19" s="14">
        <f>IFERROR(IFERROR(_xll.FDS($A19,"FF_OG_PROD_DAY(QTR_R_OIL_BOE,"&amp;Prev_Quarter&amp;")"),_xll.FDS($A19,"FF_OG_PROD_TOT_NET(QTR_R_OIL_BOE,"&amp;Prev_Quarter&amp;")")/Inputs!$C$20),0)</f>
        <v>16.891304347826086</v>
      </c>
      <c r="H19" s="15">
        <f>IFERROR(IFERROR(_xll.FDS($A19,"FF_OG_PROD_DAY(QTR_R_NG_CFE,"&amp;Prev_Quarter&amp;")")/1000,_xll.FDS($A19,"FF_OG_PROD_TOT_NET(QTR_R_NG_CFE,"&amp;Prev_Quarter&amp;")")/1000/Inputs!$C$20),0)</f>
        <v>38.728260869565219</v>
      </c>
      <c r="I19" s="15">
        <f>IFERROR(IFERROR(_xll.FDS($A19,"FF_OG_PROD_DAY(QTR_R_NGL_BOE,"&amp;Prev_Quarter&amp;")"),_xll.FDS($A19,"FF_OG_PROD_TOT_NET(QTR_R_NGL_BOE,"&amp;Prev_Quarter&amp;")")/Inputs!$C$20),0)</f>
        <v>5.2173913043478262</v>
      </c>
      <c r="J19" s="14">
        <f t="shared" si="2"/>
        <v>28.563405797101446</v>
      </c>
      <c r="K19" s="27">
        <f t="shared" si="1"/>
        <v>-3.3995052958711081E-2</v>
      </c>
      <c r="L19" s="14"/>
      <c r="M19" s="11"/>
      <c r="N19" s="11"/>
    </row>
    <row r="20" spans="1:14" ht="18.75" x14ac:dyDescent="0.3">
      <c r="A20" s="12" t="s">
        <v>42</v>
      </c>
      <c r="B20" s="13" t="str">
        <f>_xll.FDS($A20,"FG_COMPANY_NAME")</f>
        <v>Earthstone Energy, Inc. Class A</v>
      </c>
      <c r="C20" s="14">
        <f>IFERROR(IFERROR(_xll.FDS($A20,"FF_OG_PROD_DAY(QTR_R_OIL_BOE,"&amp;Current_Quarter&amp;")"),_xll.FDS($A20,"FF_OG_PROD_TOT_NET(QTR_R_OIL_BOE,"&amp;Current_Quarter&amp;")")/Inputs!$C$20),0)</f>
        <v>5.7391304347826084</v>
      </c>
      <c r="D20" s="15">
        <f>IFERROR(IFERROR(_xll.FDS($A20,"FF_OG_PROD_DAY(QTR_R_NG_CFE,"&amp;Current_Quarter&amp;")")/1000,_xll.FDS($A20,"FF_OG_PROD_TOT_NET(QTR_R_NG_CFE,"&amp;Current_Quarter&amp;")")/1000/Inputs!$C$20),0)</f>
        <v>10.130434782608695</v>
      </c>
      <c r="E20" s="15">
        <f>IFERROR(IFERROR(_xll.FDS($A20,"FF_OG_PROD_DAY(QTR_R_NGL_BOE,"&amp;Current_Quarter&amp;")"),_xll.FDS($A20,"FF_OG_PROD_TOT_NET(QTR_R_NGL_BOE,"&amp;Current_Quarter&amp;")")/Inputs!$C$20),0)</f>
        <v>1.6304347826086956</v>
      </c>
      <c r="F20" s="14">
        <f t="shared" si="0"/>
        <v>9.0579710144927539</v>
      </c>
      <c r="G20" s="14">
        <f>IFERROR(IFERROR(_xll.FDS($A20,"FF_OG_PROD_DAY(QTR_R_OIL_BOE,"&amp;Prev_Quarter&amp;")"),_xll.FDS($A20,"FF_OG_PROD_TOT_NET(QTR_R_OIL_BOE,"&amp;Prev_Quarter&amp;")")/Inputs!$C$20),0)</f>
        <v>6.1195652173913047</v>
      </c>
      <c r="H20" s="15">
        <f>IFERROR(IFERROR(_xll.FDS($A20,"FF_OG_PROD_DAY(QTR_R_NG_CFE,"&amp;Prev_Quarter&amp;")")/1000,_xll.FDS($A20,"FF_OG_PROD_TOT_NET(QTR_R_NG_CFE,"&amp;Prev_Quarter&amp;")")/1000/Inputs!$C$20),0)</f>
        <v>10.510869565217391</v>
      </c>
      <c r="I20" s="15">
        <f>IFERROR(IFERROR(_xll.FDS($A20,"FF_OG_PROD_DAY(QTR_R_NGL_BOE,"&amp;Prev_Quarter&amp;")"),_xll.FDS($A20,"FF_OG_PROD_TOT_NET(QTR_R_NGL_BOE,"&amp;Prev_Quarter&amp;")")/Inputs!$C$20),0)</f>
        <v>1.8043478260869565</v>
      </c>
      <c r="J20" s="14">
        <f t="shared" si="2"/>
        <v>9.6757246376811601</v>
      </c>
      <c r="K20" s="27">
        <f t="shared" si="1"/>
        <v>-6.3845721774948516E-2</v>
      </c>
      <c r="L20" s="14"/>
      <c r="M20" s="11"/>
      <c r="N20" s="11"/>
    </row>
    <row r="21" spans="1:14" ht="18.75" x14ac:dyDescent="0.3">
      <c r="A21" s="12" t="s">
        <v>15</v>
      </c>
      <c r="B21" s="13" t="str">
        <f>_xll.FDS($A21,"FG_COMPANY_NAME")</f>
        <v>Pioneer Natural Resources Company</v>
      </c>
      <c r="C21" s="14">
        <f>IFERROR(IFERROR(_xll.FDS($A21,"FF_OG_PROD_DAY(QTR_R_OIL_BOE,"&amp;Current_Quarter&amp;")"),_xll.FDS($A21,"FF_OG_PROD_TOT_NET(QTR_R_OIL_BOE,"&amp;Current_Quarter&amp;")")/Inputs!$C$20),0)</f>
        <v>179.73699999999999</v>
      </c>
      <c r="D21" s="15">
        <f>IFERROR(IFERROR(_xll.FDS($A21,"FF_OG_PROD_DAY(QTR_R_NG_CFE,"&amp;Current_Quarter&amp;")")/1000,_xll.FDS($A21,"FF_OG_PROD_TOT_NET(QTR_R_NG_CFE,"&amp;Current_Quarter&amp;")")/1000/Inputs!$C$20),0)</f>
        <v>377.14100000000002</v>
      </c>
      <c r="E21" s="15">
        <f>IFERROR(IFERROR(_xll.FDS($A21,"FF_OG_PROD_DAY(QTR_R_NGL_BOE,"&amp;Current_Quarter&amp;")"),_xll.FDS($A21,"FF_OG_PROD_TOT_NET(QTR_R_NGL_BOE,"&amp;Current_Quarter&amp;")")/Inputs!$C$20),0)</f>
        <v>62.395000000000003</v>
      </c>
      <c r="F21" s="14">
        <f t="shared" si="0"/>
        <v>304.98883333333333</v>
      </c>
      <c r="G21" s="14">
        <f>IFERROR(IFERROR(_xll.FDS($A21,"FF_OG_PROD_DAY(QTR_R_OIL_BOE,"&amp;Prev_Quarter&amp;")"),_xll.FDS($A21,"FF_OG_PROD_TOT_NET(QTR_R_OIL_BOE,"&amp;Prev_Quarter&amp;")")/Inputs!$C$20),0)</f>
        <v>161.63399999999999</v>
      </c>
      <c r="H21" s="15">
        <f>IFERROR(IFERROR(_xll.FDS($A21,"FF_OG_PROD_DAY(QTR_R_NG_CFE,"&amp;Prev_Quarter&amp;")")/1000,_xll.FDS($A21,"FF_OG_PROD_TOT_NET(QTR_R_NG_CFE,"&amp;Prev_Quarter&amp;")")/1000/Inputs!$C$20),0)</f>
        <v>340.38400000000001</v>
      </c>
      <c r="I21" s="15">
        <f>IFERROR(IFERROR(_xll.FDS($A21,"FF_OG_PROD_DAY(QTR_R_NGL_BOE,"&amp;Prev_Quarter&amp;")"),_xll.FDS($A21,"FF_OG_PROD_TOT_NET(QTR_R_NGL_BOE,"&amp;Prev_Quarter&amp;")")/Inputs!$C$20),0)</f>
        <v>57.345999999999997</v>
      </c>
      <c r="J21" s="14">
        <f t="shared" si="2"/>
        <v>275.71066666666667</v>
      </c>
      <c r="K21" s="27">
        <f t="shared" si="1"/>
        <v>0.10619163567604684</v>
      </c>
      <c r="L21" s="14"/>
      <c r="M21" s="11"/>
      <c r="N21" s="11"/>
    </row>
    <row r="22" spans="1:14" ht="18.75" x14ac:dyDescent="0.3">
      <c r="A22" s="12" t="s">
        <v>17</v>
      </c>
      <c r="B22" s="13" t="str">
        <f>_xll.FDS($A22,"FG_COMPANY_NAME")</f>
        <v>Carrizo Oil &amp; Gas, Inc.</v>
      </c>
      <c r="C22" s="14">
        <f>IFERROR(IFERROR(_xll.FDS($A22,"FF_OG_PROD_DAY(QTR_R_OIL_BOE,"&amp;Current_Quarter&amp;")"),_xll.FDS($A22,"FF_OG_PROD_TOT_NET(QTR_R_OIL_BOE,"&amp;Current_Quarter&amp;")")/Inputs!$C$20),0)</f>
        <v>40.206000000000003</v>
      </c>
      <c r="D22" s="15">
        <f>IFERROR(IFERROR(_xll.FDS($A22,"FF_OG_PROD_DAY(QTR_R_NG_CFE,"&amp;Current_Quarter&amp;")")/1000,_xll.FDS($A22,"FF_OG_PROD_TOT_NET(QTR_R_NG_CFE,"&amp;Current_Quarter&amp;")")/1000/Inputs!$C$20),0)</f>
        <v>78.182000000000002</v>
      </c>
      <c r="E22" s="15">
        <f>IFERROR(IFERROR(_xll.FDS($A22,"FF_OG_PROD_DAY(QTR_R_NGL_BOE,"&amp;Current_Quarter&amp;")"),_xll.FDS($A22,"FF_OG_PROD_TOT_NET(QTR_R_NGL_BOE,"&amp;Current_Quarter&amp;")")/Inputs!$C$20),0)</f>
        <v>9.1809999999999992</v>
      </c>
      <c r="F22" s="14">
        <f t="shared" si="0"/>
        <v>62.417333333333332</v>
      </c>
      <c r="G22" s="14">
        <f>IFERROR(IFERROR(_xll.FDS($A22,"FF_OG_PROD_DAY(QTR_R_OIL_BOE,"&amp;Prev_Quarter&amp;")"),_xll.FDS($A22,"FF_OG_PROD_TOT_NET(QTR_R_OIL_BOE,"&amp;Prev_Quarter&amp;")")/Inputs!$C$20),0)</f>
        <v>34.902999999999999</v>
      </c>
      <c r="H22" s="15">
        <f>IFERROR(IFERROR(_xll.FDS($A22,"FF_OG_PROD_DAY(QTR_R_NG_CFE,"&amp;Prev_Quarter&amp;")")/1000,_xll.FDS($A22,"FF_OG_PROD_TOT_NET(QTR_R_NG_CFE,"&amp;Prev_Quarter&amp;")")/1000/Inputs!$C$20),0)</f>
        <v>81.265000000000001</v>
      </c>
      <c r="I22" s="15">
        <f>IFERROR(IFERROR(_xll.FDS($A22,"FF_OG_PROD_DAY(QTR_R_NGL_BOE,"&amp;Prev_Quarter&amp;")"),_xll.FDS($A22,"FF_OG_PROD_TOT_NET(QTR_R_NGL_BOE,"&amp;Prev_Quarter&amp;")")/Inputs!$C$20),0)</f>
        <v>6.7770000000000001</v>
      </c>
      <c r="J22" s="14">
        <f t="shared" si="2"/>
        <v>55.224166666666669</v>
      </c>
      <c r="K22" s="27">
        <f t="shared" si="1"/>
        <v>0.13025396490063224</v>
      </c>
      <c r="L22" s="14"/>
      <c r="M22" s="11"/>
      <c r="N22" s="11"/>
    </row>
    <row r="23" spans="1:14" ht="18.75" x14ac:dyDescent="0.3">
      <c r="A23" s="12" t="s">
        <v>11</v>
      </c>
      <c r="B23" s="13" t="str">
        <f>_xll.FDS($A23,"FG_COMPANY_NAME")</f>
        <v>Parsley Energy, Inc. Class A</v>
      </c>
      <c r="C23" s="14">
        <f>IFERROR(IFERROR(_xll.FDS($A23,"FF_OG_PROD_DAY(QTR_R_OIL_BOE,"&amp;Current_Quarter&amp;")"),_xll.FDS($A23,"FF_OG_PROD_TOT_NET(QTR_R_OIL_BOE,"&amp;Current_Quarter&amp;")")/Inputs!$C$20),0)</f>
        <v>51.489130434782609</v>
      </c>
      <c r="D23" s="15">
        <f>IFERROR(IFERROR(_xll.FDS($A23,"FF_OG_PROD_DAY(QTR_R_NG_CFE,"&amp;Current_Quarter&amp;")")/1000,_xll.FDS($A23,"FF_OG_PROD_TOT_NET(QTR_R_NG_CFE,"&amp;Current_Quarter&amp;")")/1000/Inputs!$C$20),0)</f>
        <v>78.489130434782609</v>
      </c>
      <c r="E23" s="15">
        <f>IFERROR(IFERROR(_xll.FDS($A23,"FF_OG_PROD_DAY(QTR_R_NGL_BOE,"&amp;Current_Quarter&amp;")"),_xll.FDS($A23,"FF_OG_PROD_TOT_NET(QTR_R_NGL_BOE,"&amp;Current_Quarter&amp;")")/Inputs!$C$20),0)</f>
        <v>15.75</v>
      </c>
      <c r="F23" s="14">
        <f t="shared" si="0"/>
        <v>80.320652173913047</v>
      </c>
      <c r="G23" s="14">
        <f>IFERROR(IFERROR(_xll.FDS($A23,"FF_OG_PROD_DAY(QTR_R_OIL_BOE,"&amp;Prev_Quarter&amp;")"),_xll.FDS($A23,"FF_OG_PROD_TOT_NET(QTR_R_OIL_BOE,"&amp;Prev_Quarter&amp;")")/Inputs!$C$20),0)</f>
        <v>47.195999999999998</v>
      </c>
      <c r="H23" s="15">
        <f>IFERROR(IFERROR(_xll.FDS($A23,"FF_OG_PROD_DAY(QTR_R_NG_CFE,"&amp;Prev_Quarter&amp;")")/1000,_xll.FDS($A23,"FF_OG_PROD_TOT_NET(QTR_R_NG_CFE,"&amp;Prev_Quarter&amp;")")/1000/Inputs!$C$20),0)</f>
        <v>68.097999999999999</v>
      </c>
      <c r="I23" s="15">
        <f>IFERROR(IFERROR(_xll.FDS($A23,"FF_OG_PROD_DAY(QTR_R_NGL_BOE,"&amp;Prev_Quarter&amp;")"),_xll.FDS($A23,"FF_OG_PROD_TOT_NET(QTR_R_NGL_BOE,"&amp;Prev_Quarter&amp;")")/Inputs!$C$20),0)</f>
        <v>12.978</v>
      </c>
      <c r="J23" s="14">
        <f t="shared" si="2"/>
        <v>71.523666666666657</v>
      </c>
      <c r="K23" s="27">
        <f t="shared" si="1"/>
        <v>0.12299405102152283</v>
      </c>
      <c r="L23" s="14"/>
      <c r="M23" s="11"/>
      <c r="N23" s="11"/>
    </row>
    <row r="24" spans="1:14" ht="18.75" x14ac:dyDescent="0.3">
      <c r="A24" s="12" t="s">
        <v>4</v>
      </c>
      <c r="B24" s="13" t="str">
        <f>_xll.FDS($A24,"FG_COMPANY_NAME")</f>
        <v>Cimarex Energy Co.</v>
      </c>
      <c r="C24" s="14">
        <f>IFERROR(IFERROR(_xll.FDS($A24,"FF_OG_PROD_DAY(QTR_R_OIL_BOE,"&amp;Current_Quarter&amp;")"),_xll.FDS($A24,"FF_OG_PROD_TOT_NET(QTR_R_OIL_BOE,"&amp;Current_Quarter&amp;")")/Inputs!$C$20),0)</f>
        <v>61.771000000000001</v>
      </c>
      <c r="D24" s="15">
        <f>IFERROR(IFERROR(_xll.FDS($A24,"FF_OG_PROD_DAY(QTR_R_NG_CFE,"&amp;Current_Quarter&amp;")")/1000,_xll.FDS($A24,"FF_OG_PROD_TOT_NET(QTR_R_NG_CFE,"&amp;Current_Quarter&amp;")")/1000/Inputs!$C$20),0)</f>
        <v>534</v>
      </c>
      <c r="E24" s="15">
        <f>IFERROR(IFERROR(_xll.FDS($A24,"FF_OG_PROD_DAY(QTR_R_NGL_BOE,"&amp;Current_Quarter&amp;")"),_xll.FDS($A24,"FF_OG_PROD_TOT_NET(QTR_R_NGL_BOE,"&amp;Current_Quarter&amp;")")/Inputs!$C$20),0)</f>
        <v>49.954000000000001</v>
      </c>
      <c r="F24" s="14">
        <f t="shared" si="0"/>
        <v>200.72500000000002</v>
      </c>
      <c r="G24" s="14">
        <f>IFERROR(IFERROR(_xll.FDS($A24,"FF_OG_PROD_DAY(QTR_R_OIL_BOE,"&amp;Prev_Quarter&amp;")"),_xll.FDS($A24,"FF_OG_PROD_TOT_NET(QTR_R_OIL_BOE,"&amp;Prev_Quarter&amp;")")/Inputs!$C$20),0)</f>
        <v>56.686999999999998</v>
      </c>
      <c r="H24" s="15">
        <f>IFERROR(IFERROR(_xll.FDS($A24,"FF_OG_PROD_DAY(QTR_R_NG_CFE,"&amp;Prev_Quarter&amp;")")/1000,_xll.FDS($A24,"FF_OG_PROD_TOT_NET(QTR_R_NG_CFE,"&amp;Prev_Quarter&amp;")")/1000/Inputs!$C$20),0)</f>
        <v>515.9</v>
      </c>
      <c r="I24" s="15">
        <f>IFERROR(IFERROR(_xll.FDS($A24,"FF_OG_PROD_DAY(QTR_R_NGL_BOE,"&amp;Prev_Quarter&amp;")"),_xll.FDS($A24,"FF_OG_PROD_TOT_NET(QTR_R_NGL_BOE,"&amp;Prev_Quarter&amp;")")/Inputs!$C$20),0)</f>
        <v>47.84</v>
      </c>
      <c r="J24" s="14">
        <f t="shared" si="2"/>
        <v>190.51033333333334</v>
      </c>
      <c r="K24" s="27">
        <f t="shared" si="1"/>
        <v>5.361738908300695E-2</v>
      </c>
      <c r="L24" s="14"/>
      <c r="M24" s="11"/>
      <c r="N24" s="11"/>
    </row>
    <row r="25" spans="1:14" ht="18.75" x14ac:dyDescent="0.3">
      <c r="A25" s="12" t="s">
        <v>37</v>
      </c>
      <c r="B25" s="13" t="str">
        <f>_xll.FDS($A25,"FG_COMPANY_NAME")</f>
        <v>Centennial Resource Development, Inc. Class A</v>
      </c>
      <c r="C25" s="14">
        <f>IFERROR(IFERROR(_xll.FDS($A25,"FF_OG_PROD_DAY(QTR_R_OIL_BOE,"&amp;Current_Quarter&amp;")"),_xll.FDS($A25,"FF_OG_PROD_TOT_NET(QTR_R_OIL_BOE,"&amp;Current_Quarter&amp;")")/Inputs!$C$20),0)</f>
        <v>27.402000000000001</v>
      </c>
      <c r="D25" s="15">
        <f>IFERROR(IFERROR(_xll.FDS($A25,"FF_OG_PROD_DAY(QTR_R_NG_CFE,"&amp;Current_Quarter&amp;")")/1000,_xll.FDS($A25,"FF_OG_PROD_TOT_NET(QTR_R_NG_CFE,"&amp;Current_Quarter&amp;")")/1000/Inputs!$C$20),0)</f>
        <v>63.216999999999999</v>
      </c>
      <c r="E25" s="15">
        <f>IFERROR(IFERROR(_xll.FDS($A25,"FF_OG_PROD_DAY(QTR_R_NGL_BOE,"&amp;Current_Quarter&amp;")"),_xll.FDS($A25,"FF_OG_PROD_TOT_NET(QTR_R_NGL_BOE,"&amp;Current_Quarter&amp;")")/Inputs!$C$20),0)</f>
        <v>6.37</v>
      </c>
      <c r="F25" s="14">
        <f t="shared" si="0"/>
        <v>44.308166666666665</v>
      </c>
      <c r="G25" s="14">
        <f>IFERROR(IFERROR(_xll.FDS($A25,"FF_OG_PROD_DAY(QTR_R_OIL_BOE,"&amp;Prev_Quarter&amp;")"),_xll.FDS($A25,"FF_OG_PROD_TOT_NET(QTR_R_OIL_BOE,"&amp;Prev_Quarter&amp;")")/Inputs!$C$20),0)</f>
        <v>21.108000000000001</v>
      </c>
      <c r="H25" s="15">
        <f>IFERROR(IFERROR(_xll.FDS($A25,"FF_OG_PROD_DAY(QTR_R_NG_CFE,"&amp;Prev_Quarter&amp;")")/1000,_xll.FDS($A25,"FF_OG_PROD_TOT_NET(QTR_R_NG_CFE,"&amp;Prev_Quarter&amp;")")/1000/Inputs!$C$20),0)</f>
        <v>51.444000000000003</v>
      </c>
      <c r="I25" s="15">
        <f>IFERROR(IFERROR(_xll.FDS($A25,"FF_OG_PROD_DAY(QTR_R_NGL_BOE,"&amp;Prev_Quarter&amp;")"),_xll.FDS($A25,"FF_OG_PROD_TOT_NET(QTR_R_NGL_BOE,"&amp;Prev_Quarter&amp;")")/Inputs!$C$20),0)</f>
        <v>5.0179999999999998</v>
      </c>
      <c r="J25" s="14">
        <f t="shared" si="2"/>
        <v>34.700000000000003</v>
      </c>
      <c r="K25" s="27">
        <f t="shared" si="1"/>
        <v>0.27689241114313146</v>
      </c>
      <c r="L25" s="14"/>
      <c r="M25" s="11"/>
      <c r="N25" s="11"/>
    </row>
    <row r="26" spans="1:14" ht="18.75" x14ac:dyDescent="0.3">
      <c r="A26" s="12" t="s">
        <v>10</v>
      </c>
      <c r="B26" s="13" t="str">
        <f>_xll.FDS($A26,"FG_COMPANY_NAME")</f>
        <v>Laredo Petroleum, Inc.</v>
      </c>
      <c r="C26" s="14">
        <f>IFERROR(IFERROR(_xll.FDS($A26,"FF_OG_PROD_DAY(QTR_R_OIL_BOE,"&amp;Current_Quarter&amp;")"),_xll.FDS($A26,"FF_OG_PROD_TOT_NET(QTR_R_OIL_BOE,"&amp;Current_Quarter&amp;")")/Inputs!$C$20),0)</f>
        <v>26.6265</v>
      </c>
      <c r="D26" s="15">
        <f>IFERROR(IFERROR(_xll.FDS($A26,"FF_OG_PROD_DAY(QTR_R_NG_CFE,"&amp;Current_Quarter&amp;")")/1000,_xll.FDS($A26,"FF_OG_PROD_TOT_NET(QTR_R_NG_CFE,"&amp;Current_Quarter&amp;")")/1000/Inputs!$C$20),0)</f>
        <v>211.77323999999999</v>
      </c>
      <c r="E26" s="15">
        <f>IFERROR(IFERROR(_xll.FDS($A26,"FF_OG_PROD_DAY(QTR_R_NGL_BOE,"&amp;Current_Quarter&amp;")"),_xll.FDS($A26,"FF_OG_PROD_TOT_NET(QTR_R_NGL_BOE,"&amp;Current_Quarter&amp;")")/Inputs!$C$20),0)</f>
        <v>17.338200000000001</v>
      </c>
      <c r="F26" s="14">
        <f t="shared" si="0"/>
        <v>79.260239999999996</v>
      </c>
      <c r="G26" s="14">
        <f>IFERROR(IFERROR(_xll.FDS($A26,"FF_OG_PROD_DAY(QTR_R_OIL_BOE,"&amp;Prev_Quarter&amp;")"),_xll.FDS($A26,"FF_OG_PROD_TOT_NET(QTR_R_OIL_BOE,"&amp;Prev_Quarter&amp;")")/Inputs!$C$20),0)</f>
        <v>26.404800000000002</v>
      </c>
      <c r="H26" s="15">
        <f>IFERROR(IFERROR(_xll.FDS($A26,"FF_OG_PROD_DAY(QTR_R_NG_CFE,"&amp;Prev_Quarter&amp;")")/1000,_xll.FDS($A26,"FF_OG_PROD_TOT_NET(QTR_R_NG_CFE,"&amp;Prev_Quarter&amp;")")/1000/Inputs!$C$20),0)</f>
        <v>201.63695999999999</v>
      </c>
      <c r="I26" s="15">
        <f>IFERROR(IFERROR(_xll.FDS($A26,"FF_OG_PROD_DAY(QTR_R_NGL_BOE,"&amp;Prev_Quarter&amp;")"),_xll.FDS($A26,"FF_OG_PROD_TOT_NET(QTR_R_NGL_BOE,"&amp;Prev_Quarter&amp;")")/Inputs!$C$20),0)</f>
        <v>16.206521739130434</v>
      </c>
      <c r="J26" s="14">
        <f t="shared" si="2"/>
        <v>76.217481739130434</v>
      </c>
      <c r="K26" s="27">
        <f t="shared" si="1"/>
        <v>3.9922051889407895E-2</v>
      </c>
      <c r="L26" s="14"/>
      <c r="M26" s="11"/>
      <c r="N26" s="11"/>
    </row>
    <row r="27" spans="1:14" ht="18.75" x14ac:dyDescent="0.3">
      <c r="A27" s="12" t="s">
        <v>20</v>
      </c>
      <c r="B27" s="13" t="str">
        <f>_xll.FDS($A27,"FG_COMPANY_NAME")</f>
        <v>Callon Petroleum Company</v>
      </c>
      <c r="C27" s="14">
        <f>IFERROR(IFERROR(_xll.FDS($A27,"FF_OG_PROD_DAY(QTR_R_OIL_BOE,"&amp;Current_Quarter&amp;")"),_xll.FDS($A27,"FF_OG_PROD_TOT_NET(QTR_R_OIL_BOE,"&amp;Current_Quarter&amp;")")/Inputs!$C$20),0)</f>
        <v>20.9437</v>
      </c>
      <c r="D27" s="15">
        <f>IFERROR(IFERROR(_xll.FDS($A27,"FF_OG_PROD_DAY(QTR_R_NG_CFE,"&amp;Current_Quarter&amp;")")/1000,_xll.FDS($A27,"FF_OG_PROD_TOT_NET(QTR_R_NG_CFE,"&amp;Current_Quarter&amp;")")/1000/Inputs!$C$20),0)</f>
        <v>33.403860000000002</v>
      </c>
      <c r="E27" s="15">
        <f>IFERROR(IFERROR(_xll.FDS($A27,"FF_OG_PROD_DAY(QTR_R_NGL_BOE,"&amp;Current_Quarter&amp;")"),_xll.FDS($A27,"FF_OG_PROD_TOT_NET(QTR_R_NGL_BOE,"&amp;Current_Quarter&amp;")")/Inputs!$C$20),0)</f>
        <v>0</v>
      </c>
      <c r="F27" s="14">
        <f t="shared" si="0"/>
        <v>26.511009999999999</v>
      </c>
      <c r="G27" s="14">
        <f>IFERROR(IFERROR(_xll.FDS($A27,"FF_OG_PROD_DAY(QTR_R_OIL_BOE,"&amp;Prev_Quarter&amp;")"),_xll.FDS($A27,"FF_OG_PROD_TOT_NET(QTR_R_OIL_BOE,"&amp;Prev_Quarter&amp;")")/Inputs!$C$20),0)</f>
        <v>17.3581</v>
      </c>
      <c r="H27" s="15">
        <f>IFERROR(IFERROR(_xll.FDS($A27,"FF_OG_PROD_DAY(QTR_R_NG_CFE,"&amp;Prev_Quarter&amp;")")/1000,_xll.FDS($A27,"FF_OG_PROD_TOT_NET(QTR_R_NG_CFE,"&amp;Prev_Quarter&amp;")")/1000/Inputs!$C$20),0)</f>
        <v>31.10934</v>
      </c>
      <c r="I27" s="15">
        <f>IFERROR(IFERROR(_xll.FDS($A27,"FF_OG_PROD_DAY(QTR_R_NGL_BOE,"&amp;Prev_Quarter&amp;")"),_xll.FDS($A27,"FF_OG_PROD_TOT_NET(QTR_R_NGL_BOE,"&amp;Prev_Quarter&amp;")")/Inputs!$C$20),0)</f>
        <v>0</v>
      </c>
      <c r="J27" s="14">
        <f t="shared" si="2"/>
        <v>22.54299</v>
      </c>
      <c r="K27" s="27">
        <f t="shared" si="1"/>
        <v>0.1760201286519667</v>
      </c>
      <c r="L27" s="14"/>
      <c r="M27" s="11"/>
      <c r="N27" s="11"/>
    </row>
    <row r="28" spans="1:14" ht="18.75" x14ac:dyDescent="0.3">
      <c r="A28" s="12" t="s">
        <v>12</v>
      </c>
      <c r="B28" s="13" t="str">
        <f>_xll.FDS($A28,"FG_COMPANY_NAME")</f>
        <v>RSP Permian, Inc.</v>
      </c>
      <c r="C28" s="14">
        <f>IFERROR(IFERROR(_xll.FDS($A28,"FF_OG_PROD_DAY(QTR_R_OIL_BOE,"&amp;Current_Quarter&amp;")"),_xll.FDS($A28,"FF_OG_PROD_TOT_NET(QTR_R_OIL_BOE,"&amp;Current_Quarter&amp;")")/Inputs!$C$20),0)</f>
        <v>44.304000000000002</v>
      </c>
      <c r="D28" s="15">
        <f>IFERROR(IFERROR(_xll.FDS($A28,"FF_OG_PROD_DAY(QTR_R_NG_CFE,"&amp;Current_Quarter&amp;")")/1000,_xll.FDS($A28,"FF_OG_PROD_TOT_NET(QTR_R_NG_CFE,"&amp;Current_Quarter&amp;")")/1000/Inputs!$C$20),0)</f>
        <v>44.927999999999997</v>
      </c>
      <c r="E28" s="15">
        <f>IFERROR(IFERROR(_xll.FDS($A28,"FF_OG_PROD_DAY(QTR_R_NGL_BOE,"&amp;Current_Quarter&amp;")"),_xll.FDS($A28,"FF_OG_PROD_TOT_NET(QTR_R_NGL_BOE,"&amp;Current_Quarter&amp;")")/Inputs!$C$20),0)</f>
        <v>10.608000000000001</v>
      </c>
      <c r="F28" s="14">
        <f t="shared" si="0"/>
        <v>62.400000000000006</v>
      </c>
      <c r="G28" s="14">
        <f>IFERROR(IFERROR(_xll.FDS($A28,"FF_OG_PROD_DAY(QTR_R_OIL_BOE,"&amp;Prev_Quarter&amp;")"),_xll.FDS($A28,"FF_OG_PROD_TOT_NET(QTR_R_OIL_BOE,"&amp;Prev_Quarter&amp;")")/Inputs!$C$20),0)</f>
        <v>41.841700000000003</v>
      </c>
      <c r="H28" s="15">
        <f>IFERROR(IFERROR(_xll.FDS($A28,"FF_OG_PROD_DAY(QTR_R_NG_CFE,"&amp;Prev_Quarter&amp;")")/1000,_xll.FDS($A28,"FF_OG_PROD_TOT_NET(QTR_R_NG_CFE,"&amp;Prev_Quarter&amp;")")/1000/Inputs!$C$20),0)</f>
        <v>45.96696</v>
      </c>
      <c r="I28" s="15">
        <f>IFERROR(IFERROR(_xll.FDS($A28,"FF_OG_PROD_DAY(QTR_R_NGL_BOE,"&amp;Prev_Quarter&amp;")"),_xll.FDS($A28,"FF_OG_PROD_TOT_NET(QTR_R_NGL_BOE,"&amp;Prev_Quarter&amp;")")/Inputs!$C$20),0)</f>
        <v>9.4291</v>
      </c>
      <c r="J28" s="14">
        <f t="shared" si="2"/>
        <v>58.931960000000004</v>
      </c>
      <c r="K28" s="27">
        <f t="shared" si="1"/>
        <v>5.8848203928734133E-2</v>
      </c>
      <c r="L28" s="14"/>
      <c r="M28" s="11"/>
      <c r="N28" s="11"/>
    </row>
    <row r="29" spans="1:14" ht="18.75" x14ac:dyDescent="0.3">
      <c r="A29" s="12" t="s">
        <v>8</v>
      </c>
      <c r="B29" s="13" t="str">
        <f>_xll.FDS($A29,"FG_COMPANY_NAME")</f>
        <v>Diamondback Energy, Inc.</v>
      </c>
      <c r="C29" s="14">
        <f>IFERROR(IFERROR(_xll.FDS($A29,"FF_OG_PROD_DAY(QTR_R_OIL_BOE,"&amp;Current_Quarter&amp;")"),_xll.FDS($A29,"FF_OG_PROD_TOT_NET(QTR_R_OIL_BOE,"&amp;Current_Quarter&amp;")")/Inputs!$C$20),0)</f>
        <v>68.725300000000004</v>
      </c>
      <c r="D29" s="15">
        <f>IFERROR(IFERROR(_xll.FDS($A29,"FF_OG_PROD_DAY(QTR_R_NG_CFE,"&amp;Current_Quarter&amp;")")/1000,_xll.FDS($A29,"FF_OG_PROD_TOT_NET(QTR_R_NG_CFE,"&amp;Current_Quarter&amp;")")/1000/Inputs!$C$20),0)</f>
        <v>66.342271739130425</v>
      </c>
      <c r="E29" s="15">
        <f>IFERROR(IFERROR(_xll.FDS($A29,"FF_OG_PROD_DAY(QTR_R_NGL_BOE,"&amp;Current_Quarter&amp;")"),_xll.FDS($A29,"FF_OG_PROD_TOT_NET(QTR_R_NGL_BOE,"&amp;Current_Quarter&amp;")")/Inputs!$C$20),0)</f>
        <v>12.851891304347827</v>
      </c>
      <c r="F29" s="14">
        <f t="shared" si="0"/>
        <v>92.634236594202903</v>
      </c>
      <c r="G29" s="14">
        <f>IFERROR(IFERROR(_xll.FDS($A29,"FF_OG_PROD_DAY(QTR_R_OIL_BOE,"&amp;Prev_Quarter&amp;")"),_xll.FDS($A29,"FF_OG_PROD_TOT_NET(QTR_R_OIL_BOE,"&amp;Prev_Quarter&amp;")")/Inputs!$C$20),0)</f>
        <v>61.72</v>
      </c>
      <c r="H29" s="15">
        <f>IFERROR(IFERROR(_xll.FDS($A29,"FF_OG_PROD_DAY(QTR_R_NG_CFE,"&amp;Prev_Quarter&amp;")")/1000,_xll.FDS($A29,"FF_OG_PROD_TOT_NET(QTR_R_NG_CFE,"&amp;Prev_Quarter&amp;")")/1000/Inputs!$C$20),0)</f>
        <v>64.506</v>
      </c>
      <c r="I29" s="15">
        <f>IFERROR(IFERROR(_xll.FDS($A29,"FF_OG_PROD_DAY(QTR_R_NGL_BOE,"&amp;Prev_Quarter&amp;")"),_xll.FDS($A29,"FF_OG_PROD_TOT_NET(QTR_R_NGL_BOE,"&amp;Prev_Quarter&amp;")")/Inputs!$C$20),0)</f>
        <v>12.558</v>
      </c>
      <c r="J29" s="14">
        <f t="shared" si="2"/>
        <v>85.028999999999996</v>
      </c>
      <c r="K29" s="27">
        <f t="shared" si="1"/>
        <v>8.9442855898610008E-2</v>
      </c>
      <c r="L29" s="14"/>
      <c r="M29" s="11"/>
    </row>
    <row r="30" spans="1:14" ht="18.75" x14ac:dyDescent="0.3">
      <c r="A30" s="12" t="s">
        <v>82</v>
      </c>
      <c r="B30" s="13" t="str">
        <f>_xll.FDS($A30,"FG_COMPANY_NAME")</f>
        <v>Devon Energy Corporation</v>
      </c>
      <c r="C30" s="14">
        <f>IFERROR(IFERROR(_xll.FDS($A30,"FF_OG_PROD_DAY(QTR_R_OIL_BOE,"&amp;Current_Quarter&amp;")"),_xll.FDS($A30,"FF_OG_PROD_TOT_NET(QTR_R_OIL_BOE,"&amp;Current_Quarter&amp;")")/Inputs!$C$20),0)</f>
        <v>246</v>
      </c>
      <c r="D30" s="15">
        <f>IFERROR(IFERROR(_xll.FDS($A30,"FF_OG_PROD_DAY(QTR_R_NG_CFE,"&amp;Current_Quarter&amp;")")/1000,_xll.FDS($A30,"FF_OG_PROD_TOT_NET(QTR_R_NG_CFE,"&amp;Current_Quarter&amp;")")/1000/Inputs!$C$20),0)</f>
        <v>1175</v>
      </c>
      <c r="E30" s="15">
        <f>IFERROR(IFERROR(_xll.FDS($A30,"FF_OG_PROD_DAY(QTR_R_NGL_BOE,"&amp;Current_Quarter&amp;")"),_xll.FDS($A30,"FF_OG_PROD_TOT_NET(QTR_R_NGL_BOE,"&amp;Current_Quarter&amp;")")/Inputs!$C$20),0)</f>
        <v>106</v>
      </c>
      <c r="F30" s="14">
        <f t="shared" ref="F30" si="3">+C30+D30/6+E30</f>
        <v>547.83333333333337</v>
      </c>
      <c r="G30" s="14">
        <f>IFERROR(IFERROR(_xll.FDS($A30,"FF_OG_PROD_DAY(QTR_R_OIL_BOE,"&amp;Prev_Quarter&amp;")"),_xll.FDS($A30,"FF_OG_PROD_TOT_NET(QTR_R_OIL_BOE,"&amp;Prev_Quarter&amp;")")/Inputs!$C$20),0)</f>
        <v>233</v>
      </c>
      <c r="H30" s="15">
        <f>IFERROR(IFERROR(_xll.FDS($A30,"FF_OG_PROD_DAY(QTR_R_NG_CFE,"&amp;Prev_Quarter&amp;")")/1000,_xll.FDS($A30,"FF_OG_PROD_TOT_NET(QTR_R_NG_CFE,"&amp;Prev_Quarter&amp;")")/1000/Inputs!$C$20),0)</f>
        <v>1201</v>
      </c>
      <c r="I30" s="15">
        <f>IFERROR(IFERROR(_xll.FDS($A30,"FF_OG_PROD_DAY(QTR_R_NGL_BOE,"&amp;Prev_Quarter&amp;")"),_xll.FDS($A30,"FF_OG_PROD_TOT_NET(QTR_R_NGL_BOE,"&amp;Prev_Quarter&amp;")")/Inputs!$C$20),0)</f>
        <v>94</v>
      </c>
      <c r="J30" s="14">
        <f t="shared" ref="J30" si="4">+G30+H30/6+I30</f>
        <v>527.16666666666663</v>
      </c>
      <c r="K30" s="27">
        <f t="shared" ref="K30" si="5">+F30/J30-1</f>
        <v>3.9203288017704896E-2</v>
      </c>
      <c r="L30" s="14"/>
      <c r="M30" s="11"/>
    </row>
    <row r="31" spans="1:14" ht="18.75" x14ac:dyDescent="0.3">
      <c r="A31" s="12" t="s">
        <v>86</v>
      </c>
      <c r="B31" s="13" t="str">
        <f>_xll.FDS($A31,"FG_COMPANY_NAME")</f>
        <v>Abraxas Petroleum Corporation</v>
      </c>
      <c r="C31" s="14">
        <f>IFERROR(IFERROR(_xll.FDS($A31,"FF_OG_PROD_DAY(QTR_R_OIL_BOE,"&amp;Current_Quarter&amp;")"),_xll.FDS($A31,"FF_OG_PROD_TOT_NET(QTR_R_OIL_BOE,"&amp;Current_Quarter&amp;")")/Inputs!$C$20),0)</f>
        <v>5.3250000000000002</v>
      </c>
      <c r="D31" s="15">
        <f>IFERROR(IFERROR(_xll.FDS($A31,"FF_OG_PROD_DAY(QTR_R_NG_CFE,"&amp;Current_Quarter&amp;")")/1000,_xll.FDS($A31,"FF_OG_PROD_TOT_NET(QTR_R_NG_CFE,"&amp;Current_Quarter&amp;")")/1000/Inputs!$C$20),0)</f>
        <v>12.334</v>
      </c>
      <c r="E31" s="15">
        <f>IFERROR(IFERROR(_xll.FDS($A31,"FF_OG_PROD_DAY(QTR_R_NGL_BOE,"&amp;Current_Quarter&amp;")"),_xll.FDS($A31,"FF_OG_PROD_TOT_NET(QTR_R_NGL_BOE,"&amp;Current_Quarter&amp;")")/Inputs!$C$20),0)</f>
        <v>1.407</v>
      </c>
      <c r="F31" s="14">
        <f t="shared" ref="F31:F33" si="6">+C31+D31/6+E31</f>
        <v>8.7876666666666665</v>
      </c>
      <c r="G31" s="14">
        <f>IFERROR(IFERROR(_xll.FDS($A31,"FF_OG_PROD_DAY(QTR_R_OIL_BOE,"&amp;Prev_Quarter&amp;")"),_xll.FDS($A31,"FF_OG_PROD_TOT_NET(QTR_R_OIL_BOE,"&amp;Prev_Quarter&amp;")")/Inputs!$C$20),0)</f>
        <v>5.27</v>
      </c>
      <c r="H31" s="15">
        <f>IFERROR(IFERROR(_xll.FDS($A31,"FF_OG_PROD_DAY(QTR_R_NG_CFE,"&amp;Prev_Quarter&amp;")")/1000,_xll.FDS($A31,"FF_OG_PROD_TOT_NET(QTR_R_NG_CFE,"&amp;Prev_Quarter&amp;")")/1000/Inputs!$C$20),0)</f>
        <v>12.006</v>
      </c>
      <c r="I31" s="15">
        <f>IFERROR(IFERROR(_xll.FDS($A31,"FF_OG_PROD_DAY(QTR_R_NGL_BOE,"&amp;Prev_Quarter&amp;")"),_xll.FDS($A31,"FF_OG_PROD_TOT_NET(QTR_R_NGL_BOE,"&amp;Prev_Quarter&amp;")")/Inputs!$C$20),0)</f>
        <v>1.474</v>
      </c>
      <c r="J31" s="14">
        <f t="shared" ref="J31:J33" si="7">+G31+H31/6+I31</f>
        <v>8.7449999999999992</v>
      </c>
      <c r="K31" s="27">
        <f t="shared" ref="K31:K33" si="8">+F31/J31-1</f>
        <v>4.8789784638842981E-3</v>
      </c>
    </row>
    <row r="32" spans="1:14" ht="18.75" x14ac:dyDescent="0.3">
      <c r="A32" s="12" t="s">
        <v>87</v>
      </c>
      <c r="B32" s="13" t="str">
        <f>_xll.FDS($A32,"FG_COMPANY_NAME")</f>
        <v>ConocoPhillips</v>
      </c>
      <c r="C32" s="14">
        <f>IFERROR(IFERROR(_xll.FDS($A32,"FF_OG_PROD_DAY(QTR_R_OIL_BOE,"&amp;Current_Quarter&amp;")"),_xll.FDS($A32,"FF_OG_PROD_TOT_NET(QTR_R_OIL_BOE,"&amp;Current_Quarter&amp;")")/Inputs!$C$20),0)</f>
        <v>689</v>
      </c>
      <c r="D32" s="15">
        <f>IFERROR(IFERROR(_xll.FDS($A32,"FF_OG_PROD_DAY(QTR_R_NG_CFE,"&amp;Current_Quarter&amp;")")/1000,_xll.FDS($A32,"FF_OG_PROD_TOT_NET(QTR_R_NG_CFE,"&amp;Current_Quarter&amp;")")/1000/Inputs!$C$20),0)</f>
        <v>2868</v>
      </c>
      <c r="E32" s="15">
        <f>IFERROR(IFERROR(_xll.FDS($A32,"FF_OG_PROD_DAY(QTR_R_NGL_BOE,"&amp;Current_Quarter&amp;")"),_xll.FDS($A32,"FF_OG_PROD_TOT_NET(QTR_R_NGL_BOE,"&amp;Current_Quarter&amp;")")/Inputs!$C$20),0)</f>
        <v>89</v>
      </c>
      <c r="F32" s="14">
        <f t="shared" si="6"/>
        <v>1256</v>
      </c>
      <c r="G32" s="14">
        <f>IFERROR(IFERROR(_xll.FDS($A32,"FF_OG_PROD_DAY(QTR_R_OIL_BOE,"&amp;Prev_Quarter&amp;")"),_xll.FDS($A32,"FF_OG_PROD_TOT_NET(QTR_R_OIL_BOE,"&amp;Prev_Quarter&amp;")")/Inputs!$C$20),0)</f>
        <v>645</v>
      </c>
      <c r="H32" s="15">
        <f>IFERROR(IFERROR(_xll.FDS($A32,"FF_OG_PROD_DAY(QTR_R_NG_CFE,"&amp;Prev_Quarter&amp;")")/1000,_xll.FDS($A32,"FF_OG_PROD_TOT_NET(QTR_R_NG_CFE,"&amp;Prev_Quarter&amp;")")/1000/Inputs!$C$20),0)</f>
        <v>2918</v>
      </c>
      <c r="I32" s="15">
        <f>IFERROR(IFERROR(_xll.FDS($A32,"FF_OG_PROD_DAY(QTR_R_NGL_BOE,"&amp;Prev_Quarter&amp;")"),_xll.FDS($A32,"FF_OG_PROD_TOT_NET(QTR_R_NGL_BOE,"&amp;Prev_Quarter&amp;")")/Inputs!$C$20),0)</f>
        <v>95</v>
      </c>
      <c r="J32" s="14">
        <f t="shared" si="7"/>
        <v>1226.3333333333333</v>
      </c>
      <c r="K32" s="27">
        <f t="shared" si="8"/>
        <v>2.4191356346833448E-2</v>
      </c>
    </row>
    <row r="33" spans="1:11" ht="18.75" x14ac:dyDescent="0.3">
      <c r="A33" s="12" t="s">
        <v>88</v>
      </c>
      <c r="B33" s="13" t="str">
        <f>_xll.FDS($A33,"FG_COMPANY_NAME")</f>
        <v>U.S. Energy Corp.</v>
      </c>
      <c r="C33" s="14">
        <f>IFERROR(IFERROR(_xll.FDS($A33,"FF_OG_PROD_DAY(QTR_R_OIL_BOE,"&amp;Current_Quarter&amp;")"),_xll.FDS($A33,"FF_OG_PROD_TOT_NET(QTR_R_OIL_BOE,"&amp;Current_Quarter&amp;")")/Inputs!$C$20),0)</f>
        <v>0.18342391304347827</v>
      </c>
      <c r="D33" s="15">
        <f>IFERROR(IFERROR(_xll.FDS($A33,"FF_OG_PROD_DAY(QTR_R_NG_CFE,"&amp;Current_Quarter&amp;")")/1000,_xll.FDS($A33,"FF_OG_PROD_TOT_NET(QTR_R_NG_CFE,"&amp;Current_Quarter&amp;")")/1000/Inputs!$C$20),0)</f>
        <v>1.2333586956521738</v>
      </c>
      <c r="E33" s="15">
        <f>IFERROR(IFERROR(_xll.FDS($A33,"FF_OG_PROD_DAY(QTR_R_NGL_BOE,"&amp;Current_Quarter&amp;")"),_xll.FDS($A33,"FF_OG_PROD_TOT_NET(QTR_R_NGL_BOE,"&amp;Current_Quarter&amp;")")/Inputs!$C$20),0)</f>
        <v>0</v>
      </c>
      <c r="F33" s="14">
        <f t="shared" si="6"/>
        <v>0.38898369565217394</v>
      </c>
      <c r="G33" s="14">
        <f>IFERROR(IFERROR(_xll.FDS($A33,"FF_OG_PROD_DAY(QTR_R_OIL_BOE,"&amp;Prev_Quarter&amp;")"),_xll.FDS($A33,"FF_OG_PROD_TOT_NET(QTR_R_OIL_BOE,"&amp;Prev_Quarter&amp;")")/Inputs!$C$20),0)</f>
        <v>0.32608695652173914</v>
      </c>
      <c r="H33" s="15">
        <f>IFERROR(IFERROR(_xll.FDS($A33,"FF_OG_PROD_DAY(QTR_R_NG_CFE,"&amp;Prev_Quarter&amp;")")/1000,_xll.FDS($A33,"FF_OG_PROD_TOT_NET(QTR_R_NG_CFE,"&amp;Prev_Quarter&amp;")")/1000/Inputs!$C$20),0)</f>
        <v>0.82413043478260861</v>
      </c>
      <c r="I33" s="15">
        <f>IFERROR(IFERROR(_xll.FDS($A33,"FF_OG_PROD_DAY(QTR_R_NGL_BOE,"&amp;Prev_Quarter&amp;")"),_xll.FDS($A33,"FF_OG_PROD_TOT_NET(QTR_R_NGL_BOE,"&amp;Prev_Quarter&amp;")")/Inputs!$C$20),0)</f>
        <v>0</v>
      </c>
      <c r="J33" s="14">
        <f t="shared" si="7"/>
        <v>0.46344202898550724</v>
      </c>
      <c r="K33" s="27">
        <f t="shared" si="8"/>
        <v>-0.16066374794777571</v>
      </c>
    </row>
    <row r="34" spans="1:11" ht="18.75" x14ac:dyDescent="0.3">
      <c r="A34" s="12" t="s">
        <v>96</v>
      </c>
      <c r="B34" s="13" t="str">
        <f>_xll.FDS($A34,"FG_COMPANY_NAME")</f>
        <v>Rosehill Resources Inc. Class A</v>
      </c>
      <c r="C34" s="14">
        <f>IFERROR(IFERROR(_xll.FDS($A34,"FF_OG_PROD_DAY(QTR_R_OIL_BOE,"&amp;Current_Quarter&amp;")"),_xll.FDS($A34,"FF_OG_PROD_TOT_NET(QTR_R_OIL_BOE,"&amp;Current_Quarter&amp;")")/Inputs!$C$20),0)</f>
        <v>0</v>
      </c>
      <c r="D34" s="15">
        <f>IFERROR(IFERROR(_xll.FDS($A34,"FF_OG_PROD_DAY(QTR_R_NG_CFE,"&amp;Current_Quarter&amp;")")/1000,_xll.FDS($A34,"FF_OG_PROD_TOT_NET(QTR_R_NG_CFE,"&amp;Current_Quarter&amp;")")/1000/Inputs!$C$20),0)</f>
        <v>0</v>
      </c>
      <c r="E34" s="15">
        <f>IFERROR(IFERROR(_xll.FDS($A34,"FF_OG_PROD_DAY(QTR_R_NGL_BOE,"&amp;Current_Quarter&amp;")"),_xll.FDS($A34,"FF_OG_PROD_TOT_NET(QTR_R_NGL_BOE,"&amp;Current_Quarter&amp;")")/Inputs!$C$20),0)</f>
        <v>0</v>
      </c>
      <c r="F34" s="14">
        <f t="shared" ref="F34" si="9">+C34+D34/6+E34</f>
        <v>0</v>
      </c>
      <c r="G34" s="14">
        <f>IFERROR(IFERROR(_xll.FDS($A34,"FF_OG_PROD_DAY(QTR_R_OIL_BOE,"&amp;Prev_Quarter&amp;")"),_xll.FDS($A34,"FF_OG_PROD_TOT_NET(QTR_R_OIL_BOE,"&amp;Prev_Quarter&amp;")")/Inputs!$C$20),0)</f>
        <v>0</v>
      </c>
      <c r="H34" s="15">
        <f>IFERROR(IFERROR(_xll.FDS($A34,"FF_OG_PROD_DAY(QTR_R_NG_CFE,"&amp;Prev_Quarter&amp;")")/1000,_xll.FDS($A34,"FF_OG_PROD_TOT_NET(QTR_R_NG_CFE,"&amp;Prev_Quarter&amp;")")/1000/Inputs!$C$20),0)</f>
        <v>0</v>
      </c>
      <c r="I34" s="15">
        <f>IFERROR(IFERROR(_xll.FDS($A34,"FF_OG_PROD_DAY(QTR_R_NGL_BOE,"&amp;Prev_Quarter&amp;")"),_xll.FDS($A34,"FF_OG_PROD_TOT_NET(QTR_R_NGL_BOE,"&amp;Prev_Quarter&amp;")")/Inputs!$C$20),0)</f>
        <v>0</v>
      </c>
      <c r="J34" s="14">
        <f t="shared" ref="J34" si="10">+G34+H34/6+I34</f>
        <v>0</v>
      </c>
      <c r="K34" s="27" t="e">
        <f t="shared" ref="K34" si="11">+F34/J34-1</f>
        <v>#DIV/0!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tabSelected="1" zoomScale="85" zoomScaleNormal="85" workbookViewId="0">
      <pane xSplit="2" ySplit="1" topLeftCell="D33" activePane="bottomRight" state="frozen"/>
      <selection activeCell="C37" sqref="C37"/>
      <selection pane="topRight" activeCell="C37" sqref="C37"/>
      <selection pane="bottomLeft" activeCell="C37" sqref="C37"/>
      <selection pane="bottomRight" activeCell="M33" sqref="M33"/>
    </sheetView>
  </sheetViews>
  <sheetFormatPr defaultRowHeight="15" x14ac:dyDescent="0.25"/>
  <cols>
    <col min="1" max="1" width="11.28515625" style="8" customWidth="1"/>
    <col min="2" max="2" width="34" style="9" customWidth="1"/>
    <col min="3" max="3" width="20.5703125" style="10" customWidth="1"/>
    <col min="4" max="4" width="16.7109375" style="10" bestFit="1" customWidth="1"/>
    <col min="5" max="5" width="18.85546875" style="10" customWidth="1"/>
    <col min="6" max="6" width="18.28515625" style="10" customWidth="1"/>
    <col min="7" max="7" width="20.5703125" style="1" customWidth="1"/>
    <col min="8" max="8" width="26.140625" style="20" customWidth="1"/>
    <col min="9" max="9" width="25.140625" style="1" customWidth="1"/>
    <col min="10" max="10" width="15.7109375" style="1" customWidth="1"/>
    <col min="11" max="11" width="20.7109375" style="1" customWidth="1"/>
    <col min="12" max="12" width="19.28515625" style="1" customWidth="1"/>
    <col min="13" max="17" width="19.42578125" style="1" customWidth="1"/>
    <col min="18" max="18" width="17" style="1" customWidth="1"/>
    <col min="19" max="19" width="18.85546875" style="1" bestFit="1" customWidth="1"/>
    <col min="20" max="21" width="10.5703125" style="1" bestFit="1" customWidth="1"/>
    <col min="22" max="22" width="7" style="1" bestFit="1" customWidth="1"/>
    <col min="23" max="27" width="12.85546875" style="1" customWidth="1"/>
    <col min="28" max="28" width="19.7109375" style="1" customWidth="1"/>
    <col min="29" max="29" width="18.28515625" style="1" bestFit="1" customWidth="1"/>
    <col min="30" max="34" width="21" style="1" customWidth="1"/>
    <col min="35" max="36" width="14.85546875" style="1" customWidth="1"/>
    <col min="37" max="37" width="16.7109375" style="1" customWidth="1"/>
    <col min="38" max="16384" width="9.140625" style="1"/>
  </cols>
  <sheetData>
    <row r="1" spans="1:14" ht="67.5" customHeight="1" x14ac:dyDescent="0.25">
      <c r="A1" s="22" t="s">
        <v>0</v>
      </c>
      <c r="B1" s="22" t="s">
        <v>1</v>
      </c>
      <c r="C1" s="22" t="s">
        <v>84</v>
      </c>
      <c r="D1" s="22" t="s">
        <v>73</v>
      </c>
      <c r="E1" s="22" t="s">
        <v>85</v>
      </c>
      <c r="F1" s="22" t="s">
        <v>80</v>
      </c>
      <c r="G1" s="22" t="s">
        <v>75</v>
      </c>
      <c r="H1" s="22" t="s">
        <v>76</v>
      </c>
      <c r="I1" s="22" t="s">
        <v>77</v>
      </c>
      <c r="J1" s="22" t="s">
        <v>79</v>
      </c>
      <c r="K1" s="22" t="s">
        <v>78</v>
      </c>
      <c r="L1" s="22" t="s">
        <v>81</v>
      </c>
      <c r="M1" s="22" t="s">
        <v>94</v>
      </c>
    </row>
    <row r="2" spans="1:14" ht="18.75" x14ac:dyDescent="0.3">
      <c r="A2" s="12" t="s">
        <v>15</v>
      </c>
      <c r="B2" s="13" t="str">
        <f>_xll.FDS($A2,"FG_COMPANY_NAME")</f>
        <v>Pioneer Natural Resources Company</v>
      </c>
      <c r="C2" s="15">
        <f>_xll.FDS($A2,"FF_OG_RSRV_PROVED_DEV_NET(ANN_R_OIL_BOE,0)")</f>
        <v>442.36399999999998</v>
      </c>
      <c r="D2" s="15">
        <f>_xll.FDS($A2,"FF_OG_RSRV_PROVED_DEV_NET(ANN_R_NG_CFE,0)")/1000</f>
        <v>1629.451</v>
      </c>
      <c r="E2" s="15">
        <f>IFERROR(_xll.FDS($A2,"FF_OG_RSRV_PROVED_DEV_NET(ANN_R_NGL_BOE,0)"),0)</f>
        <v>189.434</v>
      </c>
      <c r="F2" s="15">
        <f>+C2+D2/6+E2</f>
        <v>903.37316666666663</v>
      </c>
      <c r="G2" s="15">
        <f>_xll.FDS($A2,"FF_OG_RSRV_PROVED_UNDEV_NET(ANN_R_OIL_BOE,0)")</f>
        <v>40.524999999999999</v>
      </c>
      <c r="H2" s="15">
        <f>_xll.FDS($A2,"FF_OG_RSRV_PROVED_UNDEV_NET(ANN_R_NG_CFE,0)")/1000</f>
        <v>122.429</v>
      </c>
      <c r="I2" s="15">
        <f>IFERROR(_xll.FDS($A2,"FF_OG_RSRV_PROVED_UNDEV_NET(ANN_R_NGL_BOE,0)"),0)</f>
        <v>21.062999999999999</v>
      </c>
      <c r="J2" s="15">
        <f>+G2+H2/6+I2</f>
        <v>81.992833333333337</v>
      </c>
      <c r="K2" s="15">
        <f>IF((J2+F2)/_xll.FDS($A2,"FF_OG_TOT_RSRV_PROVED_NET(ANN_R_BOE,0)")-1&lt;0.01,J2+F2,"CHECK RESERVES")</f>
        <v>985.36599999999999</v>
      </c>
      <c r="L2" s="26">
        <f>+J2/K2</f>
        <v>8.3210536321867548E-2</v>
      </c>
      <c r="M2" s="30">
        <f>_xll.FDS($A2,"FF_OG_FUT_CF(ANN_R_DISCNT_NET,0)")</f>
        <v>8151</v>
      </c>
      <c r="N2" s="33"/>
    </row>
    <row r="3" spans="1:14" ht="18.75" x14ac:dyDescent="0.3">
      <c r="A3" s="12" t="s">
        <v>10</v>
      </c>
      <c r="B3" s="13" t="str">
        <f>_xll.FDS($A3,"FG_COMPANY_NAME")</f>
        <v>Laredo Petroleum, Inc.</v>
      </c>
      <c r="C3" s="15">
        <f>_xll.FDS($A3,"FF_OG_RSRV_PROVED_DEV_NET(ANN_R_OIL_BOE,0)")</f>
        <v>68.876999999999995</v>
      </c>
      <c r="D3" s="15">
        <f>_xll.FDS($A3,"FF_OG_RSRV_PROVED_DEV_NET(ANN_R_NG_CFE,0)")/1000</f>
        <v>371.94600000000003</v>
      </c>
      <c r="E3" s="15">
        <f>IFERROR(_xll.FDS($A3,"FF_OG_RSRV_PROVED_DEV_NET(ANN_R_NGL_BOE,0)"),0)</f>
        <v>60.441000000000003</v>
      </c>
      <c r="F3" s="15">
        <f>+C3+D3/6+E3</f>
        <v>191.309</v>
      </c>
      <c r="G3" s="15">
        <f>_xll.FDS($A3,"FF_OG_RSRV_PROVED_UNDEV_NET(ANN_R_OIL_BOE,0)")</f>
        <v>10.536</v>
      </c>
      <c r="H3" s="15">
        <f>_xll.FDS($A3,"FF_OG_RSRV_PROVED_UNDEV_NET(ANN_R_NG_CFE,0)")/1000</f>
        <v>42.646000000000001</v>
      </c>
      <c r="I3" s="15">
        <f>IFERROR(_xll.FDS($A3,"FF_OG_RSRV_PROVED_UNDEV_NET(ANN_R_NGL_BOE,0)"),0)</f>
        <v>6.93</v>
      </c>
      <c r="J3" s="15">
        <f>+G3+H3/6+I3</f>
        <v>24.573666666666668</v>
      </c>
      <c r="K3" s="15">
        <f>IF((J3+F3)/_xll.FDS($A3,"FF_OG_TOT_RSRV_PROVED_NET(ANN_R_BOE,0)")-1&lt;0.01,J3+F3,"CHECK RESERVES")</f>
        <v>215.88266666666667</v>
      </c>
      <c r="L3" s="26">
        <f>+J3/K3</f>
        <v>0.11382880824151391</v>
      </c>
      <c r="M3" s="30">
        <f>_xll.FDS($A3,"FF_OG_FUT_CF(ANN_R_DISCNT_NET,0)")</f>
        <v>1770.3209999999999</v>
      </c>
      <c r="N3" s="33"/>
    </row>
    <row r="4" spans="1:14" ht="18.75" x14ac:dyDescent="0.3">
      <c r="A4" s="12" t="s">
        <v>39</v>
      </c>
      <c r="B4" s="13" t="str">
        <f>_xll.FDS($A4,"FG_COMPANY_NAME")</f>
        <v>Apache Corporation</v>
      </c>
      <c r="C4" s="15">
        <f>_xll.FDS($A4,"FF_OG_RSRV_PROVED_DEV_NET(ANN_R_OIL_BOE,0)")</f>
        <v>521.44500000000005</v>
      </c>
      <c r="D4" s="15">
        <f>_xll.FDS($A4,"FF_OG_RSRV_PROVED_DEV_NET(ANN_R_NG_CFE,0)")/1000</f>
        <v>1971.018</v>
      </c>
      <c r="E4" s="15">
        <f>IFERROR(_xll.FDS($A4,"FF_OG_RSRV_PROVED_DEV_NET(ANN_R_NGL_BOE,0)"),0)</f>
        <v>173.715</v>
      </c>
      <c r="F4" s="15">
        <f>+C4+D4/6+E4</f>
        <v>1023.6630000000001</v>
      </c>
      <c r="G4" s="15">
        <f>_xll.FDS($A4,"FF_OG_RSRV_PROVED_UNDEV_NET(ANN_R_OIL_BOE,0)")</f>
        <v>62.115000000000002</v>
      </c>
      <c r="H4" s="15">
        <f>_xll.FDS($A4,"FF_OG_RSRV_PROVED_UNDEV_NET(ANN_R_NG_CFE,0)")/1000</f>
        <v>355.54399999999998</v>
      </c>
      <c r="I4" s="15">
        <f>IFERROR(_xll.FDS($A4,"FF_OG_RSRV_PROVED_UNDEV_NET(ANN_R_NGL_BOE,0)"),0)</f>
        <v>29.951000000000001</v>
      </c>
      <c r="J4" s="15">
        <f>+G4+H4/6+I4</f>
        <v>151.32333333333332</v>
      </c>
      <c r="K4" s="15">
        <f>IF((J4+F4)/_xll.FDS($A4,"FF_OG_TOT_RSRV_PROVED_NET(ANN_R_BOE,0)")-1&lt;0.01,J4+F4,"CHECK RESERVES")</f>
        <v>1174.9863333333335</v>
      </c>
      <c r="L4" s="26">
        <f>+J4/K4</f>
        <v>0.12878731355456899</v>
      </c>
      <c r="M4" s="30">
        <f>_xll.FDS($A4,"FF_OG_FUT_CF(ANN_R_DISCNT_NET,0)")</f>
        <v>10083</v>
      </c>
      <c r="N4" s="40"/>
    </row>
    <row r="5" spans="1:14" ht="18.75" x14ac:dyDescent="0.3">
      <c r="A5" s="12" t="s">
        <v>4</v>
      </c>
      <c r="B5" s="13" t="str">
        <f>_xll.FDS($A5,"FG_COMPANY_NAME")</f>
        <v>Cimarex Energy Co.</v>
      </c>
      <c r="C5" s="15">
        <f>_xll.FDS($A5,"FF_OG_RSRV_PROVED_DEV_NET(ANN_R_OIL_BOE,0)")</f>
        <v>114.116</v>
      </c>
      <c r="D5" s="15">
        <f>_xll.FDS($A5,"FF_OG_RSRV_PROVED_DEV_NET(ANN_R_NG_CFE,0)")/1000</f>
        <v>1334.51</v>
      </c>
      <c r="E5" s="15">
        <f>IFERROR(_xll.FDS($A5,"FF_OG_RSRV_PROVED_DEV_NET(ANN_R_NGL_BOE,0)"),0)</f>
        <v>126.227</v>
      </c>
      <c r="F5" s="15">
        <f>+C5+D5/6+E5</f>
        <v>462.76133333333337</v>
      </c>
      <c r="G5" s="15">
        <f>_xll.FDS($A5,"FF_OG_RSRV_PROVED_UNDEV_NET(ANN_R_OIL_BOE,0)")</f>
        <v>23.122</v>
      </c>
      <c r="H5" s="15">
        <f>_xll.FDS($A5,"FF_OG_RSRV_PROVED_UNDEV_NET(ANN_R_NG_CFE,0)")/1000</f>
        <v>273.125</v>
      </c>
      <c r="I5" s="15">
        <f>IFERROR(_xll.FDS($A5,"FF_OG_RSRV_PROVED_UNDEV_NET(ANN_R_NGL_BOE,0)"),0)</f>
        <v>27.632999999999999</v>
      </c>
      <c r="J5" s="15">
        <f>+G5+H5/6+I5</f>
        <v>96.275833333333324</v>
      </c>
      <c r="K5" s="15">
        <f>IF((J5+F5)/_xll.FDS($A5,"FF_OG_TOT_RSRV_PROVED_NET(ANN_R_BOE,0)")-1&lt;0.01,J5+F5,"CHECK RESERVES")</f>
        <v>559.03716666666674</v>
      </c>
      <c r="L5" s="26">
        <f>+J5/K5</f>
        <v>0.1722172318298455</v>
      </c>
      <c r="M5" s="30">
        <f>_xll.FDS($A5,"FF_OG_FUT_CF(ANN_R_DISCNT_NET,0)")</f>
        <v>3285.0010000000002</v>
      </c>
      <c r="N5" s="40"/>
    </row>
    <row r="6" spans="1:14" ht="18.75" x14ac:dyDescent="0.3">
      <c r="A6" s="12" t="s">
        <v>82</v>
      </c>
      <c r="B6" s="13" t="str">
        <f>_xll.FDS($A6,"FG_COMPANY_NAME")</f>
        <v>Devon Energy Corporation</v>
      </c>
      <c r="C6" s="15">
        <f>_xll.FDS($A6,"FF_OG_RSRV_PROVED_DEV_NET(ANN_R_OIL_BOE,0)")</f>
        <v>393</v>
      </c>
      <c r="D6" s="15">
        <f>_xll.FDS($A6,"FF_OG_RSRV_PROVED_DEV_NET(ANN_R_NG_CFE,0)")/1000</f>
        <v>5632</v>
      </c>
      <c r="E6" s="15">
        <f>IFERROR(_xll.FDS($A6,"FF_OG_RSRV_PROVED_DEV_NET(ANN_R_NGL_BOE,0)"),0)</f>
        <v>410</v>
      </c>
      <c r="F6" s="15">
        <f>+C6+D6/6+E6</f>
        <v>1741.6666666666665</v>
      </c>
      <c r="G6" s="15">
        <f>_xll.FDS($A6,"FF_OG_RSRV_PROVED_UNDEV_NET(ANN_R_OIL_BOE,0)")</f>
        <v>288</v>
      </c>
      <c r="H6" s="15">
        <f>_xll.FDS($A6,"FF_OG_RSRV_PROVED_UNDEV_NET(ANN_R_NG_CFE,0)")/1000</f>
        <v>355</v>
      </c>
      <c r="I6" s="15">
        <f>IFERROR(_xll.FDS($A6,"FF_OG_RSRV_PROVED_UNDEV_NET(ANN_R_NGL_BOE,0)"),0)</f>
        <v>63</v>
      </c>
      <c r="J6" s="15">
        <f>+G6+H6/6+I6</f>
        <v>410.16666666666669</v>
      </c>
      <c r="K6" s="15">
        <f>IF((J6+F6)/_xll.FDS($A6,"FF_OG_TOT_RSRV_PROVED_NET(ANN_R_BOE,0)")-1&lt;0.01,J6+F6,"CHECK RESERVES")</f>
        <v>2151.833333333333</v>
      </c>
      <c r="L6" s="26">
        <f>+J6/K6</f>
        <v>0.19061265587483545</v>
      </c>
      <c r="M6" s="30">
        <f>_xll.FDS($A6,"FF_OG_FUT_CF(ANN_R_DISCNT_NET,0)")</f>
        <v>11337</v>
      </c>
      <c r="N6" s="40"/>
    </row>
    <row r="7" spans="1:14" ht="18.75" x14ac:dyDescent="0.3">
      <c r="A7" s="12" t="s">
        <v>87</v>
      </c>
      <c r="B7" s="13" t="str">
        <f>_xll.FDS($A7,"FG_COMPANY_NAME")</f>
        <v>ConocoPhillips</v>
      </c>
      <c r="C7" s="15">
        <f>_xll.FDS($A7,"FF_OG_RSRV_PROVED_DEV_NET(ANN_R_OIL_BOE,0)")</f>
        <v>1888</v>
      </c>
      <c r="D7" s="15">
        <f>_xll.FDS($A7,"FF_OG_RSRV_PROVED_DEV_NET(ANN_R_NG_CFE,0)")/1000</f>
        <v>10128</v>
      </c>
      <c r="E7" s="15">
        <f>IFERROR(_xll.FDS($A7,"FF_OG_RSRV_PROVED_DEV_NET(ANN_R_NGL_BOE,0)"),0)</f>
        <v>271</v>
      </c>
      <c r="F7" s="15">
        <f>+C7+D7/6+E7</f>
        <v>3847</v>
      </c>
      <c r="G7" s="15">
        <f>_xll.FDS($A7,"FF_OG_RSRV_PROVED_UNDEV_NET(ANN_R_OIL_BOE,0)")</f>
        <v>767</v>
      </c>
      <c r="H7" s="15">
        <f>_xll.FDS($A7,"FF_OG_RSRV_PROVED_UNDEV_NET(ANN_R_NG_CFE,0)")/1000</f>
        <v>1778</v>
      </c>
      <c r="I7" s="15">
        <f>IFERROR(_xll.FDS($A7,"FF_OG_RSRV_PROVED_UNDEV_NET(ANN_R_NGL_BOE,0)"),0)</f>
        <v>128</v>
      </c>
      <c r="J7" s="15">
        <f>+G7+H7/6+I7</f>
        <v>1191.3333333333333</v>
      </c>
      <c r="K7" s="15">
        <f>IF((J7+F7)/_xll.FDS($A7,"FF_OG_TOT_RSRV_PROVED_NET(ANN_R_BOE,0)")-1&lt;0.01,J7+F7,"CHECK RESERVES")</f>
        <v>5038.333333333333</v>
      </c>
      <c r="L7" s="26">
        <f>+J7/K7</f>
        <v>0.23645385378762818</v>
      </c>
      <c r="M7" s="30">
        <f>_xll.FDS($A7,"FF_OG_FUT_CF(ANN_R_DISCNT_NET,0)")</f>
        <v>20609</v>
      </c>
      <c r="N7" s="40"/>
    </row>
    <row r="8" spans="1:14" ht="18.75" x14ac:dyDescent="0.3">
      <c r="A8" s="12" t="s">
        <v>43</v>
      </c>
      <c r="B8" s="13" t="str">
        <f>_xll.FDS($A8,"FG_COMPANY_NAME")</f>
        <v>Occidental Petroleum Corporation</v>
      </c>
      <c r="C8" s="15">
        <f>_xll.FDS($A8,"FF_OG_RSRV_PROVED_DEV_NET(ANN_R_OIL_BOE,0)")</f>
        <v>1128</v>
      </c>
      <c r="D8" s="15">
        <f>_xll.FDS($A8,"FF_OG_RSRV_PROVED_DEV_NET(ANN_R_NG_CFE,0)")/1000</f>
        <v>2924</v>
      </c>
      <c r="E8" s="15">
        <f>IFERROR(_xll.FDS($A8,"FF_OG_RSRV_PROVED_DEV_NET(ANN_R_NGL_BOE,0)"),0)</f>
        <v>314</v>
      </c>
      <c r="F8" s="15">
        <f>+C8+D8/6+E8</f>
        <v>1929.3333333333333</v>
      </c>
      <c r="G8" s="15">
        <f>_xll.FDS($A8,"FF_OG_RSRV_PROVED_UNDEV_NET(ANN_R_OIL_BOE,0)")</f>
        <v>387</v>
      </c>
      <c r="H8" s="15">
        <f>_xll.FDS($A8,"FF_OG_RSRV_PROVED_UNDEV_NET(ANN_R_NG_CFE,0)")/1000</f>
        <v>907</v>
      </c>
      <c r="I8" s="15">
        <f>IFERROR(_xll.FDS($A8,"FF_OG_RSRV_PROVED_UNDEV_NET(ANN_R_NGL_BOE,0)"),0)</f>
        <v>131</v>
      </c>
      <c r="J8" s="15">
        <f>+G8+H8/6+I8</f>
        <v>669.16666666666663</v>
      </c>
      <c r="K8" s="15">
        <f>IF((J8+F8)/_xll.FDS($A8,"FF_OG_TOT_RSRV_PROVED_NET(ANN_R_BOE,0)")-1&lt;0.01,J8+F8,"CHECK RESERVES")</f>
        <v>2598.5</v>
      </c>
      <c r="L8" s="26">
        <f>+J8/K8</f>
        <v>0.2575203643127445</v>
      </c>
      <c r="M8" s="30">
        <f>_xll.FDS($A8,"FF_OG_FUT_CF(ANN_R_DISCNT_NET,0)")</f>
        <v>16220</v>
      </c>
      <c r="N8" s="40"/>
    </row>
    <row r="9" spans="1:14" ht="18.75" x14ac:dyDescent="0.3">
      <c r="A9" s="12" t="s">
        <v>7</v>
      </c>
      <c r="B9" s="13" t="str">
        <f>_xll.FDS($A9,"FG_COMPANY_NAME")</f>
        <v>Concho Resources Inc.</v>
      </c>
      <c r="C9" s="15">
        <f>_xll.FDS($A9,"FF_OG_RSRV_PROVED_DEV_NET(ANN_R_OIL_BOE,0)")</f>
        <v>336</v>
      </c>
      <c r="D9" s="15">
        <f>_xll.FDS($A9,"FF_OG_RSRV_PROVED_DEV_NET(ANN_R_NG_CFE,0)")/1000</f>
        <v>1512</v>
      </c>
      <c r="E9" s="15">
        <f>IFERROR(_xll.FDS($A9,"FF_OG_RSRV_PROVED_DEV_NET(ANN_R_NGL_BOE,0)"),0)</f>
        <v>0</v>
      </c>
      <c r="F9" s="15">
        <f>+C9+D9/6+E9</f>
        <v>588</v>
      </c>
      <c r="G9" s="15">
        <f>_xll.FDS($A9,"FF_OG_RSRV_PROVED_UNDEV_NET(ANN_R_OIL_BOE,0)")</f>
        <v>164</v>
      </c>
      <c r="H9" s="15">
        <f>_xll.FDS($A9,"FF_OG_RSRV_PROVED_UNDEV_NET(ANN_R_NG_CFE,0)")/1000</f>
        <v>531</v>
      </c>
      <c r="I9" s="15">
        <f>IFERROR(_xll.FDS($A9,"FF_OG_RSRV_PROVED_UNDEV_NET(ANN_R_NGL_BOE,0)"),0)</f>
        <v>0</v>
      </c>
      <c r="J9" s="15">
        <f>+G9+H9/6+I9</f>
        <v>252.5</v>
      </c>
      <c r="K9" s="15">
        <f>IF((J9+F9)/_xll.FDS($A9,"FF_OG_TOT_RSRV_PROVED_NET(ANN_R_BOE,0)")-1&lt;0.01,J9+F9,"CHECK RESERVES")</f>
        <v>840.5</v>
      </c>
      <c r="L9" s="26">
        <f>+J9/K9</f>
        <v>0.30041641879833431</v>
      </c>
      <c r="M9" s="30">
        <f>_xll.FDS($A9,"FF_OG_FUT_CF(ANN_R_DISCNT_NET,0)")</f>
        <v>7478</v>
      </c>
      <c r="N9" s="40"/>
    </row>
    <row r="10" spans="1:14" ht="18.75" x14ac:dyDescent="0.3">
      <c r="A10" s="12" t="s">
        <v>2</v>
      </c>
      <c r="B10" s="13" t="str">
        <f>_xll.FDS($A10,"FG_COMPANY_NAME")</f>
        <v>Marathon Oil Corporation</v>
      </c>
      <c r="C10" s="15">
        <f>_xll.FDS($A10,"FF_OG_RSRV_PROVED_DEV_NET(ANN_R_OIL_BOE,0)")</f>
        <v>484</v>
      </c>
      <c r="D10" s="15">
        <f>_xll.FDS($A10,"FF_OG_RSRV_PROVED_DEV_NET(ANN_R_NG_CFE,0)")/1000</f>
        <v>1655</v>
      </c>
      <c r="E10" s="15">
        <f>IFERROR(_xll.FDS($A10,"FF_OG_RSRV_PROVED_DEV_NET(ANN_R_NGL_BOE,0)"),0)</f>
        <v>143</v>
      </c>
      <c r="F10" s="15">
        <f>+C10+D10/6+E10</f>
        <v>902.83333333333326</v>
      </c>
      <c r="G10" s="15">
        <f>_xll.FDS($A10,"FF_OG_RSRV_PROVED_UNDEV_NET(ANN_R_OIL_BOE,0)")</f>
        <v>316</v>
      </c>
      <c r="H10" s="15">
        <f>_xll.FDS($A10,"FF_OG_RSRV_PROVED_UNDEV_NET(ANN_R_NG_CFE,0)")/1000</f>
        <v>714</v>
      </c>
      <c r="I10" s="15">
        <f>IFERROR(_xll.FDS($A10,"FF_OG_RSRV_PROVED_UNDEV_NET(ANN_R_NGL_BOE,0)"),0)</f>
        <v>111</v>
      </c>
      <c r="J10" s="15">
        <f>+G10+H10/6+I10</f>
        <v>546</v>
      </c>
      <c r="K10" s="15">
        <f>IF((J10+F10)/_xll.FDS($A10,"FF_OG_TOT_RSRV_PROVED_NET(ANN_R_BOE,0)")-1&lt;0.01,J10+F10,"CHECK RESERVES")</f>
        <v>1448.8333333333333</v>
      </c>
      <c r="L10" s="26">
        <f>+J10/K10</f>
        <v>0.37685494075693088</v>
      </c>
      <c r="M10" s="30">
        <f>_xll.FDS($A10,"FF_OG_FUT_CF(ANN_R_DISCNT_NET,0)")</f>
        <v>7863</v>
      </c>
      <c r="N10" s="40"/>
    </row>
    <row r="11" spans="1:14" ht="18.75" x14ac:dyDescent="0.3">
      <c r="A11" s="12" t="s">
        <v>8</v>
      </c>
      <c r="B11" s="13" t="str">
        <f>_xll.FDS($A11,"FG_COMPANY_NAME")</f>
        <v>Diamondback Energy, Inc.</v>
      </c>
      <c r="C11" s="15">
        <f>_xll.FDS($A11,"FF_OG_RSRV_PROVED_DEV_NET(ANN_R_OIL_BOE,0)")</f>
        <v>141.24600000000001</v>
      </c>
      <c r="D11" s="15">
        <f>_xll.FDS($A11,"FF_OG_RSRV_PROVED_DEV_NET(ANN_R_NG_CFE,0)")/1000</f>
        <v>190.74</v>
      </c>
      <c r="E11" s="15">
        <f>IFERROR(_xll.FDS($A11,"FF_OG_RSRV_PROVED_DEV_NET(ANN_R_NGL_BOE,0)"),0)</f>
        <v>35.411999999999999</v>
      </c>
      <c r="F11" s="15">
        <f>+C11+D11/6+E11</f>
        <v>208.44800000000001</v>
      </c>
      <c r="G11" s="15">
        <f>_xll.FDS($A11,"FF_OG_RSRV_PROVED_UNDEV_NET(ANN_R_OIL_BOE,0)")</f>
        <v>91.935000000000002</v>
      </c>
      <c r="H11" s="15">
        <f>_xll.FDS($A11,"FF_OG_RSRV_PROVED_UNDEV_NET(ANN_R_NG_CFE,0)")/1000</f>
        <v>94.629000000000005</v>
      </c>
      <c r="I11" s="15">
        <f>IFERROR(_xll.FDS($A11,"FF_OG_RSRV_PROVED_UNDEV_NET(ANN_R_NGL_BOE,0)"),0)</f>
        <v>19.198</v>
      </c>
      <c r="J11" s="15">
        <f>+G11+H11/6+I11</f>
        <v>126.90450000000001</v>
      </c>
      <c r="K11" s="15">
        <f>IF((J11+F11)/_xll.FDS($A11,"FF_OG_TOT_RSRV_PROVED_NET(ANN_R_BOE,0)")-1&lt;0.01,J11+F11,"CHECK RESERVES")</f>
        <v>335.35250000000002</v>
      </c>
      <c r="L11" s="26">
        <f>+J11/K11</f>
        <v>0.37842121349922841</v>
      </c>
      <c r="M11" s="30">
        <f>_xll.FDS($A11,"FF_OG_FUT_CF(ANN_R_DISCNT_NET,0)")</f>
        <v>3757.0590000000002</v>
      </c>
      <c r="N11" s="40"/>
    </row>
    <row r="12" spans="1:14" ht="18.75" x14ac:dyDescent="0.3">
      <c r="A12" s="12" t="s">
        <v>9</v>
      </c>
      <c r="B12" s="13" t="str">
        <f>_xll.FDS($A12,"FG_COMPANY_NAME")</f>
        <v>Energen Corporation</v>
      </c>
      <c r="C12" s="15">
        <f>_xll.FDS($A12,"FF_OG_RSRV_PROVED_DEV_NET(ANN_R_OIL_BOE,0)")</f>
        <v>143.90700000000001</v>
      </c>
      <c r="D12" s="15">
        <f>_xll.FDS($A12,"FF_OG_RSRV_PROVED_DEV_NET(ANN_R_NG_CFE,0)")/1000</f>
        <v>342.61599999999999</v>
      </c>
      <c r="E12" s="15">
        <f>IFERROR(_xll.FDS($A12,"FF_OG_RSRV_PROVED_DEV_NET(ANN_R_NGL_BOE,0)"),0)</f>
        <v>52.881999999999998</v>
      </c>
      <c r="F12" s="15">
        <f>+C12+D12/6+E12</f>
        <v>253.89166666666668</v>
      </c>
      <c r="G12" s="15">
        <f>_xll.FDS($A12,"FF_OG_RSRV_PROVED_UNDEV_NET(ANN_R_OIL_BOE,0)")</f>
        <v>113.10299999999999</v>
      </c>
      <c r="H12" s="15">
        <f>_xll.FDS($A12,"FF_OG_RSRV_PROVED_UNDEV_NET(ANN_R_NG_CFE,0)")/1000</f>
        <v>234.87299999999999</v>
      </c>
      <c r="I12" s="15">
        <f>IFERROR(_xll.FDS($A12,"FF_OG_RSRV_PROVED_UNDEV_NET(ANN_R_NGL_BOE,0)"),0)</f>
        <v>37.896999999999998</v>
      </c>
      <c r="J12" s="15">
        <f>+G12+H12/6+I12</f>
        <v>190.14549999999997</v>
      </c>
      <c r="K12" s="15">
        <f>IF((J12+F12)/_xll.FDS($A12,"FF_OG_TOT_RSRV_PROVED_NET(ANN_R_BOE,0)")-1&lt;0.01,J12+F12,"CHECK RESERVES")</f>
        <v>444.03716666666662</v>
      </c>
      <c r="L12" s="26">
        <f>+J12/K12</f>
        <v>0.42821978490539264</v>
      </c>
      <c r="M12" s="30">
        <f>_xll.FDS($A12,"FF_OG_FUT_CF(ANN_R_DISCNT_NET,0)")</f>
        <v>3319.7950000000001</v>
      </c>
      <c r="N12" s="40"/>
    </row>
    <row r="13" spans="1:14" ht="18.75" x14ac:dyDescent="0.3">
      <c r="A13" s="12" t="s">
        <v>3</v>
      </c>
      <c r="B13" s="13" t="str">
        <f>_xll.FDS($A13,"FG_COMPANY_NAME")</f>
        <v>EP Energy Corp. Class A</v>
      </c>
      <c r="C13" s="15">
        <f>_xll.FDS($A13,"FF_OG_RSRV_PROVED_DEV_NET(ANN_R_OIL_BOE,0)")</f>
        <v>114.282</v>
      </c>
      <c r="D13" s="15">
        <f>_xll.FDS($A13,"FF_OG_RSRV_PROVED_DEV_NET(ANN_R_NG_CFE,0)")/1000</f>
        <v>372</v>
      </c>
      <c r="E13" s="15">
        <f>IFERROR(_xll.FDS($A13,"FF_OG_RSRV_PROVED_DEV_NET(ANN_R_NGL_BOE,0)"),0)</f>
        <v>41.988999999999997</v>
      </c>
      <c r="F13" s="15">
        <f>+C13+D13/6+E13</f>
        <v>218.27099999999999</v>
      </c>
      <c r="G13" s="15">
        <f>_xll.FDS($A13,"FF_OG_RSRV_PROVED_UNDEV_NET(ANN_R_OIL_BOE,0)")</f>
        <v>89.584000000000003</v>
      </c>
      <c r="H13" s="15">
        <f>_xll.FDS($A13,"FF_OG_RSRV_PROVED_UNDEV_NET(ANN_R_NG_CFE,0)")/1000</f>
        <v>280</v>
      </c>
      <c r="I13" s="15">
        <f>IFERROR(_xll.FDS($A13,"FF_OG_RSRV_PROVED_UNDEV_NET(ANN_R_NGL_BOE,0)"),0)</f>
        <v>37.488999999999997</v>
      </c>
      <c r="J13" s="15">
        <f>+G13+H13/6+I13</f>
        <v>173.73966666666666</v>
      </c>
      <c r="K13" s="15">
        <f>IF((J13+F13)/_xll.FDS($A13,"FF_OG_TOT_RSRV_PROVED_NET(ANN_R_BOE,0)")-1&lt;0.01,J13+F13,"CHECK RESERVES")</f>
        <v>392.01066666666668</v>
      </c>
      <c r="L13" s="26">
        <f>+J13/K13</f>
        <v>0.44320137547277622</v>
      </c>
      <c r="M13" s="30">
        <f>_xll.FDS($A13,"FF_OG_FUT_CF(ANN_R_DISCNT_NET,0)")</f>
        <v>2033</v>
      </c>
      <c r="N13" s="33"/>
    </row>
    <row r="14" spans="1:14" ht="18.75" x14ac:dyDescent="0.3">
      <c r="A14" s="12" t="s">
        <v>6</v>
      </c>
      <c r="B14" s="13" t="str">
        <f>_xll.FDS($A14,"FG_COMPANY_NAME")</f>
        <v>Encana Corporation</v>
      </c>
      <c r="C14" s="15">
        <f>_xll.FDS($A14,"FF_OG_RSRV_PROVED_DEV_NET(ANN_R_OIL_BOE,0)")</f>
        <v>112.3</v>
      </c>
      <c r="D14" s="15">
        <f>_xll.FDS($A14,"FF_OG_RSRV_PROVED_DEV_NET(ANN_R_NG_CFE,0)")/1000</f>
        <v>1677</v>
      </c>
      <c r="E14" s="15">
        <f>IFERROR(_xll.FDS($A14,"FF_OG_RSRV_PROVED_DEV_NET(ANN_R_NGL_BOE,0)"),0)</f>
        <v>86.4</v>
      </c>
      <c r="F14" s="15">
        <f>+C14+D14/6+E14</f>
        <v>478.20000000000005</v>
      </c>
      <c r="G14" s="15">
        <f>_xll.FDS($A14,"FF_OG_RSRV_PROVED_UNDEV_NET(ANN_R_OIL_BOE,0)")</f>
        <v>89.2</v>
      </c>
      <c r="H14" s="15">
        <f>_xll.FDS($A14,"FF_OG_RSRV_PROVED_UNDEV_NET(ANN_R_NG_CFE,0)")/1000</f>
        <v>1171</v>
      </c>
      <c r="I14" s="15">
        <f>IFERROR(_xll.FDS($A14,"FF_OG_RSRV_PROVED_UNDEV_NET(ANN_R_NGL_BOE,0)"),0)</f>
        <v>98.9</v>
      </c>
      <c r="J14" s="15">
        <f>+G14+H14/6+I14</f>
        <v>383.26666666666665</v>
      </c>
      <c r="K14" s="15">
        <f>IF((J14+F14)/_xll.FDS($A14,"FF_OG_TOT_RSRV_PROVED_NET(ANN_R_BOE,0)")-1&lt;0.01,J14+F14,"CHECK RESERVES")</f>
        <v>861.4666666666667</v>
      </c>
      <c r="L14" s="26">
        <f>+J14/K14</f>
        <v>0.4449001702522829</v>
      </c>
      <c r="M14" s="30">
        <f>_xll.FDS($A14,"FF_OG_FUT_CF(ANN_R_DISCNT_NET,0)")</f>
        <v>4313</v>
      </c>
      <c r="N14" s="33"/>
    </row>
    <row r="15" spans="1:14" ht="18.75" x14ac:dyDescent="0.3">
      <c r="A15" s="12" t="s">
        <v>38</v>
      </c>
      <c r="B15" s="13" t="str">
        <f>_xll.FDS($A15,"FG_COMPANY_NAME")</f>
        <v>EOG Resources, Inc.</v>
      </c>
      <c r="C15" s="15">
        <f>_xll.FDS($A15,"FF_OG_RSRV_PROVED_DEV_NET(ANN_R_OIL_BOE,0)")</f>
        <v>614.23599999999999</v>
      </c>
      <c r="D15" s="15">
        <f>_xll.FDS($A15,"FF_OG_RSRV_PROVED_DEV_NET(ANN_R_NG_CFE,0)")/1000</f>
        <v>2779.3</v>
      </c>
      <c r="E15" s="15">
        <f>IFERROR(_xll.FDS($A15,"FF_OG_RSRV_PROVED_DEV_NET(ANN_R_NGL_BOE,0)"),0)</f>
        <v>286.87200000000001</v>
      </c>
      <c r="F15" s="15">
        <f>+C15+D15/6+E15</f>
        <v>1364.3246666666666</v>
      </c>
      <c r="G15" s="15">
        <f>_xll.FDS($A15,"FF_OG_RSRV_PROVED_UNDEV_NET(ANN_R_OIL_BOE,0)")</f>
        <v>698.73699999999997</v>
      </c>
      <c r="H15" s="15">
        <f>_xll.FDS($A15,"FF_OG_RSRV_PROVED_UNDEV_NET(ANN_R_NG_CFE,0)")/1000</f>
        <v>1483.8</v>
      </c>
      <c r="I15" s="15">
        <f>IFERROR(_xll.FDS($A15,"FF_OG_RSRV_PROVED_UNDEV_NET(ANN_R_NGL_BOE,0)"),0)</f>
        <v>216.601</v>
      </c>
      <c r="J15" s="15">
        <f>+G15+H15/6+I15</f>
        <v>1162.6379999999999</v>
      </c>
      <c r="K15" s="15">
        <f>IF((J15+F15)/_xll.FDS($A15,"FF_OG_TOT_RSRV_PROVED_NET(ANN_R_BOE,0)")-1&lt;0.01,J15+F15,"CHECK RESERVES")</f>
        <v>2526.9626666666663</v>
      </c>
      <c r="L15" s="26">
        <f>+J15/K15</f>
        <v>0.46009306561447688</v>
      </c>
      <c r="M15" s="30">
        <f>_xll.FDS($A15,"FF_OG_FUT_CF(ANN_R_DISCNT_NET,0)")</f>
        <v>18327.66</v>
      </c>
      <c r="N15" s="33"/>
    </row>
    <row r="16" spans="1:14" ht="18.75" x14ac:dyDescent="0.3">
      <c r="A16" s="12" t="s">
        <v>14</v>
      </c>
      <c r="B16" s="13" t="str">
        <f>_xll.FDS($A16,"FG_COMPANY_NAME")</f>
        <v>WPX Energy, Inc. Class A</v>
      </c>
      <c r="C16" s="15">
        <f>_xll.FDS($A16,"FF_OG_RSRV_PROVED_DEV_NET(ANN_R_OIL_BOE,0)")</f>
        <v>130.333</v>
      </c>
      <c r="D16" s="15">
        <f>_xll.FDS($A16,"FF_OG_RSRV_PROVED_DEV_NET(ANN_R_NG_CFE,0)")/1000</f>
        <v>321.23099999999999</v>
      </c>
      <c r="E16" s="15">
        <f>IFERROR(_xll.FDS($A16,"FF_OG_RSRV_PROVED_DEV_NET(ANN_R_NGL_BOE,0)"),0)</f>
        <v>38.813000000000002</v>
      </c>
      <c r="F16" s="15">
        <f>+C16+D16/6+E16</f>
        <v>222.68450000000001</v>
      </c>
      <c r="G16" s="15">
        <f>_xll.FDS($A16,"FF_OG_RSRV_PROVED_UNDEV_NET(ANN_R_OIL_BOE,0)")</f>
        <v>133.33699999999999</v>
      </c>
      <c r="H16" s="15">
        <f>_xll.FDS($A16,"FF_OG_RSRV_PROVED_UNDEV_NET(ANN_R_NG_CFE,0)")/1000</f>
        <v>269.78500000000003</v>
      </c>
      <c r="I16" s="15">
        <f>IFERROR(_xll.FDS($A16,"FF_OG_RSRV_PROVED_UNDEV_NET(ANN_R_NGL_BOE,0)"),0)</f>
        <v>35.198</v>
      </c>
      <c r="J16" s="15">
        <f>+G16+H16/6+I16</f>
        <v>213.49916666666667</v>
      </c>
      <c r="K16" s="15">
        <f>IF((J16+F16)/_xll.FDS($A16,"FF_OG_TOT_RSRV_PROVED_NET(ANN_R_BOE,0)")-1&lt;0.01,J16+F16,"CHECK RESERVES")</f>
        <v>436.18366666666668</v>
      </c>
      <c r="L16" s="26">
        <f>+J16/K16</f>
        <v>0.48947079632356705</v>
      </c>
      <c r="M16" s="30">
        <f>_xll.FDS($A16,"FF_OG_FUT_CF(ANN_R_DISCNT_NET,0)")</f>
        <v>3161</v>
      </c>
      <c r="N16" s="33"/>
    </row>
    <row r="17" spans="1:33" ht="18.75" x14ac:dyDescent="0.3">
      <c r="A17" s="12" t="s">
        <v>20</v>
      </c>
      <c r="B17" s="13" t="str">
        <f>_xll.FDS($A17,"FG_COMPANY_NAME")</f>
        <v>Callon Petroleum Company</v>
      </c>
      <c r="C17" s="15">
        <f>_xll.FDS($A17,"FF_OG_RSRV_PROVED_DEV_NET(ANN_R_OIL_BOE,0)")</f>
        <v>51.92</v>
      </c>
      <c r="D17" s="15">
        <f>_xll.FDS($A17,"FF_OG_RSRV_PROVED_DEV_NET(ANN_R_NG_CFE,0)")/1000</f>
        <v>104.389</v>
      </c>
      <c r="E17" s="15">
        <f>IFERROR(_xll.FDS($A17,"FF_OG_RSRV_PROVED_DEV_NET(ANN_R_NGL_BOE,0)"),0)</f>
        <v>0</v>
      </c>
      <c r="F17" s="15">
        <f>+C17+D17/6+E17</f>
        <v>69.31816666666667</v>
      </c>
      <c r="G17" s="15">
        <f>_xll.FDS($A17,"FF_OG_RSRV_PROVED_UNDEV_NET(ANN_R_OIL_BOE,0)")</f>
        <v>55.152000000000001</v>
      </c>
      <c r="H17" s="15">
        <f>_xll.FDS($A17,"FF_OG_RSRV_PROVED_UNDEV_NET(ANN_R_NG_CFE,0)")/1000</f>
        <v>75.021000000000001</v>
      </c>
      <c r="I17" s="15">
        <f>IFERROR(_xll.FDS($A17,"FF_OG_RSRV_PROVED_UNDEV_NET(ANN_R_NGL_BOE,0)"),0)</f>
        <v>0</v>
      </c>
      <c r="J17" s="15">
        <f>+G17+H17/6+I17</f>
        <v>67.655500000000004</v>
      </c>
      <c r="K17" s="15">
        <f>IF((J17+F17)/_xll.FDS($A17,"FF_OG_TOT_RSRV_PROVED_NET(ANN_R_BOE,0)")-1&lt;0.01,J17+F17,"CHECK RESERVES")</f>
        <v>136.97366666666667</v>
      </c>
      <c r="L17" s="26">
        <f>+J17/K17</f>
        <v>0.49393070687553081</v>
      </c>
      <c r="M17" s="30">
        <f>_xll.FDS($A17,"FF_OG_FUT_CF(ANN_R_DISCNT_NET,0)")</f>
        <v>1556.682</v>
      </c>
      <c r="N17" s="33"/>
    </row>
    <row r="18" spans="1:33" ht="18.75" x14ac:dyDescent="0.3">
      <c r="A18" s="12" t="s">
        <v>11</v>
      </c>
      <c r="B18" s="13" t="str">
        <f>_xll.FDS($A18,"FG_COMPANY_NAME")</f>
        <v>Parsley Energy, Inc. Class A</v>
      </c>
      <c r="C18" s="15">
        <f>_xll.FDS($A18,"FF_OG_RSRV_PROVED_DEV_NET(ANN_R_OIL_BOE,0)")</f>
        <v>119.59099999999999</v>
      </c>
      <c r="D18" s="15">
        <f>_xll.FDS($A18,"FF_OG_RSRV_PROVED_DEV_NET(ANN_R_NG_CFE,0)")/1000</f>
        <v>240.33699999999999</v>
      </c>
      <c r="E18" s="15">
        <f>IFERROR(_xll.FDS($A18,"FF_OG_RSRV_PROVED_DEV_NET(ANN_R_NGL_BOE,0)"),0)</f>
        <v>49.750999999999998</v>
      </c>
      <c r="F18" s="15">
        <f>+C18+D18/6+E18</f>
        <v>209.39816666666667</v>
      </c>
      <c r="G18" s="15">
        <f>_xll.FDS($A18,"FF_OG_RSRV_PROVED_UNDEV_NET(ANN_R_OIL_BOE,0)")</f>
        <v>128.94</v>
      </c>
      <c r="H18" s="15">
        <f>_xll.FDS($A18,"FF_OG_RSRV_PROVED_UNDEV_NET(ANN_R_NG_CFE,0)")/1000</f>
        <v>211.36600000000001</v>
      </c>
      <c r="I18" s="15">
        <f>IFERROR(_xll.FDS($A18,"FF_OG_RSRV_PROVED_UNDEV_NET(ANN_R_NGL_BOE,0)"),0)</f>
        <v>42.881</v>
      </c>
      <c r="J18" s="15">
        <f>+G18+H18/6+I18</f>
        <v>207.04866666666666</v>
      </c>
      <c r="K18" s="15">
        <f>IF((J18+F18)/_xll.FDS($A18,"FF_OG_TOT_RSRV_PROVED_NET(ANN_R_BOE,0)")-1&lt;0.01,J18+F18,"CHECK RESERVES")</f>
        <v>416.4468333333333</v>
      </c>
      <c r="L18" s="26">
        <f>+J18/K18</f>
        <v>0.4971791116993326</v>
      </c>
      <c r="M18" s="30">
        <f>_xll.FDS($A18,"FF_OG_FUT_CF(ANN_R_DISCNT_NET,0)")</f>
        <v>3015.5050000000001</v>
      </c>
      <c r="N18" s="33"/>
    </row>
    <row r="19" spans="1:33" ht="18.75" x14ac:dyDescent="0.3">
      <c r="A19" s="12" t="s">
        <v>41</v>
      </c>
      <c r="B19" s="13" t="str">
        <f>_xll.FDS($A19,"FG_COMPANY_NAME")</f>
        <v>Resolute Energy Corporation</v>
      </c>
      <c r="C19" s="15">
        <f>_xll.FDS($A19,"FF_OG_RSRV_PROVED_DEV_NET(ANN_R_OIL_BOE,0)")</f>
        <v>12.273999999999999</v>
      </c>
      <c r="D19" s="15">
        <f>_xll.FDS($A19,"FF_OG_RSRV_PROVED_DEV_NET(ANN_R_NG_CFE,0)")/1000</f>
        <v>46.826999999999998</v>
      </c>
      <c r="E19" s="15">
        <f>IFERROR(_xll.FDS($A19,"FF_OG_RSRV_PROVED_DEV_NET(ANN_R_NGL_BOE,0)"),0)</f>
        <v>6.1360000000000001</v>
      </c>
      <c r="F19" s="15">
        <f>+C19+D19/6+E19</f>
        <v>26.214499999999997</v>
      </c>
      <c r="G19" s="15">
        <f>_xll.FDS($A19,"FF_OG_RSRV_PROVED_UNDEV_NET(ANN_R_OIL_BOE,0)")</f>
        <v>13.045</v>
      </c>
      <c r="H19" s="15">
        <f>_xll.FDS($A19,"FF_OG_RSRV_PROVED_UNDEV_NET(ANN_R_NG_CFE,0)")/1000</f>
        <v>47.987000000000002</v>
      </c>
      <c r="I19" s="15">
        <f>IFERROR(_xll.FDS($A19,"FF_OG_RSRV_PROVED_UNDEV_NET(ANN_R_NGL_BOE,0)"),0)</f>
        <v>6.173</v>
      </c>
      <c r="J19" s="15">
        <f>+G19+H19/6+I19</f>
        <v>27.215833333333336</v>
      </c>
      <c r="K19" s="15">
        <f>IF((J19+F19)/_xll.FDS($A19,"FF_OG_TOT_RSRV_PROVED_NET(ANN_R_BOE,0)")-1&lt;0.01,J19+F19,"CHECK RESERVES")</f>
        <v>53.430333333333337</v>
      </c>
      <c r="L19" s="26">
        <f>+J19/K19</f>
        <v>0.50937045748045739</v>
      </c>
      <c r="M19" s="30">
        <f>_xll.FDS($A19,"FF_OG_FUT_CF(ANN_R_DISCNT_NET,0)")</f>
        <v>433</v>
      </c>
      <c r="N19" s="33"/>
    </row>
    <row r="20" spans="1:33" ht="18.75" x14ac:dyDescent="0.3">
      <c r="A20" s="12" t="s">
        <v>18</v>
      </c>
      <c r="B20" s="13" t="str">
        <f>_xll.FDS($A20,"FG_COMPANY_NAME")</f>
        <v>SM Energy Company</v>
      </c>
      <c r="C20" s="15">
        <f>_xll.FDS($A20,"FF_OG_RSRV_PROVED_DEV_NET(ANN_R_OIL_BOE,0)")</f>
        <v>58.6</v>
      </c>
      <c r="D20" s="15">
        <f>_xll.FDS($A20,"FF_OG_RSRV_PROVED_DEV_NET(ANN_R_NG_CFE,0)")/1000</f>
        <v>642.9</v>
      </c>
      <c r="E20" s="15">
        <f>IFERROR(_xll.FDS($A20,"FF_OG_RSRV_PROVED_DEV_NET(ANN_R_NGL_BOE,0)"),0)</f>
        <v>49</v>
      </c>
      <c r="F20" s="15">
        <f>+C20+D20/6+E20</f>
        <v>214.75</v>
      </c>
      <c r="G20" s="15">
        <f>_xll.FDS($A20,"FF_OG_RSRV_PROVED_UNDEV_NET(ANN_R_OIL_BOE,0)")</f>
        <v>99.6</v>
      </c>
      <c r="H20" s="15">
        <f>_xll.FDS($A20,"FF_OG_RSRV_PROVED_UNDEV_NET(ANN_R_NG_CFE,0)")/1000</f>
        <v>637.20000000000005</v>
      </c>
      <c r="I20" s="15">
        <f>IFERROR(_xll.FDS($A20,"FF_OG_RSRV_PROVED_UNDEV_NET(ANN_R_NGL_BOE,0)"),0)</f>
        <v>47.6</v>
      </c>
      <c r="J20" s="15">
        <f>+G20+H20/6+I20</f>
        <v>253.4</v>
      </c>
      <c r="K20" s="15">
        <f>IF((J20+F20)/_xll.FDS($A20,"FF_OG_TOT_RSRV_PROVED_NET(ANN_R_BOE,0)")-1&lt;0.01,J20+F20,"CHECK RESERVES")</f>
        <v>468.15</v>
      </c>
      <c r="L20" s="26">
        <f>+J20/K20</f>
        <v>0.54127950443234008</v>
      </c>
      <c r="M20" s="30">
        <f>_xll.FDS($A20,"FF_OG_FUT_CF(ANN_R_DISCNT_NET,0)")</f>
        <v>3024.1419999999998</v>
      </c>
      <c r="N20" s="33"/>
    </row>
    <row r="21" spans="1:33" ht="18.75" x14ac:dyDescent="0.3">
      <c r="A21" s="12" t="s">
        <v>36</v>
      </c>
      <c r="B21" s="13" t="str">
        <f>_xll.FDS($A21,"FG_COMPANY_NAME")</f>
        <v>Jagged Peak Energy, Inc.</v>
      </c>
      <c r="C21" s="15">
        <f>_xll.FDS($A21,"FF_OG_RSRV_PROVED_DEV_NET(ANN_R_OIL_BOE,0)")</f>
        <v>29.324999999999999</v>
      </c>
      <c r="D21" s="15">
        <f>_xll.FDS($A21,"FF_OG_RSRV_PROVED_DEV_NET(ANN_R_NG_CFE,0)")/1000</f>
        <v>25.495999999999999</v>
      </c>
      <c r="E21" s="15">
        <f>IFERROR(_xll.FDS($A21,"FF_OG_RSRV_PROVED_DEV_NET(ANN_R_NGL_BOE,0)"),0)</f>
        <v>4.1660000000000004</v>
      </c>
      <c r="F21" s="15">
        <f>+C21+D21/6+E21</f>
        <v>37.740333333333339</v>
      </c>
      <c r="G21" s="15">
        <f>_xll.FDS($A21,"FF_OG_RSRV_PROVED_UNDEV_NET(ANN_R_OIL_BOE,0)")</f>
        <v>35.731999999999999</v>
      </c>
      <c r="H21" s="15">
        <f>_xll.FDS($A21,"FF_OG_RSRV_PROVED_UNDEV_NET(ANN_R_NG_CFE,0)")/1000</f>
        <v>27.757999999999999</v>
      </c>
      <c r="I21" s="15">
        <f>IFERROR(_xll.FDS($A21,"FF_OG_RSRV_PROVED_UNDEV_NET(ANN_R_NGL_BOE,0)"),0)</f>
        <v>4.26</v>
      </c>
      <c r="J21" s="15">
        <f>+G21+H21/6+I21</f>
        <v>44.618333333333332</v>
      </c>
      <c r="K21" s="15">
        <f>IF((J21+F21)/_xll.FDS($A21,"FF_OG_TOT_RSRV_PROVED_NET(ANN_R_BOE,0)")-1&lt;0.01,J21+F21,"CHECK RESERVES")</f>
        <v>82.358666666666664</v>
      </c>
      <c r="L21" s="26">
        <f>+J21/K21</f>
        <v>0.54175638265149184</v>
      </c>
      <c r="M21" s="30">
        <f>_xll.FDS($A21,"FF_OG_FUT_CF(ANN_R_DISCNT_NET,0)")</f>
        <v>771.87199999999996</v>
      </c>
      <c r="N21" s="33"/>
    </row>
    <row r="22" spans="1:33" ht="18.75" x14ac:dyDescent="0.3">
      <c r="A22" s="12" t="s">
        <v>16</v>
      </c>
      <c r="B22" s="13" t="str">
        <f>_xll.FDS($A22,"FG_COMPANY_NAME")</f>
        <v>Matador Resources Company</v>
      </c>
      <c r="C22" s="15">
        <f>_xll.FDS($A22,"FF_OG_RSRV_PROVED_DEV_NET(ANN_R_OIL_BOE,0)")</f>
        <v>36.966000000000001</v>
      </c>
      <c r="D22" s="15">
        <f>_xll.FDS($A22,"FF_OG_RSRV_PROVED_DEV_NET(ANN_R_NG_CFE,0)")/1000</f>
        <v>190.10900000000001</v>
      </c>
      <c r="E22" s="15">
        <f>IFERROR(_xll.FDS($A22,"FF_OG_RSRV_PROVED_DEV_NET(ANN_R_NGL_BOE,0)"),0)</f>
        <v>0</v>
      </c>
      <c r="F22" s="15">
        <f>+C22+D22/6+E22</f>
        <v>68.650833333333338</v>
      </c>
      <c r="G22" s="15">
        <f>_xll.FDS($A22,"FF_OG_RSRV_PROVED_UNDEV_NET(ANN_R_OIL_BOE,0)")</f>
        <v>49.777000000000001</v>
      </c>
      <c r="H22" s="15">
        <f>_xll.FDS($A22,"FF_OG_RSRV_PROVED_UNDEV_NET(ANN_R_NG_CFE,0)")/1000</f>
        <v>206.05500000000001</v>
      </c>
      <c r="I22" s="15">
        <f>IFERROR(_xll.FDS($A22,"FF_OG_RSRV_PROVED_UNDEV_NET(ANN_R_NGL_BOE,0)"),0)</f>
        <v>0</v>
      </c>
      <c r="J22" s="15">
        <f>+G22+H22/6+I22</f>
        <v>84.119500000000002</v>
      </c>
      <c r="K22" s="15">
        <f>IF((J22+F22)/_xll.FDS($A22,"FF_OG_TOT_RSRV_PROVED_NET(ANN_R_BOE,0)")-1&lt;0.01,J22+F22,"CHECK RESERVES")</f>
        <v>152.77033333333333</v>
      </c>
      <c r="L22" s="26">
        <f>+J22/K22</f>
        <v>0.55062719419782635</v>
      </c>
      <c r="M22" s="30">
        <f>_xll.FDS($A22,"FF_OG_FUT_CF(ANN_R_DISCNT_NET,0)")</f>
        <v>1258.646</v>
      </c>
      <c r="N22" s="33"/>
    </row>
    <row r="23" spans="1:33" ht="18.75" x14ac:dyDescent="0.3">
      <c r="A23" s="12" t="s">
        <v>13</v>
      </c>
      <c r="B23" s="13" t="str">
        <f>_xll.FDS($A23,"FG_COMPANY_NAME")</f>
        <v>Noble Energy, Inc.</v>
      </c>
      <c r="C23" s="15">
        <f>_xll.FDS($A23,"FF_OG_RSRV_PROVED_DEV_NET(ANN_R_OIL_BOE,0)")</f>
        <v>208</v>
      </c>
      <c r="D23" s="15">
        <f>_xll.FDS($A23,"FF_OG_RSRV_PROVED_DEV_NET(ANN_R_NG_CFE,0)")/1000</f>
        <v>3187</v>
      </c>
      <c r="E23" s="15">
        <f>IFERROR(_xll.FDS($A23,"FF_OG_RSRV_PROVED_DEV_NET(ANN_R_NGL_BOE,0)"),0)</f>
        <v>130</v>
      </c>
      <c r="F23" s="15">
        <f>+C23+D23/6+E23</f>
        <v>869.16666666666663</v>
      </c>
      <c r="G23" s="15">
        <f>_xll.FDS($A23,"FF_OG_RSRV_PROVED_UNDEV_NET(ANN_R_OIL_BOE,0)")</f>
        <v>249</v>
      </c>
      <c r="H23" s="15">
        <f>_xll.FDS($A23,"FF_OG_RSRV_PROVED_UNDEV_NET(ANN_R_NG_CFE,0)")/1000</f>
        <v>4493</v>
      </c>
      <c r="I23" s="15">
        <f>IFERROR(_xll.FDS($A23,"FF_OG_RSRV_PROVED_UNDEV_NET(ANN_R_NGL_BOE,0)"),0)</f>
        <v>99</v>
      </c>
      <c r="J23" s="15">
        <f>+G23+H23/6+I23</f>
        <v>1096.8333333333335</v>
      </c>
      <c r="K23" s="15">
        <f>IF((J23+F23)/_xll.FDS($A23,"FF_OG_TOT_RSRV_PROVED_NET(ANN_R_BOE,0)")-1&lt;0.01,J23+F23,"CHECK RESERVES")</f>
        <v>1966</v>
      </c>
      <c r="L23" s="26">
        <f>+J23/K23</f>
        <v>0.55790098338419813</v>
      </c>
      <c r="M23" s="30">
        <f>_xll.FDS($A23,"FF_OG_FUT_CF(ANN_R_DISCNT_NET,0)")</f>
        <v>11258</v>
      </c>
      <c r="N23" s="33"/>
    </row>
    <row r="24" spans="1:33" ht="18.75" x14ac:dyDescent="0.3">
      <c r="A24" s="12" t="s">
        <v>12</v>
      </c>
      <c r="B24" s="13" t="str">
        <f>_xll.FDS($A24,"FG_COMPANY_NAME")</f>
        <v>RSP Permian, Inc.</v>
      </c>
      <c r="C24" s="15">
        <f>_xll.FDS($A24,"FF_OG_RSRV_PROVED_DEV_NET(ANN_R_OIL_BOE,0)")</f>
        <v>106.66800000000001</v>
      </c>
      <c r="D24" s="15">
        <f>_xll.FDS($A24,"FF_OG_RSRV_PROVED_DEV_NET(ANN_R_NG_CFE,0)")/1000</f>
        <v>133.11600000000001</v>
      </c>
      <c r="E24" s="15">
        <f>IFERROR(_xll.FDS($A24,"FF_OG_RSRV_PROVED_DEV_NET(ANN_R_NGL_BOE,0)"),0)</f>
        <v>30.161999999999999</v>
      </c>
      <c r="F24" s="15">
        <f>+C24+D24/6+E24</f>
        <v>159.01600000000002</v>
      </c>
      <c r="G24" s="15">
        <f>_xll.FDS($A24,"FF_OG_RSRV_PROVED_UNDEV_NET(ANN_R_OIL_BOE,0)")</f>
        <v>154.667</v>
      </c>
      <c r="H24" s="15">
        <f>_xll.FDS($A24,"FF_OG_RSRV_PROVED_UNDEV_NET(ANN_R_NG_CFE,0)")/1000</f>
        <v>161.90299999999999</v>
      </c>
      <c r="I24" s="15">
        <f>IFERROR(_xll.FDS($A24,"FF_OG_RSRV_PROVED_UNDEV_NET(ANN_R_NGL_BOE,0)"),0)</f>
        <v>35.274999999999999</v>
      </c>
      <c r="J24" s="15">
        <f>+G24+H24/6+I24</f>
        <v>216.92583333333334</v>
      </c>
      <c r="K24" s="15">
        <f>IF((J24+F24)/_xll.FDS($A24,"FF_OG_TOT_RSRV_PROVED_NET(ANN_R_BOE,0)")-1&lt;0.01,J24+F24,"CHECK RESERVES")</f>
        <v>375.94183333333336</v>
      </c>
      <c r="L24" s="26">
        <f>+J24/K24</f>
        <v>0.57701967192619774</v>
      </c>
      <c r="M24" s="30">
        <f>_xll.FDS($A24,"FF_OG_FUT_CF(ANN_R_DISCNT_NET,0)")</f>
        <v>3030.7759999999998</v>
      </c>
      <c r="N24" s="33"/>
    </row>
    <row r="25" spans="1:33" ht="18.75" x14ac:dyDescent="0.3">
      <c r="A25" s="12" t="s">
        <v>17</v>
      </c>
      <c r="B25" s="13" t="str">
        <f>_xll.FDS($A25,"FG_COMPANY_NAME")</f>
        <v>Carrizo Oil &amp; Gas, Inc.</v>
      </c>
      <c r="C25" s="15">
        <f>_xll.FDS($A25,"FF_OG_RSRV_PROVED_DEV_NET(ANN_R_OIL_BOE,0)")</f>
        <v>69.632000000000005</v>
      </c>
      <c r="D25" s="15">
        <f>_xll.FDS($A25,"FF_OG_RSRV_PROVED_DEV_NET(ANN_R_NG_CFE,0)")/1000</f>
        <v>131.35499999999999</v>
      </c>
      <c r="E25" s="15">
        <f>IFERROR(_xll.FDS($A25,"FF_OG_RSRV_PROVED_DEV_NET(ANN_R_NGL_BOE,0)"),0)</f>
        <v>17.446999999999999</v>
      </c>
      <c r="F25" s="15">
        <f>+C25+D25/6+E25</f>
        <v>108.97150000000001</v>
      </c>
      <c r="G25" s="15">
        <f>_xll.FDS($A25,"FF_OG_RSRV_PROVED_UNDEV_NET(ANN_R_OIL_BOE,0)")</f>
        <v>97.742000000000004</v>
      </c>
      <c r="H25" s="15">
        <f>_xll.FDS($A25,"FF_OG_RSRV_PROVED_UNDEV_NET(ANN_R_NG_CFE,0)")/1000</f>
        <v>179.11500000000001</v>
      </c>
      <c r="I25" s="15">
        <f>IFERROR(_xll.FDS($A25,"FF_OG_RSRV_PROVED_UNDEV_NET(ANN_R_NGL_BOE,0)"),0)</f>
        <v>25.151</v>
      </c>
      <c r="J25" s="15">
        <f>+G25+H25/6+I25</f>
        <v>152.74550000000002</v>
      </c>
      <c r="K25" s="15">
        <f>IF((J25+F25)/_xll.FDS($A25,"FF_OG_TOT_RSRV_PROVED_NET(ANN_R_BOE,0)")-1&lt;0.01,J25+F25,"CHECK RESERVES")</f>
        <v>261.71700000000004</v>
      </c>
      <c r="L25" s="26">
        <f>+J25/K25</f>
        <v>0.58362849948608608</v>
      </c>
      <c r="M25" s="30">
        <f>_xll.FDS($A25,"FF_OG_FUT_CF(ANN_R_DISCNT_NET,0)")</f>
        <v>2465.0419999999999</v>
      </c>
      <c r="N25" s="33"/>
    </row>
    <row r="26" spans="1:33" ht="18.75" x14ac:dyDescent="0.3">
      <c r="A26" s="12" t="s">
        <v>37</v>
      </c>
      <c r="B26" s="13" t="str">
        <f>_xll.FDS($A26,"FG_COMPANY_NAME")</f>
        <v>Centennial Resource Development, Inc. Class A</v>
      </c>
      <c r="C26" s="15">
        <f>_xll.FDS($A26,"FF_OG_RSRV_PROVED_DEV_NET(ANN_R_OIL_BOE,0)")</f>
        <v>41.786000000000001</v>
      </c>
      <c r="D26" s="15">
        <f>_xll.FDS($A26,"FF_OG_RSRV_PROVED_DEV_NET(ANN_R_NG_CFE,0)")/1000</f>
        <v>126.065</v>
      </c>
      <c r="E26" s="15">
        <f>IFERROR(_xll.FDS($A26,"FF_OG_RSRV_PROVED_DEV_NET(ANN_R_NGL_BOE,0)"),0)</f>
        <v>12.132999999999999</v>
      </c>
      <c r="F26" s="15">
        <f>+C26+D26/6+E26</f>
        <v>74.929833333333335</v>
      </c>
      <c r="G26" s="15">
        <f>_xll.FDS($A26,"FF_OG_RSRV_PROVED_UNDEV_NET(ANN_R_OIL_BOE,0)")</f>
        <v>59.146999999999998</v>
      </c>
      <c r="H26" s="15">
        <f>_xll.FDS($A26,"FF_OG_RSRV_PROVED_UNDEV_NET(ANN_R_NG_CFE,0)")/1000</f>
        <v>201.14699999999999</v>
      </c>
      <c r="I26" s="15">
        <f>IFERROR(_xll.FDS($A26,"FF_OG_RSRV_PROVED_UNDEV_NET(ANN_R_NGL_BOE,0)"),0)</f>
        <v>18.853000000000002</v>
      </c>
      <c r="J26" s="15">
        <f>+G26+H26/6+I26</f>
        <v>111.52449999999999</v>
      </c>
      <c r="K26" s="15">
        <f>IF((J26+F26)/_xll.FDS($A26,"FF_OG_TOT_RSRV_PROVED_NET(ANN_R_BOE,0)")-1&lt;0.01,J26+F26,"CHECK RESERVES")</f>
        <v>186.45433333333332</v>
      </c>
      <c r="L26" s="26">
        <f>+J26/K26</f>
        <v>0.59813305492140167</v>
      </c>
      <c r="M26" s="30">
        <f>_xll.FDS($A26,"FF_OG_FUT_CF(ANN_R_DISCNT_NET,0)")</f>
        <v>1503.326</v>
      </c>
      <c r="N26" s="33"/>
    </row>
    <row r="27" spans="1:33" ht="18.75" x14ac:dyDescent="0.3">
      <c r="A27" s="12" t="s">
        <v>5</v>
      </c>
      <c r="B27" s="13" t="str">
        <f>_xll.FDS($A27,"FG_COMPANY_NAME")</f>
        <v>QEP Resources, Inc.</v>
      </c>
      <c r="C27" s="15">
        <f>_xll.FDS($A27,"FF_OG_RSRV_PROVED_DEV_NET(ANN_R_OIL_BOE,0)")</f>
        <v>116</v>
      </c>
      <c r="D27" s="15">
        <f>_xll.FDS($A27,"FF_OG_RSRV_PROVED_DEV_NET(ANN_R_NG_CFE,0)")/1000</f>
        <v>655.5</v>
      </c>
      <c r="E27" s="15">
        <f>IFERROR(_xll.FDS($A27,"FF_OG_RSRV_PROVED_DEV_NET(ANN_R_NGL_BOE,0)"),0)</f>
        <v>27.9</v>
      </c>
      <c r="F27" s="15">
        <f>+C27+D27/6+E27</f>
        <v>253.15</v>
      </c>
      <c r="G27" s="15">
        <f>_xll.FDS($A27,"FF_OG_RSRV_PROVED_UNDEV_NET(ANN_R_OIL_BOE,0)")</f>
        <v>204.5</v>
      </c>
      <c r="H27" s="15">
        <f>_xll.FDS($A27,"FF_OG_RSRV_PROVED_UNDEV_NET(ANN_R_NG_CFE,0)")/1000</f>
        <v>1138.0999999999999</v>
      </c>
      <c r="I27" s="15">
        <f>IFERROR(_xll.FDS($A27,"FF_OG_RSRV_PROVED_UNDEV_NET(ANN_R_NGL_BOE,0)"),0)</f>
        <v>37.299999999999997</v>
      </c>
      <c r="J27" s="15">
        <f>+G27+H27/6+I27</f>
        <v>431.48333333333329</v>
      </c>
      <c r="K27" s="15">
        <f>IF((J27+F27)/_xll.FDS($A27,"FF_OG_TOT_RSRV_PROVED_NET(ANN_R_BOE,0)")-1&lt;0.01,J27+F27,"CHECK RESERVES")</f>
        <v>684.63333333333333</v>
      </c>
      <c r="L27" s="26">
        <f>+J27/K27</f>
        <v>0.63024003116023175</v>
      </c>
      <c r="M27" s="30">
        <f>_xll.FDS($A27,"FF_OG_FUT_CF(ANN_R_DISCNT_NET,0)")</f>
        <v>3097.3</v>
      </c>
      <c r="N27" s="33"/>
    </row>
    <row r="28" spans="1:33" ht="18.75" x14ac:dyDescent="0.3">
      <c r="A28" s="12" t="s">
        <v>40</v>
      </c>
      <c r="B28" s="13" t="str">
        <f>_xll.FDS($A28,"FG_COMPANY_NAME")</f>
        <v>Approach Resources Inc.</v>
      </c>
      <c r="C28" s="15">
        <f>_xll.FDS($A28,"FF_OG_RSRV_PROVED_DEV_NET(ANN_R_OIL_BOE,0)")</f>
        <v>13.853</v>
      </c>
      <c r="D28" s="15">
        <f>_xll.FDS($A28,"FF_OG_RSRV_PROVED_DEV_NET(ANN_R_NG_CFE,0)")/1000</f>
        <v>176.20099999999999</v>
      </c>
      <c r="E28" s="15">
        <f>IFERROR(_xll.FDS($A28,"FF_OG_RSRV_PROVED_DEV_NET(ANN_R_NGL_BOE,0)"),0)</f>
        <v>23.18</v>
      </c>
      <c r="F28" s="15">
        <f>+C28+D28/6+E28</f>
        <v>66.399833333333333</v>
      </c>
      <c r="G28" s="15">
        <f>_xll.FDS($A28,"FF_OG_RSRV_PROVED_UNDEV_NET(ANN_R_OIL_BOE,0)")</f>
        <v>36.207000000000001</v>
      </c>
      <c r="H28" s="15">
        <f>_xll.FDS($A28,"FF_OG_RSRV_PROVED_UNDEV_NET(ANN_R_NG_CFE,0)")/1000</f>
        <v>265.02800000000002</v>
      </c>
      <c r="I28" s="15">
        <f>IFERROR(_xll.FDS($A28,"FF_OG_RSRV_PROVED_UNDEV_NET(ANN_R_NGL_BOE,0)"),0)</f>
        <v>34.768000000000001</v>
      </c>
      <c r="J28" s="15">
        <f>+G28+H28/6+I28</f>
        <v>115.14633333333333</v>
      </c>
      <c r="K28" s="15">
        <f>IF((J28+F28)/_xll.FDS($A28,"FF_OG_TOT_RSRV_PROVED_NET(ANN_R_BOE,0)")-1&lt;0.01,J28+F28,"CHECK RESERVES")</f>
        <v>181.54616666666666</v>
      </c>
      <c r="L28" s="26">
        <f>+J28/K28</f>
        <v>0.63425372976754302</v>
      </c>
      <c r="M28" s="30">
        <f>_xll.FDS($A28,"FF_OG_FUT_CF(ANN_R_DISCNT_NET,0)")</f>
        <v>461.03100000000001</v>
      </c>
      <c r="N28" s="33"/>
    </row>
    <row r="29" spans="1:33" ht="18.75" x14ac:dyDescent="0.3">
      <c r="A29" s="12" t="s">
        <v>86</v>
      </c>
      <c r="B29" s="13" t="str">
        <f>_xll.FDS($A29,"FG_COMPANY_NAME")</f>
        <v>Abraxas Petroleum Corporation</v>
      </c>
      <c r="C29" s="15">
        <f>_xll.FDS($A29,"FF_OG_RSRV_PROVED_DEV_NET(ANN_R_OIL_BOE,0)")</f>
        <v>11.263</v>
      </c>
      <c r="D29" s="15">
        <f>_xll.FDS($A29,"FF_OG_RSRV_PROVED_DEV_NET(ANN_R_NG_CFE,0)")/1000</f>
        <v>39.973999999999997</v>
      </c>
      <c r="E29" s="15">
        <f>IFERROR(_xll.FDS($A29,"FF_OG_RSRV_PROVED_DEV_NET(ANN_R_NGL_BOE,0)"),0)</f>
        <v>3.794</v>
      </c>
      <c r="F29" s="15">
        <f>+C29+D29/6+E29</f>
        <v>21.719333333333335</v>
      </c>
      <c r="G29" s="15">
        <f>_xll.FDS($A29,"FF_OG_RSRV_PROVED_UNDEV_NET(ANN_R_OIL_BOE,0)")</f>
        <v>25.808</v>
      </c>
      <c r="H29" s="15">
        <f>_xll.FDS($A29,"FF_OG_RSRV_PROVED_UNDEV_NET(ANN_R_NG_CFE,0)")/1000</f>
        <v>57.853999999999999</v>
      </c>
      <c r="I29" s="15">
        <f>IFERROR(_xll.FDS($A29,"FF_OG_RSRV_PROVED_UNDEV_NET(ANN_R_NGL_BOE,0)"),0)</f>
        <v>8.1809999999999992</v>
      </c>
      <c r="J29" s="15">
        <f>+G29+H29/6+I29</f>
        <v>43.63133333333333</v>
      </c>
      <c r="K29" s="15">
        <f>IF((J29+F29)/_xll.FDS($A29,"FF_OG_TOT_RSRV_PROVED_NET(ANN_R_BOE,0)")-1&lt;0.01,J29+F29,"CHECK RESERVES")</f>
        <v>65.350666666666669</v>
      </c>
      <c r="L29" s="26">
        <f>+J29/K29</f>
        <v>0.6676493991390039</v>
      </c>
      <c r="M29" s="30">
        <f>_xll.FDS($A29,"FF_OG_FUT_CF(ANN_R_DISCNT_NET,0)")</f>
        <v>405.74099999999999</v>
      </c>
      <c r="N29" s="33"/>
    </row>
    <row r="30" spans="1:33" ht="18.75" x14ac:dyDescent="0.3">
      <c r="A30" s="12" t="s">
        <v>19</v>
      </c>
      <c r="B30" s="13" t="str">
        <f>_xll.FDS($A30,"FG_COMPANY_NAME")</f>
        <v>PDC Energy Inc</v>
      </c>
      <c r="C30" s="15">
        <f>_xll.FDS($A30,"FF_OG_RSRV_PROVED_DEV_NET(ANN_R_OIL_BOE,0)")</f>
        <v>46.862000000000002</v>
      </c>
      <c r="D30" s="15">
        <f>_xll.FDS($A30,"FF_OG_RSRV_PROVED_DEV_NET(ANN_R_NG_CFE,0)")/1000</f>
        <v>365.33199999999999</v>
      </c>
      <c r="E30" s="15">
        <f>IFERROR(_xll.FDS($A30,"FF_OG_RSRV_PROVED_DEV_NET(ANN_R_NGL_BOE,0)"),0)</f>
        <v>35.22</v>
      </c>
      <c r="F30" s="15">
        <f>+C30+D30/6+E30</f>
        <v>142.97066666666666</v>
      </c>
      <c r="G30" s="15">
        <f>_xll.FDS($A30,"FF_OG_RSRV_PROVED_UNDEV_NET(ANN_R_OIL_BOE,0)")</f>
        <v>107.98</v>
      </c>
      <c r="H30" s="15">
        <f>_xll.FDS($A30,"FF_OG_RSRV_PROVED_UNDEV_NET(ANN_R_NG_CFE,0)")/1000</f>
        <v>788.96199999999999</v>
      </c>
      <c r="I30" s="15">
        <f>IFERROR(_xll.FDS($A30,"FF_OG_RSRV_PROVED_UNDEV_NET(ANN_R_NGL_BOE,0)"),0)</f>
        <v>70.471999999999994</v>
      </c>
      <c r="J30" s="15">
        <f>+G30+H30/6+I30</f>
        <v>309.94566666666663</v>
      </c>
      <c r="K30" s="15">
        <f>IF((J30+F30)/_xll.FDS($A30,"FF_OG_TOT_RSRV_PROVED_NET(ANN_R_BOE,0)")-1&lt;0.01,J30+F30,"CHECK RESERVES")</f>
        <v>452.91633333333328</v>
      </c>
      <c r="L30" s="26">
        <f>+J30/K30</f>
        <v>0.6843331623427138</v>
      </c>
      <c r="M30" s="30">
        <f>_xll.FDS($A30,"FF_OG_FUT_CF(ANN_R_DISCNT_NET,0)")</f>
        <v>2880.105</v>
      </c>
      <c r="N30" s="33"/>
    </row>
    <row r="31" spans="1:33" ht="18.75" x14ac:dyDescent="0.3">
      <c r="A31" s="12" t="s">
        <v>21</v>
      </c>
      <c r="B31" s="13" t="str">
        <f>_xll.FDS($A31,"FG_COMPANY_NAME")</f>
        <v>Halcon Resources Corp</v>
      </c>
      <c r="C31" s="15">
        <f>_xll.FDS($A31,"FF_OG_RSRV_PROVED_DEV_NET(ANN_R_OIL_BOE,0)")</f>
        <v>10.15</v>
      </c>
      <c r="D31" s="15">
        <f>_xll.FDS($A31,"FF_OG_RSRV_PROVED_DEV_NET(ANN_R_NG_CFE,0)")/1000</f>
        <v>16.303000000000001</v>
      </c>
      <c r="E31" s="15">
        <f>IFERROR(_xll.FDS($A31,"FF_OG_RSRV_PROVED_DEV_NET(ANN_R_NGL_BOE,0)"),0)</f>
        <v>3.1509999999999998</v>
      </c>
      <c r="F31" s="15">
        <f>+C31+D31/6+E31</f>
        <v>16.018166666666666</v>
      </c>
      <c r="G31" s="15">
        <f>_xll.FDS($A31,"FF_OG_RSRV_PROVED_UNDEV_NET(ANN_R_OIL_BOE,0)")</f>
        <v>23.983000000000001</v>
      </c>
      <c r="H31" s="15">
        <f>_xll.FDS($A31,"FF_OG_RSRV_PROVED_UNDEV_NET(ANN_R_NG_CFE,0)")/1000</f>
        <v>30.434999999999999</v>
      </c>
      <c r="I31" s="15">
        <f>IFERROR(_xll.FDS($A31,"FF_OG_RSRV_PROVED_UNDEV_NET(ANN_R_NGL_BOE,0)"),0)</f>
        <v>6.0449999999999999</v>
      </c>
      <c r="J31" s="15">
        <f>+G31+H31/6+I31</f>
        <v>35.100500000000004</v>
      </c>
      <c r="K31" s="15">
        <f>IF((J31+F31)/_xll.FDS($A31,"FF_OG_TOT_RSRV_PROVED_NET(ANN_R_BOE,0)")-1&lt;0.01,J31+F31,"CHECK RESERVES")</f>
        <v>51.11866666666667</v>
      </c>
      <c r="L31" s="26">
        <f>+J31/K31</f>
        <v>0.68664740864393958</v>
      </c>
      <c r="M31" s="30">
        <f>_xll.FDS($A31,"FF_OG_FUT_CF(ANN_R_DISCNT_NET,0)")</f>
        <v>336.03300000000002</v>
      </c>
    </row>
    <row r="32" spans="1:33" ht="18.75" x14ac:dyDescent="0.3">
      <c r="A32" s="12" t="s">
        <v>42</v>
      </c>
      <c r="B32" s="13" t="str">
        <f>_xll.FDS($A32,"FG_COMPANY_NAME")</f>
        <v>Earthstone Energy, Inc. Class A</v>
      </c>
      <c r="C32" s="15">
        <f>_xll.FDS($A32,"FF_OG_RSRV_PROVED_DEV_NET(ANN_R_OIL_BOE,0)")</f>
        <v>11.949</v>
      </c>
      <c r="D32" s="15">
        <f>_xll.FDS($A32,"FF_OG_RSRV_PROVED_DEV_NET(ANN_R_NG_CFE,0)")/1000</f>
        <v>23.335999999999999</v>
      </c>
      <c r="E32" s="15">
        <f>IFERROR(_xll.FDS($A32,"FF_OG_RSRV_PROVED_DEV_NET(ANN_R_NGL_BOE,0)"),0)</f>
        <v>4.1230000000000002</v>
      </c>
      <c r="F32" s="15">
        <f>+C32+D32/6+E32</f>
        <v>19.961333333333332</v>
      </c>
      <c r="G32" s="15">
        <f>_xll.FDS($A32,"FF_OG_RSRV_PROVED_UNDEV_NET(ANN_R_OIL_BOE,0)")</f>
        <v>35.378</v>
      </c>
      <c r="H32" s="15">
        <f>_xll.FDS($A32,"FF_OG_RSRV_PROVED_UNDEV_NET(ANN_R_NG_CFE,0)")/1000</f>
        <v>67.751999999999995</v>
      </c>
      <c r="I32" s="15">
        <f>IFERROR(_xll.FDS($A32,"FF_OG_RSRV_PROVED_UNDEV_NET(ANN_R_NGL_BOE,0)"),0)</f>
        <v>13.345000000000001</v>
      </c>
      <c r="J32" s="15">
        <f>+G32+H32/6+I32</f>
        <v>60.015000000000001</v>
      </c>
      <c r="K32" s="15">
        <f>IF((J32+F32)/_xll.FDS($A32,"FF_OG_TOT_RSRV_PROVED_NET(ANN_R_BOE,0)")-1&lt;0.01,J32+F32,"CHECK RESERVES")</f>
        <v>79.976333333333329</v>
      </c>
      <c r="L32" s="26">
        <f>+J32/K32</f>
        <v>0.75040949614260888</v>
      </c>
      <c r="M32" s="30">
        <f>_xll.FDS($A32,"FF_OG_FUT_CF(ANN_R_DISCNT_NET,0)")</f>
        <v>592.70000000000005</v>
      </c>
      <c r="AG32" s="32"/>
    </row>
    <row r="33" spans="1:33" ht="18.75" x14ac:dyDescent="0.3">
      <c r="A33" s="12" t="s">
        <v>88</v>
      </c>
      <c r="B33" s="13" t="str">
        <f>_xll.FDS($A33,"FG_COMPANY_NAME")</f>
        <v>U.S. Energy Corp.</v>
      </c>
      <c r="C33" s="15">
        <f>_xll.FDS($A33,"FF_OG_RSRV_PROVED_DEV_NET(ANN_R_OIL_BOE,0)")</f>
        <v>0.67600000000000005</v>
      </c>
      <c r="D33" s="15">
        <f>_xll.FDS($A33,"FF_OG_RSRV_PROVED_DEV_NET(ANN_R_NG_CFE,0)")/1000</f>
        <v>0.88850699999999994</v>
      </c>
      <c r="E33" s="15">
        <f>IFERROR(_xll.FDS($A33,"FF_OG_RSRV_PROVED_DEV_NET(ANN_R_NGL_BOE,0)"),0)</f>
        <v>0</v>
      </c>
      <c r="F33" s="15">
        <f>+C33+D33/6+E33</f>
        <v>0.8240845</v>
      </c>
      <c r="G33" s="15" t="e">
        <f>_xll.FDS($A33,"FF_OG_RSRV_PROVED_UNDEV_NET(ANN_R_OIL_BOE,0)")</f>
        <v>#N/A</v>
      </c>
      <c r="H33" s="15" t="e">
        <f>_xll.FDS($A33,"FF_OG_RSRV_PROVED_UNDEV_NET(ANN_R_NG_CFE,0)")/1000</f>
        <v>#N/A</v>
      </c>
      <c r="I33" s="15">
        <f>IFERROR(_xll.FDS($A33,"FF_OG_RSRV_PROVED_UNDEV_NET(ANN_R_NGL_BOE,0)"),0)</f>
        <v>0</v>
      </c>
      <c r="J33" s="15" t="e">
        <f>+G33+H33/6+I33</f>
        <v>#N/A</v>
      </c>
      <c r="K33" s="15" t="e">
        <f>IF((J33+F33)/_xll.FDS($A33,"FF_OG_TOT_RSRV_PROVED_NET(ANN_R_BOE,0)")-1&lt;0.01,J33+F33,"CHECK RESERVES")</f>
        <v>#N/A</v>
      </c>
      <c r="L33" s="26" t="e">
        <f>+J33/K33</f>
        <v>#N/A</v>
      </c>
      <c r="M33" s="30">
        <f>_xll.FDS($A33,"FF_OG_FUT_CF(ANN_R_DISCNT_NET,0)")</f>
        <v>9.2530000000000001</v>
      </c>
      <c r="AG33" s="32"/>
    </row>
    <row r="34" spans="1:33" x14ac:dyDescent="0.25">
      <c r="C34" s="11"/>
    </row>
    <row r="36" spans="1:33" x14ac:dyDescent="0.25">
      <c r="C36" s="11"/>
    </row>
    <row r="39" spans="1:33" x14ac:dyDescent="0.25">
      <c r="I39" s="33"/>
    </row>
    <row r="41" spans="1:33" x14ac:dyDescent="0.25">
      <c r="I41" s="33"/>
    </row>
  </sheetData>
  <autoFilter ref="A1:M33">
    <sortState ref="A2:M33">
      <sortCondition ref="L1:L3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zoomScale="85" zoomScaleNormal="85" workbookViewId="0">
      <pane xSplit="2" ySplit="1" topLeftCell="C2" activePane="bottomRight" state="frozen"/>
      <selection activeCell="C37" sqref="C37"/>
      <selection pane="topRight" activeCell="C37" sqref="C37"/>
      <selection pane="bottomLeft" activeCell="C37" sqref="C37"/>
      <selection pane="bottomRight" activeCell="B21" sqref="B21"/>
    </sheetView>
  </sheetViews>
  <sheetFormatPr defaultRowHeight="15" x14ac:dyDescent="0.25"/>
  <cols>
    <col min="1" max="1" width="11.28515625" style="8" customWidth="1"/>
    <col min="2" max="2" width="34" style="9" customWidth="1"/>
    <col min="3" max="3" width="17" style="1" customWidth="1"/>
    <col min="4" max="4" width="16.42578125" style="1" customWidth="1"/>
    <col min="5" max="16384" width="9.140625" style="1"/>
  </cols>
  <sheetData>
    <row r="1" spans="1:4" ht="67.5" customHeight="1" x14ac:dyDescent="0.25">
      <c r="A1" s="22" t="s">
        <v>0</v>
      </c>
      <c r="B1" s="22" t="s">
        <v>1</v>
      </c>
      <c r="C1" s="22" t="s">
        <v>62</v>
      </c>
      <c r="D1" s="22" t="s">
        <v>61</v>
      </c>
    </row>
    <row r="2" spans="1:4" ht="18.75" x14ac:dyDescent="0.3">
      <c r="A2" s="12" t="s">
        <v>19</v>
      </c>
      <c r="B2" s="13" t="str">
        <f>_xll.FDS($A2,"FG_COMPANY_NAME")</f>
        <v>PDC Energy Inc</v>
      </c>
      <c r="C2" s="15">
        <f>_xll.FDS(A2,"FF_OG_AREA_TOT(ANN_R_GROSS_ACRE,"&amp;Current_Quarter&amp;")")/1000</f>
        <v>241.4</v>
      </c>
      <c r="D2" s="15">
        <f>_xll.FDS(A2,"FF_OG_AREA_TOT(ANN_R_NET_ACRE,"&amp;Current_Quarter&amp;")")/1000</f>
        <v>222.3</v>
      </c>
    </row>
    <row r="3" spans="1:4" ht="18.75" x14ac:dyDescent="0.3">
      <c r="A3" s="12" t="s">
        <v>40</v>
      </c>
      <c r="B3" s="13" t="str">
        <f>_xll.FDS($A3,"FG_COMPANY_NAME")</f>
        <v>Approach Resources Inc.</v>
      </c>
      <c r="C3" s="15">
        <f>_xll.FDS(A3,"FF_OG_AREA_TOT(ANN_R_GROSS_ACRE,"&amp;Current_Quarter&amp;")")/1000</f>
        <v>168.17500000000001</v>
      </c>
      <c r="D3" s="15">
        <f>_xll.FDS(A3,"FF_OG_AREA_TOT(ANN_R_NET_ACRE,"&amp;Current_Quarter&amp;")")/1000</f>
        <v>150.994</v>
      </c>
    </row>
    <row r="4" spans="1:4" ht="18.75" x14ac:dyDescent="0.3">
      <c r="A4" s="12" t="s">
        <v>5</v>
      </c>
      <c r="B4" s="13" t="str">
        <f>_xll.FDS($A4,"FG_COMPANY_NAME")</f>
        <v>QEP Resources, Inc.</v>
      </c>
      <c r="C4" s="15">
        <f>_xll.FDS(A4,"FF_OG_AREA_TOT(ANN_R_GROSS_ACRE,"&amp;Current_Quarter&amp;")")/1000</f>
        <v>2164.241</v>
      </c>
      <c r="D4" s="15">
        <f>_xll.FDS(A4,"FF_OG_AREA_TOT(ANN_R_NET_ACRE,"&amp;Current_Quarter&amp;")")/1000</f>
        <v>993.59799999999996</v>
      </c>
    </row>
    <row r="5" spans="1:4" ht="18.75" x14ac:dyDescent="0.3">
      <c r="A5" s="12" t="s">
        <v>2</v>
      </c>
      <c r="B5" s="13" t="str">
        <f>_xll.FDS($A5,"FG_COMPANY_NAME")</f>
        <v>Marathon Oil Corporation</v>
      </c>
      <c r="C5" s="15">
        <f>_xll.FDS(A5,"FF_OG_AREA_TOT(ANN_R_GROSS_ACRE,"&amp;Current_Quarter&amp;")")/1000</f>
        <v>15496</v>
      </c>
      <c r="D5" s="15">
        <f>_xll.FDS(A5,"FF_OG_AREA_TOT(ANN_R_NET_ACRE,"&amp;Current_Quarter&amp;")")/1000</f>
        <v>3881</v>
      </c>
    </row>
    <row r="6" spans="1:4" ht="18.75" x14ac:dyDescent="0.3">
      <c r="A6" s="12" t="s">
        <v>39</v>
      </c>
      <c r="B6" s="13" t="str">
        <f>_xll.FDS($A6,"FG_COMPANY_NAME")</f>
        <v>Apache Corporation</v>
      </c>
      <c r="C6" s="15">
        <f>_xll.FDS(A6,"FF_OG_AREA_TOT(ANN_R_GROSS_ACRE,"&amp;Current_Quarter&amp;")")/1000</f>
        <v>14937</v>
      </c>
      <c r="D6" s="15">
        <f>_xll.FDS(A6,"FF_OG_AREA_TOT(ANN_R_NET_ACRE,"&amp;Current_Quarter&amp;")")/1000</f>
        <v>10607</v>
      </c>
    </row>
    <row r="7" spans="1:4" ht="18.75" x14ac:dyDescent="0.3">
      <c r="A7" s="12" t="s">
        <v>13</v>
      </c>
      <c r="B7" s="13" t="str">
        <f>_xll.FDS($A7,"FG_COMPANY_NAME")</f>
        <v>Noble Energy, Inc.</v>
      </c>
      <c r="C7" s="15">
        <f>_xll.FDS(A7,"FF_OG_AREA_TOT(ANN_R_GROSS_ACRE,"&amp;Current_Quarter&amp;")")/1000</f>
        <v>8138</v>
      </c>
      <c r="D7" s="15">
        <f>_xll.FDS(A7,"FF_OG_AREA_TOT(ANN_R_NET_ACRE,"&amp;Current_Quarter&amp;")")/1000</f>
        <v>3342</v>
      </c>
    </row>
    <row r="8" spans="1:4" ht="18.75" x14ac:dyDescent="0.3">
      <c r="A8" s="12" t="s">
        <v>43</v>
      </c>
      <c r="B8" s="13" t="str">
        <f>_xll.FDS($A8,"FG_COMPANY_NAME")</f>
        <v>Occidental Petroleum Corporation</v>
      </c>
      <c r="C8" s="15">
        <f>_xll.FDS(A8,"FF_OG_AREA_TOT(ANN_R_GROSS_ACRE,"&amp;Current_Quarter&amp;")")/1000</f>
        <v>11060</v>
      </c>
      <c r="D8" s="15">
        <f>_xll.FDS(A8,"FF_OG_AREA_TOT(ANN_R_NET_ACRE,"&amp;Current_Quarter&amp;")")/1000</f>
        <v>5198</v>
      </c>
    </row>
    <row r="9" spans="1:4" ht="18.75" x14ac:dyDescent="0.3">
      <c r="A9" s="12" t="s">
        <v>21</v>
      </c>
      <c r="B9" s="13" t="str">
        <f>_xll.FDS($A9,"FG_COMPANY_NAME")</f>
        <v>Halcon Resources Corp</v>
      </c>
      <c r="C9" s="15">
        <f>_xll.FDS(A9,"FF_OG_AREA_TOT(ANN_R_GROSS_ACRE,"&amp;Current_Quarter&amp;")")/1000</f>
        <v>214.559</v>
      </c>
      <c r="D9" s="15">
        <f>_xll.FDS(A9,"FF_OG_AREA_TOT(ANN_R_NET_ACRE,"&amp;Current_Quarter&amp;")")/1000</f>
        <v>141.82499999999999</v>
      </c>
    </row>
    <row r="10" spans="1:4" ht="18.75" x14ac:dyDescent="0.3">
      <c r="A10" s="12" t="s">
        <v>14</v>
      </c>
      <c r="B10" s="13" t="str">
        <f>_xll.FDS($A10,"FG_COMPANY_NAME")</f>
        <v>WPX Energy, Inc. Class A</v>
      </c>
      <c r="C10" s="15">
        <f>_xll.FDS(A10,"FF_OG_AREA_TOT(ANN_R_GROSS_ACRE,"&amp;Current_Quarter&amp;")")/1000</f>
        <v>630.279</v>
      </c>
      <c r="D10" s="15">
        <f>_xll.FDS(A10,"FF_OG_AREA_TOT(ANN_R_NET_ACRE,"&amp;Current_Quarter&amp;")")/1000</f>
        <v>354.00900000000001</v>
      </c>
    </row>
    <row r="11" spans="1:4" ht="18.75" x14ac:dyDescent="0.3">
      <c r="A11" s="12" t="s">
        <v>18</v>
      </c>
      <c r="B11" s="13" t="str">
        <f>_xll.FDS($A11,"FG_COMPANY_NAME")</f>
        <v>SM Energy Company</v>
      </c>
      <c r="C11" s="15">
        <f>_xll.FDS(A11,"FF_OG_AREA_TOT(ANN_R_GROSS_ACRE,"&amp;Current_Quarter&amp;")")/1000</f>
        <v>918.52599999999995</v>
      </c>
      <c r="D11" s="15">
        <f>_xll.FDS(A11,"FF_OG_AREA_TOT(ANN_R_NET_ACRE,"&amp;Current_Quarter&amp;")")/1000</f>
        <v>719.70600000000002</v>
      </c>
    </row>
    <row r="12" spans="1:4" ht="18.75" x14ac:dyDescent="0.3">
      <c r="A12" s="12" t="s">
        <v>38</v>
      </c>
      <c r="B12" s="13" t="str">
        <f>_xll.FDS($A12,"FG_COMPANY_NAME")</f>
        <v>EOG Resources, Inc.</v>
      </c>
      <c r="C12" s="15">
        <f>_xll.FDS(A12,"FF_OG_AREA_TOT(ANN_R_GROSS_ACRE,"&amp;Current_Quarter&amp;")")/1000</f>
        <v>6462.0060000000003</v>
      </c>
      <c r="D12" s="15">
        <f>_xll.FDS(A12,"FF_OG_AREA_TOT(ANN_R_NET_ACRE,"&amp;Current_Quarter&amp;")")/1000</f>
        <v>4658.0330000000004</v>
      </c>
    </row>
    <row r="13" spans="1:4" ht="18.75" x14ac:dyDescent="0.3">
      <c r="A13" s="12" t="s">
        <v>6</v>
      </c>
      <c r="B13" s="13" t="str">
        <f>_xll.FDS($A13,"FG_COMPANY_NAME")</f>
        <v>Encana Corporation</v>
      </c>
      <c r="C13" s="15">
        <f>_xll.FDS(A13,"FF_OG_AREA_TOT(ANN_R_GROSS_ACRE,"&amp;Current_Quarter&amp;")")/1000</f>
        <v>3468.986124</v>
      </c>
      <c r="D13" s="15">
        <f>_xll.FDS(A13,"FF_OG_AREA_TOT(ANN_R_NET_ACRE,"&amp;Current_Quarter&amp;")")/1000</f>
        <v>2158.991364</v>
      </c>
    </row>
    <row r="14" spans="1:4" ht="18.75" x14ac:dyDescent="0.3">
      <c r="A14" s="12" t="s">
        <v>7</v>
      </c>
      <c r="B14" s="13" t="str">
        <f>_xll.FDS($A14,"FG_COMPANY_NAME")</f>
        <v>Concho Resources Inc.</v>
      </c>
      <c r="C14" s="15">
        <f>_xll.FDS(A14,"FF_OG_AREA_TOT(ANN_R_GROSS_ACRE,"&amp;Current_Quarter&amp;")")/1000</f>
        <v>905</v>
      </c>
      <c r="D14" s="15">
        <f>_xll.FDS(A14,"FF_OG_AREA_TOT(ANN_R_NET_ACRE,"&amp;Current_Quarter&amp;")")/1000</f>
        <v>585</v>
      </c>
    </row>
    <row r="15" spans="1:4" ht="18.75" x14ac:dyDescent="0.3">
      <c r="A15" s="12" t="s">
        <v>3</v>
      </c>
      <c r="B15" s="13" t="str">
        <f>_xll.FDS($A15,"FG_COMPANY_NAME")</f>
        <v>EP Energy Corp. Class A</v>
      </c>
      <c r="C15" s="15">
        <f>_xll.FDS(A15,"FF_OG_AREA_TOT(ANN_R_GROSS_ACRE,"&amp;Current_Quarter&amp;")")/1000</f>
        <v>935.00300000000004</v>
      </c>
      <c r="D15" s="15">
        <f>_xll.FDS(A15,"FF_OG_AREA_TOT(ANN_R_NET_ACRE,"&amp;Current_Quarter&amp;")")/1000</f>
        <v>572.53</v>
      </c>
    </row>
    <row r="16" spans="1:4" ht="18.75" x14ac:dyDescent="0.3">
      <c r="A16" s="12" t="s">
        <v>9</v>
      </c>
      <c r="B16" s="13" t="str">
        <f>_xll.FDS($A16,"FG_COMPANY_NAME")</f>
        <v>Energen Corporation</v>
      </c>
      <c r="C16" s="15">
        <f>_xll.FDS(A16,"FF_OG_AREA_TOT(ANN_R_GROSS_ACRE,"&amp;Current_Quarter&amp;")")/1000</f>
        <v>401.20499999999998</v>
      </c>
      <c r="D16" s="15">
        <f>_xll.FDS(A16,"FF_OG_AREA_TOT(ANN_R_NET_ACRE,"&amp;Current_Quarter&amp;")")/1000</f>
        <v>266.25200000000001</v>
      </c>
    </row>
    <row r="17" spans="1:4" ht="18.75" x14ac:dyDescent="0.3">
      <c r="A17" s="12" t="s">
        <v>16</v>
      </c>
      <c r="B17" s="13" t="str">
        <f>_xll.FDS($A17,"FG_COMPANY_NAME")</f>
        <v>Matador Resources Company</v>
      </c>
      <c r="C17" s="15">
        <f>_xll.FDS(A17,"FF_OG_AREA_TOT(ANN_R_GROSS_ACRE,"&amp;Current_Quarter&amp;")")/1000</f>
        <v>256.89999999999998</v>
      </c>
      <c r="D17" s="15">
        <f>_xll.FDS(A17,"FF_OG_AREA_TOT(ANN_R_NET_ACRE,"&amp;Current_Quarter&amp;")")/1000</f>
        <v>165.8</v>
      </c>
    </row>
    <row r="18" spans="1:4" ht="18.75" x14ac:dyDescent="0.3">
      <c r="A18" s="12" t="s">
        <v>36</v>
      </c>
      <c r="B18" s="13" t="str">
        <f>_xll.FDS($A18,"FG_COMPANY_NAME")</f>
        <v>Jagged Peak Energy, Inc.</v>
      </c>
      <c r="C18" s="15">
        <f>_xll.FDS(A18,"FF_OG_AREA_TOT(ANN_R_GROSS_ACRE,"&amp;Current_Quarter&amp;")")/1000</f>
        <v>87.6</v>
      </c>
      <c r="D18" s="15">
        <f>_xll.FDS(A18,"FF_OG_AREA_TOT(ANN_R_NET_ACRE,"&amp;Current_Quarter&amp;")")/1000</f>
        <v>75.2</v>
      </c>
    </row>
    <row r="19" spans="1:4" ht="18.75" x14ac:dyDescent="0.3">
      <c r="A19" s="12" t="s">
        <v>41</v>
      </c>
      <c r="B19" s="13" t="str">
        <f>_xll.FDS($A19,"FG_COMPANY_NAME")</f>
        <v>Resolute Energy Corporation</v>
      </c>
      <c r="C19" s="15">
        <f>_xll.FDS(A19,"FF_OG_AREA_TOT(ANN_R_GROSS_ACRE,"&amp;Current_Quarter&amp;")")/1000</f>
        <v>27.574000000000002</v>
      </c>
      <c r="D19" s="15">
        <f>_xll.FDS(A19,"FF_OG_AREA_TOT(ANN_R_NET_ACRE,"&amp;Current_Quarter&amp;")")/1000</f>
        <v>21.178999999999998</v>
      </c>
    </row>
    <row r="20" spans="1:4" ht="18.75" x14ac:dyDescent="0.3">
      <c r="A20" s="12" t="s">
        <v>42</v>
      </c>
      <c r="B20" s="13" t="str">
        <f>_xll.FDS($A20,"FG_COMPANY_NAME")</f>
        <v>Earthstone Energy, Inc. Class A</v>
      </c>
      <c r="C20" s="15">
        <f>_xll.FDS(A20,"FF_OG_AREA_TOT(ANN_R_GROSS_ACRE,"&amp;Current_Quarter&amp;")")/1000</f>
        <v>108.625</v>
      </c>
      <c r="D20" s="15">
        <f>_xll.FDS(A20,"FF_OG_AREA_TOT(ANN_R_NET_ACRE,"&amp;Current_Quarter&amp;")")/1000</f>
        <v>50.432000000000002</v>
      </c>
    </row>
    <row r="21" spans="1:4" ht="18.75" x14ac:dyDescent="0.3">
      <c r="A21" s="12" t="s">
        <v>15</v>
      </c>
      <c r="B21" s="13" t="str">
        <f>_xll.FDS($A21,"FG_COMPANY_NAME")</f>
        <v>Pioneer Natural Resources Company</v>
      </c>
      <c r="C21" s="15">
        <f>_xll.FDS(A21,"FF_OG_AREA_TOT(ANN_R_GROSS_ACRE,"&amp;Current_Quarter&amp;")")/1000</f>
        <v>1427.3340000000001</v>
      </c>
      <c r="D21" s="15">
        <f>_xll.FDS(A21,"FF_OG_AREA_TOT(ANN_R_NET_ACRE,"&amp;Current_Quarter&amp;")")/1000</f>
        <v>1237.605</v>
      </c>
    </row>
    <row r="22" spans="1:4" ht="18.75" x14ac:dyDescent="0.3">
      <c r="A22" s="12" t="s">
        <v>17</v>
      </c>
      <c r="B22" s="13" t="str">
        <f>_xll.FDS($A22,"FG_COMPANY_NAME")</f>
        <v>Carrizo Oil &amp; Gas, Inc.</v>
      </c>
      <c r="C22" s="15">
        <f>_xll.FDS(A22,"FF_OG_AREA_TOT(ANN_R_GROSS_ACRE,"&amp;Current_Quarter&amp;")")/1000</f>
        <v>352.67599999999999</v>
      </c>
      <c r="D22" s="15">
        <f>_xll.FDS(A22,"FF_OG_AREA_TOT(ANN_R_NET_ACRE,"&amp;Current_Quarter&amp;")")/1000</f>
        <v>221.721</v>
      </c>
    </row>
    <row r="23" spans="1:4" ht="18.75" x14ac:dyDescent="0.3">
      <c r="A23" s="12" t="s">
        <v>11</v>
      </c>
      <c r="B23" s="13" t="str">
        <f>_xll.FDS($A23,"FG_COMPANY_NAME")</f>
        <v>Parsley Energy, Inc. Class A</v>
      </c>
      <c r="C23" s="15">
        <f>_xll.FDS(A23,"FF_OG_AREA_TOT(ANN_R_GROSS_ACRE,"&amp;Current_Quarter&amp;")")/1000</f>
        <v>351.85700000000003</v>
      </c>
      <c r="D23" s="15">
        <f>_xll.FDS(A23,"FF_OG_AREA_TOT(ANN_R_NET_ACRE,"&amp;Current_Quarter&amp;")")/1000</f>
        <v>219.74700000000001</v>
      </c>
    </row>
    <row r="24" spans="1:4" ht="18.75" x14ac:dyDescent="0.3">
      <c r="A24" s="12" t="s">
        <v>4</v>
      </c>
      <c r="B24" s="13" t="str">
        <f>_xll.FDS($A24,"FG_COMPANY_NAME")</f>
        <v>Cimarex Energy Co.</v>
      </c>
      <c r="C24" s="15">
        <f>_xll.FDS(A24,"FF_OG_AREA_TOT(ANN_R_GROSS_ACRE,"&amp;Current_Quarter&amp;")")/1000</f>
        <v>7353.5870000000004</v>
      </c>
      <c r="D24" s="15">
        <f>_xll.FDS(A24,"FF_OG_AREA_TOT(ANN_R_NET_ACRE,"&amp;Current_Quarter&amp;")")/1000</f>
        <v>6281.1149999999998</v>
      </c>
    </row>
    <row r="25" spans="1:4" ht="18.75" x14ac:dyDescent="0.3">
      <c r="A25" s="12" t="s">
        <v>37</v>
      </c>
      <c r="B25" s="13" t="str">
        <f>_xll.FDS($A25,"FG_COMPANY_NAME")</f>
        <v>Centennial Resource Development, Inc. Class A</v>
      </c>
      <c r="C25" s="15">
        <f>_xll.FDS(A25,"FF_OG_AREA_TOT(ANN_R_GROSS_ACRE,"&amp;Current_Quarter&amp;")")/1000</f>
        <v>127.444</v>
      </c>
      <c r="D25" s="15">
        <f>_xll.FDS(A25,"FF_OG_AREA_TOT(ANN_R_NET_ACRE,"&amp;Current_Quarter&amp;")")/1000</f>
        <v>84.718000000000004</v>
      </c>
    </row>
    <row r="26" spans="1:4" ht="18.75" x14ac:dyDescent="0.3">
      <c r="A26" s="12" t="s">
        <v>10</v>
      </c>
      <c r="B26" s="13" t="str">
        <f>_xll.FDS($A26,"FG_COMPANY_NAME")</f>
        <v>Laredo Petroleum, Inc.</v>
      </c>
      <c r="C26" s="15">
        <f>_xll.FDS(A26,"FF_OG_AREA_TOT(ANN_R_GROSS_ACRE,"&amp;Current_Quarter&amp;")")/1000</f>
        <v>152.31</v>
      </c>
      <c r="D26" s="15">
        <f>_xll.FDS(A26,"FF_OG_AREA_TOT(ANN_R_NET_ACRE,"&amp;Current_Quarter&amp;")")/1000</f>
        <v>129.13499999999999</v>
      </c>
    </row>
    <row r="27" spans="1:4" ht="18.75" x14ac:dyDescent="0.3">
      <c r="A27" s="12" t="s">
        <v>20</v>
      </c>
      <c r="B27" s="13" t="str">
        <f>_xll.FDS($A27,"FG_COMPANY_NAME")</f>
        <v>Callon Petroleum Company</v>
      </c>
      <c r="C27" s="15">
        <f>_xll.FDS(A27,"FF_OG_AREA_TOT(ANN_R_GROSS_ACRE,"&amp;Current_Quarter&amp;")")/1000</f>
        <v>87.704999999999998</v>
      </c>
      <c r="D27" s="15">
        <f>_xll.FDS(A27,"FF_OG_AREA_TOT(ANN_R_NET_ACRE,"&amp;Current_Quarter&amp;")")/1000</f>
        <v>57.735999999999997</v>
      </c>
    </row>
    <row r="28" spans="1:4" ht="18.75" x14ac:dyDescent="0.3">
      <c r="A28" s="12" t="s">
        <v>12</v>
      </c>
      <c r="B28" s="13" t="str">
        <f>_xll.FDS($A28,"FG_COMPANY_NAME")</f>
        <v>RSP Permian, Inc.</v>
      </c>
      <c r="C28" s="15">
        <f>_xll.FDS(A28,"FF_OG_AREA_TOT(ANN_R_GROSS_ACRE,"&amp;Current_Quarter&amp;")")/1000</f>
        <v>142.108</v>
      </c>
      <c r="D28" s="15">
        <f>_xll.FDS(A28,"FF_OG_AREA_TOT(ANN_R_NET_ACRE,"&amp;Current_Quarter&amp;")")/1000</f>
        <v>91.887</v>
      </c>
    </row>
    <row r="29" spans="1:4" ht="18.75" x14ac:dyDescent="0.3">
      <c r="A29" s="12" t="s">
        <v>8</v>
      </c>
      <c r="B29" s="13" t="str">
        <f>_xll.FDS($A29,"FG_COMPANY_NAME")</f>
        <v>Diamondback Energy, Inc.</v>
      </c>
      <c r="C29" s="15">
        <f>_xll.FDS(A29,"FF_OG_AREA_TOT(ANN_R_GROSS_ACRE,"&amp;Current_Quarter&amp;")")/1000</f>
        <v>246.012</v>
      </c>
      <c r="D29" s="15">
        <f>_xll.FDS(A29,"FF_OG_AREA_TOT(ANN_R_NET_ACRE,"&amp;Current_Quarter&amp;")")/1000</f>
        <v>206.66</v>
      </c>
    </row>
    <row r="30" spans="1:4" ht="18.75" x14ac:dyDescent="0.3">
      <c r="A30" s="12" t="s">
        <v>82</v>
      </c>
      <c r="B30" s="13" t="str">
        <f>_xll.FDS($A30,"FG_COMPANY_NAME")</f>
        <v>Devon Energy Corporation</v>
      </c>
      <c r="C30" s="15">
        <f>_xll.FDS(A30,"FF_OG_AREA_TOT(ANN_R_GROSS_ACRE,"&amp;Current_Quarter&amp;")")/1000</f>
        <v>8171</v>
      </c>
      <c r="D30" s="15">
        <f>_xll.FDS(A30,"FF_OG_AREA_TOT(ANN_R_NET_ACRE,"&amp;Current_Quarter&amp;")")/1000</f>
        <v>4273</v>
      </c>
    </row>
    <row r="31" spans="1:4" ht="18.75" x14ac:dyDescent="0.3">
      <c r="A31" s="12" t="s">
        <v>86</v>
      </c>
      <c r="B31" s="13" t="str">
        <f>_xll.FDS($A31,"FG_COMPANY_NAME")</f>
        <v>Abraxas Petroleum Corporation</v>
      </c>
      <c r="C31" s="15">
        <f>_xll.FDS(A31,"FF_OG_AREA_TOT(ANN_R_GROSS_ACRE,"&amp;Current_Quarter&amp;")")/1000</f>
        <v>89.100999999999999</v>
      </c>
      <c r="D31" s="15">
        <f>_xll.FDS(A31,"FF_OG_AREA_TOT(ANN_R_NET_ACRE,"&amp;Current_Quarter&amp;")")/1000</f>
        <v>57.936999999999998</v>
      </c>
    </row>
    <row r="32" spans="1:4" ht="18.75" x14ac:dyDescent="0.3">
      <c r="A32" s="12" t="s">
        <v>87</v>
      </c>
      <c r="B32" s="13" t="str">
        <f>_xll.FDS($A32,"FG_COMPANY_NAME")</f>
        <v>ConocoPhillips</v>
      </c>
      <c r="C32" s="15">
        <f>_xll.FDS(A32,"FF_OG_AREA_TOT(ANN_R_GROSS_ACRE,"&amp;Current_Quarter&amp;")")/1000</f>
        <v>55480</v>
      </c>
      <c r="D32" s="15">
        <f>_xll.FDS(A32,"FF_OG_AREA_TOT(ANN_R_NET_ACRE,"&amp;Current_Quarter&amp;")")/1000</f>
        <v>25860</v>
      </c>
    </row>
    <row r="33" spans="1:4" ht="18.75" x14ac:dyDescent="0.3">
      <c r="A33" s="12" t="s">
        <v>88</v>
      </c>
      <c r="B33" s="13" t="str">
        <f>_xll.FDS($A33,"FG_COMPANY_NAME")</f>
        <v>U.S. Energy Corp.</v>
      </c>
      <c r="C33" s="15">
        <f>_xll.FDS(A33,"FF_OG_AREA_TOT(ANN_R_GROSS_ACRE,"&amp;Current_Quarter&amp;")")/1000</f>
        <v>95.078000000000003</v>
      </c>
      <c r="D33" s="15">
        <f>_xll.FDS(A33,"FF_OG_AREA_TOT(ANN_R_NET_ACRE,"&amp;Current_Quarter&amp;")")/1000</f>
        <v>4.7439999999999998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="85" zoomScaleNormal="85" workbookViewId="0">
      <pane xSplit="2" ySplit="1" topLeftCell="C2" activePane="bottomRight" state="frozen"/>
      <selection activeCell="C37" sqref="C37"/>
      <selection pane="topRight" activeCell="C37" sqref="C37"/>
      <selection pane="bottomLeft" activeCell="C37" sqref="C37"/>
      <selection pane="bottomRight" activeCell="K9" sqref="K9"/>
    </sheetView>
  </sheetViews>
  <sheetFormatPr defaultRowHeight="15" x14ac:dyDescent="0.25"/>
  <cols>
    <col min="1" max="1" width="11.28515625" style="8" customWidth="1"/>
    <col min="2" max="2" width="34" style="9" customWidth="1"/>
    <col min="3" max="3" width="17" style="1" customWidth="1"/>
    <col min="4" max="6" width="16.42578125" style="1" customWidth="1"/>
    <col min="7" max="7" width="12.7109375" style="1" bestFit="1" customWidth="1"/>
    <col min="8" max="8" width="13.42578125" style="1" customWidth="1"/>
    <col min="9" max="9" width="15.85546875" style="1" customWidth="1"/>
    <col min="10" max="10" width="15.7109375" style="1" customWidth="1"/>
    <col min="11" max="11" width="19.85546875" style="1" bestFit="1" customWidth="1"/>
    <col min="12" max="16384" width="9.140625" style="1"/>
  </cols>
  <sheetData>
    <row r="1" spans="1:12" ht="67.5" customHeight="1" x14ac:dyDescent="0.25">
      <c r="A1" s="22" t="s">
        <v>0</v>
      </c>
      <c r="B1" s="22" t="s">
        <v>1</v>
      </c>
      <c r="C1" s="22" t="s">
        <v>22</v>
      </c>
      <c r="D1" s="22" t="s">
        <v>23</v>
      </c>
      <c r="E1" s="22" t="s">
        <v>70</v>
      </c>
      <c r="F1" s="22" t="s">
        <v>71</v>
      </c>
      <c r="G1" s="22" t="s">
        <v>24</v>
      </c>
      <c r="H1" s="22" t="s">
        <v>25</v>
      </c>
      <c r="I1" s="22" t="s">
        <v>26</v>
      </c>
      <c r="J1" s="22" t="s">
        <v>69</v>
      </c>
      <c r="K1" s="22" t="s">
        <v>94</v>
      </c>
      <c r="L1" s="22" t="s">
        <v>95</v>
      </c>
    </row>
    <row r="2" spans="1:12" ht="18.75" x14ac:dyDescent="0.3">
      <c r="A2" s="12" t="s">
        <v>39</v>
      </c>
      <c r="B2" s="13" t="str">
        <f>_xll.FDS($A2,"FG_COMPANY_NAME")</f>
        <v>Apache Corporation</v>
      </c>
      <c r="C2" s="29">
        <f>_xll.FDS($A2,"FG_PRICE("&amp;Date&amp;")")</f>
        <v>41.35</v>
      </c>
      <c r="D2" s="29">
        <f>_xll.FDS($A2,"RTP_PRICE_HIGH_52W")</f>
        <v>52.67</v>
      </c>
      <c r="E2" s="26">
        <f t="shared" ref="E2:E33" si="0">+C2/D2-1</f>
        <v>-0.2149231061325233</v>
      </c>
      <c r="F2" s="31">
        <f>_xll.FDS($A2,"OS_SEC_SI_PCTFLT(0D)")/100</f>
        <v>8.4053323734801802E-2</v>
      </c>
      <c r="G2" s="30">
        <f>_xll.FDS($A2,"FREF_MARKET_VALUE_COMPANY("&amp;Date&amp;",,,,,0)")</f>
        <v>15801.77799812774</v>
      </c>
      <c r="H2" s="30">
        <f>_xll.FDS($A2,"FF_CASH_ONLY(QTR,0)")</f>
        <v>1668</v>
      </c>
      <c r="I2" s="30">
        <f>_xll.FDS($A2,"FF_DEBT(QTR,0)")</f>
        <v>8484</v>
      </c>
      <c r="J2" s="30">
        <f t="shared" ref="J2:J33" si="1">+I2+G2-H2</f>
        <v>22617.777998127742</v>
      </c>
      <c r="K2" s="30">
        <f>_xll.FDS($A2,"FF_OG_FUT_CF(ANN_R_DISCNT_NET,0)")</f>
        <v>10083</v>
      </c>
      <c r="L2" s="41">
        <f t="shared" ref="L2:L33" si="2">+J2/K2</f>
        <v>2.2431595753374731</v>
      </c>
    </row>
    <row r="3" spans="1:12" ht="18.75" x14ac:dyDescent="0.3">
      <c r="A3" s="12" t="s">
        <v>40</v>
      </c>
      <c r="B3" s="13" t="str">
        <f>_xll.FDS($A3,"FG_COMPANY_NAME")</f>
        <v>Approach Resources Inc.</v>
      </c>
      <c r="C3" s="29">
        <f>_xll.FDS($A3,"FG_PRICE("&amp;Date&amp;")")</f>
        <v>2.72</v>
      </c>
      <c r="D3" s="29">
        <f>_xll.FDS($A3,"RTP_PRICE_HIGH_52W")</f>
        <v>4.21</v>
      </c>
      <c r="E3" s="26">
        <f t="shared" si="0"/>
        <v>-0.35391923990498808</v>
      </c>
      <c r="F3" s="31">
        <f>_xll.FDS($A3,"OS_SEC_SI_PCTFLT(0D)")/100</f>
        <v>0.18101447970644141</v>
      </c>
      <c r="G3" s="30">
        <f>_xll.FDS($A3,"FREF_MARKET_VALUE_COMPANY("&amp;Date&amp;",,,,,0)")</f>
        <v>256.58576319693572</v>
      </c>
      <c r="H3" s="30">
        <f>_xll.FDS($A3,"FF_CASH_ONLY(QTR,0)")</f>
        <v>2.1000000000000001E-2</v>
      </c>
      <c r="I3" s="30">
        <f>_xll.FDS($A3,"FF_DEBT(QTR,0)")</f>
        <v>373.46</v>
      </c>
      <c r="J3" s="30">
        <f t="shared" si="1"/>
        <v>630.02476319693574</v>
      </c>
      <c r="K3" s="30">
        <f>_xll.FDS($A3,"FF_OG_FUT_CF(ANN_R_DISCNT_NET,0)")</f>
        <v>461.03100000000001</v>
      </c>
      <c r="L3" s="41">
        <f t="shared" si="2"/>
        <v>1.3665561821155969</v>
      </c>
    </row>
    <row r="4" spans="1:12" ht="18.75" x14ac:dyDescent="0.3">
      <c r="A4" s="12" t="s">
        <v>86</v>
      </c>
      <c r="B4" s="13" t="str">
        <f>_xll.FDS($A4,"FG_COMPANY_NAME")</f>
        <v>Abraxas Petroleum Corporation</v>
      </c>
      <c r="C4" s="29">
        <f>_xll.FDS($A4,"FG_PRICE("&amp;Date&amp;")")</f>
        <v>2.79</v>
      </c>
      <c r="D4" s="29">
        <f>_xll.FDS($A4,"RTP_PRICE_HIGH_52W")</f>
        <v>2.8</v>
      </c>
      <c r="E4" s="26">
        <f t="shared" si="0"/>
        <v>-3.5714285714284477E-3</v>
      </c>
      <c r="F4" s="31">
        <f>_xll.FDS($A4,"OS_SEC_SI_PCTFLT(0D)")/100</f>
        <v>2.356866661681754E-2</v>
      </c>
      <c r="G4" s="30">
        <f>_xll.FDS($A4,"FREF_MARKET_VALUE_COMPANY("&amp;Date&amp;",,,,,0)")</f>
        <v>462.86655357734708</v>
      </c>
      <c r="H4" s="30">
        <f>_xll.FDS($A4,"FF_CASH_ONLY(QTR,0)")</f>
        <v>1.6180000000000001</v>
      </c>
      <c r="I4" s="30">
        <f>_xll.FDS($A4,"FF_DEBT(QTR,0)")</f>
        <v>87.616</v>
      </c>
      <c r="J4" s="30">
        <f t="shared" si="1"/>
        <v>548.86455357734701</v>
      </c>
      <c r="K4" s="30">
        <f>_xll.FDS($A4,"FF_OG_FUT_CF(ANN_R_DISCNT_NET,0)")</f>
        <v>405.74099999999999</v>
      </c>
      <c r="L4" s="41">
        <f t="shared" si="2"/>
        <v>1.3527460956061799</v>
      </c>
    </row>
    <row r="5" spans="1:12" ht="18.75" x14ac:dyDescent="0.3">
      <c r="A5" s="12" t="s">
        <v>37</v>
      </c>
      <c r="B5" s="13" t="str">
        <f>_xll.FDS($A5,"FG_COMPANY_NAME")</f>
        <v>Centennial Resource Development, Inc. Class A</v>
      </c>
      <c r="C5" s="29">
        <f>_xll.FDS($A5,"FG_PRICE("&amp;Date&amp;")")</f>
        <v>17.45</v>
      </c>
      <c r="D5" s="29">
        <f>_xll.FDS($A5,"RTP_PRICE_HIGH_52W")</f>
        <v>22.139700000000001</v>
      </c>
      <c r="E5" s="26">
        <f t="shared" si="0"/>
        <v>-0.21182310510079183</v>
      </c>
      <c r="F5" s="31">
        <f>_xll.FDS($A5,"OS_SEC_SI_PCTFLT(0D)")/100</f>
        <v>7.8099715099575848E-2</v>
      </c>
      <c r="G5" s="30">
        <f>_xll.FDS($A5,"FREF_MARKET_VALUE_COMPANY("&amp;Date&amp;",,,,,0)")</f>
        <v>4622.051378535456</v>
      </c>
      <c r="H5" s="30">
        <f>_xll.FDS($A5,"FF_CASH_ONLY(QTR,0)")</f>
        <v>117.315</v>
      </c>
      <c r="I5" s="30">
        <f>_xll.FDS($A5,"FF_DEBT(QTR,0)")</f>
        <v>390.76400000000001</v>
      </c>
      <c r="J5" s="30">
        <f t="shared" si="1"/>
        <v>4895.5003785354565</v>
      </c>
      <c r="K5" s="30">
        <f>_xll.FDS($A5,"FF_OG_FUT_CF(ANN_R_DISCNT_NET,0)")</f>
        <v>1503.326</v>
      </c>
      <c r="L5" s="41">
        <f t="shared" si="2"/>
        <v>3.2564462921119279</v>
      </c>
    </row>
    <row r="6" spans="1:12" ht="18.75" x14ac:dyDescent="0.3">
      <c r="A6" s="12" t="s">
        <v>87</v>
      </c>
      <c r="B6" s="13" t="str">
        <f>_xll.FDS($A6,"FG_COMPANY_NAME")</f>
        <v>ConocoPhillips</v>
      </c>
      <c r="C6" s="29">
        <f>_xll.FDS($A6,"FG_PRICE("&amp;Date&amp;")")</f>
        <v>66.510000000000005</v>
      </c>
      <c r="D6" s="29">
        <f>_xll.FDS($A6,"RTP_PRICE_HIGH_52W")</f>
        <v>66.91</v>
      </c>
      <c r="E6" s="26">
        <f t="shared" si="0"/>
        <v>-5.9781796442981427E-3</v>
      </c>
      <c r="F6" s="31">
        <f>_xll.FDS($A6,"OS_SEC_SI_PCTFLT(0D)")/100</f>
        <v>2.0378870955162748E-2</v>
      </c>
      <c r="G6" s="30">
        <f>_xll.FDS($A6,"FREF_MARKET_VALUE_COMPANY("&amp;Date&amp;",,,,,0)")</f>
        <v>77892.19200132601</v>
      </c>
      <c r="H6" s="30">
        <f>_xll.FDS($A6,"FF_CASH_ONLY(QTR,0)")</f>
        <v>1321</v>
      </c>
      <c r="I6" s="30">
        <f>_xll.FDS($A6,"FF_DEBT(QTR,0)")</f>
        <v>19703</v>
      </c>
      <c r="J6" s="30">
        <f t="shared" si="1"/>
        <v>96274.19200132601</v>
      </c>
      <c r="K6" s="30">
        <f>_xll.FDS($A6,"FF_OG_FUT_CF(ANN_R_DISCNT_NET,0)")</f>
        <v>20609</v>
      </c>
      <c r="L6" s="41">
        <f t="shared" si="2"/>
        <v>4.6714635354129754</v>
      </c>
    </row>
    <row r="7" spans="1:12" ht="18.75" x14ac:dyDescent="0.3">
      <c r="A7" s="12" t="s">
        <v>20</v>
      </c>
      <c r="B7" s="13" t="str">
        <f>_xll.FDS($A7,"FG_COMPANY_NAME")</f>
        <v>Callon Petroleum Company</v>
      </c>
      <c r="C7" s="29">
        <f>_xll.FDS($A7,"FG_PRICE("&amp;Date&amp;")")</f>
        <v>13.55</v>
      </c>
      <c r="D7" s="29">
        <f>_xll.FDS($A7,"RTP_PRICE_HIGH_52W")</f>
        <v>13.64</v>
      </c>
      <c r="E7" s="26">
        <f t="shared" si="0"/>
        <v>-6.5982404692082053E-3</v>
      </c>
      <c r="F7" s="31">
        <f>_xll.FDS($A7,"OS_SEC_SI_PCTFLT(0D)")/100</f>
        <v>0.2025574817462385</v>
      </c>
      <c r="G7" s="30">
        <f>_xll.FDS($A7,"FREF_MARKET_VALUE_COMPANY("&amp;Date&amp;",,,,,0)")</f>
        <v>2736.39541205368</v>
      </c>
      <c r="H7" s="30">
        <f>_xll.FDS($A7,"FF_CASH_ONLY(QTR,0)")</f>
        <v>27.995000000000001</v>
      </c>
      <c r="I7" s="30">
        <f>_xll.FDS($A7,"FF_DEBT(QTR,0)")</f>
        <v>620.19600000000003</v>
      </c>
      <c r="J7" s="30">
        <f t="shared" si="1"/>
        <v>3328.5964120536801</v>
      </c>
      <c r="K7" s="30">
        <f>_xll.FDS($A7,"FF_OG_FUT_CF(ANN_R_DISCNT_NET,0)")</f>
        <v>1556.682</v>
      </c>
      <c r="L7" s="41">
        <f t="shared" si="2"/>
        <v>2.1382635708858202</v>
      </c>
    </row>
    <row r="8" spans="1:12" ht="18.75" x14ac:dyDescent="0.3">
      <c r="A8" s="12" t="s">
        <v>17</v>
      </c>
      <c r="B8" s="13" t="str">
        <f>_xll.FDS($A8,"FG_COMPANY_NAME")</f>
        <v>Carrizo Oil &amp; Gas, Inc.</v>
      </c>
      <c r="C8" s="29">
        <f>_xll.FDS($A8,"FG_PRICE("&amp;Date&amp;")")</f>
        <v>17.13</v>
      </c>
      <c r="D8" s="29">
        <f>_xll.FDS($A8,"RTP_PRICE_HIGH_52W")</f>
        <v>28.295000000000002</v>
      </c>
      <c r="E8" s="26">
        <f t="shared" si="0"/>
        <v>-0.39459268421982685</v>
      </c>
      <c r="F8" s="31">
        <f>_xll.FDS($A8,"OS_SEC_SI_PCTFLT(0D)")/100</f>
        <v>0.20459131029332092</v>
      </c>
      <c r="G8" s="30">
        <f>_xll.FDS($A8,"FREF_MARKET_VALUE_COMPANY("&amp;Date&amp;",,,,,0)")</f>
        <v>1405.619206953736</v>
      </c>
      <c r="H8" s="30">
        <f>_xll.FDS($A8,"FF_CASH_ONLY(QTR,0)")</f>
        <v>9.5399999999999991</v>
      </c>
      <c r="I8" s="30">
        <f>_xll.FDS($A8,"FF_DEBT(QTR,0)")</f>
        <v>1629.2090000000001</v>
      </c>
      <c r="J8" s="30">
        <f t="shared" si="1"/>
        <v>3025.2882069537363</v>
      </c>
      <c r="K8" s="30">
        <f>_xll.FDS($A8,"FF_OG_FUT_CF(ANN_R_DISCNT_NET,0)")</f>
        <v>2465.0419999999999</v>
      </c>
      <c r="L8" s="41">
        <f t="shared" si="2"/>
        <v>1.2272765360402527</v>
      </c>
    </row>
    <row r="9" spans="1:12" ht="18.75" x14ac:dyDescent="0.3">
      <c r="A9" s="12" t="s">
        <v>7</v>
      </c>
      <c r="B9" s="13" t="str">
        <f>_xll.FDS($A9,"FG_COMPANY_NAME")</f>
        <v>Concho Resources Inc.</v>
      </c>
      <c r="C9" s="29">
        <f>_xll.FDS($A9,"FG_PRICE("&amp;Date&amp;")")</f>
        <v>153.47</v>
      </c>
      <c r="D9" s="29">
        <f>_xll.FDS($A9,"RTP_PRICE_HIGH_52W")</f>
        <v>162.91</v>
      </c>
      <c r="E9" s="26">
        <f t="shared" si="0"/>
        <v>-5.7946105211466481E-2</v>
      </c>
      <c r="F9" s="31">
        <f>_xll.FDS($A9,"OS_SEC_SI_PCTFLT(0D)")/100</f>
        <v>3.5213678927919177E-2</v>
      </c>
      <c r="G9" s="30">
        <f>_xll.FDS($A9,"FREF_MARKET_VALUE_COMPANY("&amp;Date&amp;",,,,,0)")</f>
        <v>22877.926420832518</v>
      </c>
      <c r="H9" s="30">
        <f>_xll.FDS($A9,"FF_CASH_ONLY(QTR,0)")</f>
        <v>0</v>
      </c>
      <c r="I9" s="30">
        <f>_xll.FDS($A9,"FF_DEBT(QTR,0)")</f>
        <v>2807</v>
      </c>
      <c r="J9" s="30">
        <f t="shared" si="1"/>
        <v>25684.926420832518</v>
      </c>
      <c r="K9" s="30">
        <f>_xll.FDS($A9,"FF_OG_FUT_CF(ANN_R_DISCNT_NET,0)")</f>
        <v>7478</v>
      </c>
      <c r="L9" s="41">
        <f t="shared" si="2"/>
        <v>3.4347320701835407</v>
      </c>
    </row>
    <row r="10" spans="1:12" ht="18.75" x14ac:dyDescent="0.3">
      <c r="A10" s="12" t="s">
        <v>82</v>
      </c>
      <c r="B10" s="13" t="str">
        <f>_xll.FDS($A10,"FG_COMPANY_NAME")</f>
        <v>Devon Energy Corporation</v>
      </c>
      <c r="C10" s="29">
        <f>_xll.FDS($A10,"FG_PRICE("&amp;Date&amp;")")</f>
        <v>33.69</v>
      </c>
      <c r="D10" s="29">
        <f>_xll.FDS($A10,"RTP_PRICE_HIGH_52W")</f>
        <v>45.16</v>
      </c>
      <c r="E10" s="26">
        <f t="shared" si="0"/>
        <v>-0.25398582816651905</v>
      </c>
      <c r="F10" s="31">
        <f>_xll.FDS($A10,"OS_SEC_SI_PCTFLT(0D)")/100</f>
        <v>3.3741729784893544E-2</v>
      </c>
      <c r="G10" s="30">
        <f>_xll.FDS($A10,"FREF_MARKET_VALUE_COMPANY("&amp;Date&amp;",,,,,0)")</f>
        <v>17724.307455001861</v>
      </c>
      <c r="H10" s="30">
        <f>_xll.FDS($A10,"FF_CASH_ONLY(QTR,0)")</f>
        <v>2673</v>
      </c>
      <c r="I10" s="30">
        <f>_xll.FDS($A10,"FF_DEBT(QTR,0)")</f>
        <v>10406</v>
      </c>
      <c r="J10" s="30">
        <f t="shared" si="1"/>
        <v>25457.307455001861</v>
      </c>
      <c r="K10" s="30">
        <f>_xll.FDS($A10,"FF_OG_FUT_CF(ANN_R_DISCNT_NET,0)")</f>
        <v>11337</v>
      </c>
      <c r="L10" s="41">
        <f t="shared" si="2"/>
        <v>2.2455065233308513</v>
      </c>
    </row>
    <row r="11" spans="1:12" ht="18.75" x14ac:dyDescent="0.3">
      <c r="A11" s="12" t="s">
        <v>6</v>
      </c>
      <c r="B11" s="13" t="str">
        <f>_xll.FDS($A11,"FG_COMPANY_NAME")</f>
        <v>Encana Corporation</v>
      </c>
      <c r="C11" s="29">
        <f>_xll.FDS($A11,"FG_PRICE("&amp;Date&amp;")")</f>
        <v>12.25</v>
      </c>
      <c r="D11" s="29">
        <f>_xll.FDS($A11,"RTP_PRICE_HIGH_52W")</f>
        <v>14.31</v>
      </c>
      <c r="E11" s="26">
        <f t="shared" si="0"/>
        <v>-0.14395527603074776</v>
      </c>
      <c r="F11" s="31">
        <f>_xll.FDS($A11,"OS_SEC_SI_PCTFLT(0D)")/100</f>
        <v>1.234122058016557E-2</v>
      </c>
      <c r="G11" s="30">
        <f>_xll.FDS($A11,"FREF_MARKET_VALUE_COMPANY("&amp;Date&amp;",,,,,0)")</f>
        <v>11899.72394223136</v>
      </c>
      <c r="H11" s="30">
        <f>_xll.FDS($A11,"FF_CASH_ONLY(QTR,0)")</f>
        <v>719</v>
      </c>
      <c r="I11" s="30">
        <f>_xll.FDS($A11,"FF_DEBT(QTR,0)")</f>
        <v>5836</v>
      </c>
      <c r="J11" s="30">
        <f t="shared" si="1"/>
        <v>17016.723942231358</v>
      </c>
      <c r="K11" s="30">
        <f>_xll.FDS($A11,"FF_OG_FUT_CF(ANN_R_DISCNT_NET,0)")</f>
        <v>4313</v>
      </c>
      <c r="L11" s="41">
        <f t="shared" si="2"/>
        <v>3.94544955767015</v>
      </c>
    </row>
    <row r="12" spans="1:12" ht="18.75" x14ac:dyDescent="0.3">
      <c r="A12" s="12" t="s">
        <v>9</v>
      </c>
      <c r="B12" s="13" t="str">
        <f>_xll.FDS($A12,"FG_COMPANY_NAME")</f>
        <v>Energen Corporation</v>
      </c>
      <c r="C12" s="29">
        <f>_xll.FDS($A12,"FG_PRICE("&amp;Date&amp;")")</f>
        <v>65.62</v>
      </c>
      <c r="D12" s="29">
        <f>_xll.FDS($A12,"RTP_PRICE_HIGH_52W")</f>
        <v>66.12</v>
      </c>
      <c r="E12" s="26">
        <f t="shared" si="0"/>
        <v>-7.5620084694494327E-3</v>
      </c>
      <c r="F12" s="31">
        <f>_xll.FDS($A12,"OS_SEC_SI_PCTFLT(0D)")/100</f>
        <v>2.457014839029532E-2</v>
      </c>
      <c r="G12" s="30">
        <f>_xll.FDS($A12,"FREF_MARKET_VALUE_COMPANY("&amp;Date&amp;",,,,,0)")</f>
        <v>6378.0673148416099</v>
      </c>
      <c r="H12" s="30">
        <f>_xll.FDS($A12,"FF_CASH_ONLY(QTR,0)")</f>
        <v>0.439</v>
      </c>
      <c r="I12" s="30">
        <f>_xll.FDS($A12,"FF_DEBT(QTR,0)")</f>
        <v>782.86099999999999</v>
      </c>
      <c r="J12" s="30">
        <f t="shared" si="1"/>
        <v>7160.4893148416095</v>
      </c>
      <c r="K12" s="30">
        <f>_xll.FDS($A12,"FF_OG_FUT_CF(ANN_R_DISCNT_NET,0)")</f>
        <v>3319.7950000000001</v>
      </c>
      <c r="L12" s="41">
        <f t="shared" si="2"/>
        <v>2.1569070725275536</v>
      </c>
    </row>
    <row r="13" spans="1:12" ht="18.75" x14ac:dyDescent="0.3">
      <c r="A13" s="12" t="s">
        <v>38</v>
      </c>
      <c r="B13" s="13" t="str">
        <f>_xll.FDS($A13,"FG_COMPANY_NAME")</f>
        <v>EOG Resources, Inc.</v>
      </c>
      <c r="C13" s="29">
        <f>_xll.FDS($A13,"FG_PRICE("&amp;Date&amp;")")</f>
        <v>111.15</v>
      </c>
      <c r="D13" s="29">
        <f>_xll.FDS($A13,"RTP_PRICE_HIGH_52W")</f>
        <v>119</v>
      </c>
      <c r="E13" s="26">
        <f t="shared" si="0"/>
        <v>-6.5966386554621836E-2</v>
      </c>
      <c r="F13" s="31">
        <f>_xll.FDS($A13,"OS_SEC_SI_PCTFLT(0D)")/100</f>
        <v>1.9885869444722929E-2</v>
      </c>
      <c r="G13" s="30">
        <f>_xll.FDS($A13,"FREF_MARKET_VALUE_COMPANY("&amp;Date&amp;",,,,,0)")</f>
        <v>64315.61463720398</v>
      </c>
      <c r="H13" s="30">
        <f>_xll.FDS($A13,"FF_CASH_ONLY(QTR,0)")</f>
        <v>834.22799999999995</v>
      </c>
      <c r="I13" s="30">
        <f>_xll.FDS($A13,"FF_DEBT(QTR,0)")</f>
        <v>6387.0709999999999</v>
      </c>
      <c r="J13" s="30">
        <f t="shared" si="1"/>
        <v>69868.457637203974</v>
      </c>
      <c r="K13" s="30">
        <f>_xll.FDS($A13,"FF_OG_FUT_CF(ANN_R_DISCNT_NET,0)")</f>
        <v>18327.66</v>
      </c>
      <c r="L13" s="41">
        <f t="shared" si="2"/>
        <v>3.8121864786450628</v>
      </c>
    </row>
    <row r="14" spans="1:12" ht="18.75" x14ac:dyDescent="0.3">
      <c r="A14" s="12" t="s">
        <v>3</v>
      </c>
      <c r="B14" s="13" t="str">
        <f>_xll.FDS($A14,"FG_COMPANY_NAME")</f>
        <v>EP Energy Corp. Class A</v>
      </c>
      <c r="C14" s="29">
        <f>_xll.FDS($A14,"FG_PRICE("&amp;Date&amp;")")</f>
        <v>1.55</v>
      </c>
      <c r="D14" s="29">
        <f>_xll.FDS($A14,"RTP_PRICE_HIGH_52W")</f>
        <v>5.0599999999999996</v>
      </c>
      <c r="E14" s="26">
        <f t="shared" si="0"/>
        <v>-0.69367588932806323</v>
      </c>
      <c r="F14" s="31">
        <f>_xll.FDS($A14,"OS_SEC_SI_PCTFLT(0D)")/100</f>
        <v>0.27151931352726549</v>
      </c>
      <c r="G14" s="30">
        <f>_xll.FDS($A14,"FREF_MARKET_VALUE_COMPANY("&amp;Date&amp;",,,,,0)")</f>
        <v>389.25922951054599</v>
      </c>
      <c r="H14" s="30">
        <f>_xll.FDS($A14,"FF_CASH_ONLY(QTR,0)")</f>
        <v>45</v>
      </c>
      <c r="I14" s="30">
        <f>_xll.FDS($A14,"FF_DEBT(QTR,0)")</f>
        <v>4043</v>
      </c>
      <c r="J14" s="30">
        <f t="shared" si="1"/>
        <v>4387.259229510546</v>
      </c>
      <c r="K14" s="30">
        <f>_xll.FDS($A14,"FF_OG_FUT_CF(ANN_R_DISCNT_NET,0)")</f>
        <v>2033</v>
      </c>
      <c r="L14" s="41">
        <f t="shared" si="2"/>
        <v>2.1580222476687387</v>
      </c>
    </row>
    <row r="15" spans="1:12" ht="18.75" x14ac:dyDescent="0.3">
      <c r="A15" s="12" t="s">
        <v>42</v>
      </c>
      <c r="B15" s="13" t="str">
        <f>_xll.FDS($A15,"FG_COMPANY_NAME")</f>
        <v>Earthstone Energy, Inc. Class A</v>
      </c>
      <c r="C15" s="29">
        <f>_xll.FDS($A15,"FG_PRICE("&amp;Date&amp;")")</f>
        <v>10.57</v>
      </c>
      <c r="D15" s="29">
        <f>_xll.FDS($A15,"RTP_PRICE_HIGH_52W")</f>
        <v>14.75</v>
      </c>
      <c r="E15" s="26">
        <f t="shared" si="0"/>
        <v>-0.28338983050847455</v>
      </c>
      <c r="F15" s="31">
        <f>_xll.FDS($A15,"OS_SEC_SI_PCTFLT(0D)")/100</f>
        <v>3.481439684898751E-2</v>
      </c>
      <c r="G15" s="30">
        <f>_xll.FDS($A15,"FREF_MARKET_VALUE_COMPANY("&amp;Date&amp;",,,,,0)")</f>
        <v>294.15252650711051</v>
      </c>
      <c r="H15" s="30">
        <f>_xll.FDS($A15,"FF_CASH_ONLY(QTR,0)")</f>
        <v>22.954999999999998</v>
      </c>
      <c r="I15" s="30">
        <f>_xll.FDS($A15,"FF_DEBT(QTR,0)")</f>
        <v>25</v>
      </c>
      <c r="J15" s="30">
        <f t="shared" si="1"/>
        <v>296.19752650711052</v>
      </c>
      <c r="K15" s="30">
        <f>_xll.FDS($A15,"FF_OG_FUT_CF(ANN_R_DISCNT_NET,0)")</f>
        <v>592.70000000000005</v>
      </c>
      <c r="L15" s="41">
        <f t="shared" si="2"/>
        <v>0.49974274760774506</v>
      </c>
    </row>
    <row r="16" spans="1:12" ht="18.75" x14ac:dyDescent="0.3">
      <c r="A16" s="12" t="s">
        <v>8</v>
      </c>
      <c r="B16" s="13" t="str">
        <f>_xll.FDS($A16,"FG_COMPANY_NAME")</f>
        <v>Diamondback Energy, Inc.</v>
      </c>
      <c r="C16" s="29">
        <f>_xll.FDS($A16,"FG_PRICE("&amp;Date&amp;")")</f>
        <v>122.3</v>
      </c>
      <c r="D16" s="29">
        <f>_xll.FDS($A16,"RTP_PRICE_HIGH_52W")</f>
        <v>134.6</v>
      </c>
      <c r="E16" s="26">
        <f t="shared" si="0"/>
        <v>-9.1381872213967319E-2</v>
      </c>
      <c r="F16" s="31">
        <f>_xll.FDS($A16,"OS_SEC_SI_PCTFLT(0D)")/100</f>
        <v>5.0191981490579456E-2</v>
      </c>
      <c r="G16" s="30">
        <f>_xll.FDS($A16,"FREF_MARKET_VALUE_COMPANY("&amp;Date&amp;",,,,,0)")</f>
        <v>12005.82437718811</v>
      </c>
      <c r="H16" s="30">
        <f>_xll.FDS($A16,"FF_CASH_ONLY(QTR,0)")</f>
        <v>112.446</v>
      </c>
      <c r="I16" s="30">
        <f>_xll.FDS($A16,"FF_DEBT(QTR,0)")</f>
        <v>1477.347</v>
      </c>
      <c r="J16" s="30">
        <f t="shared" si="1"/>
        <v>13370.72537718811</v>
      </c>
      <c r="K16" s="30">
        <f>_xll.FDS($A16,"FF_OG_FUT_CF(ANN_R_DISCNT_NET,0)")</f>
        <v>3757.0590000000002</v>
      </c>
      <c r="L16" s="41">
        <f t="shared" si="2"/>
        <v>3.5588276301192261</v>
      </c>
    </row>
    <row r="17" spans="1:12" ht="18.75" x14ac:dyDescent="0.3">
      <c r="A17" s="12" t="s">
        <v>21</v>
      </c>
      <c r="B17" s="13" t="str">
        <f>_xll.FDS($A17,"FG_COMPANY_NAME")</f>
        <v>Halcon Resources Corp</v>
      </c>
      <c r="C17" s="29">
        <f>_xll.FDS($A17,"FG_PRICE("&amp;Date&amp;")")</f>
        <v>5.15</v>
      </c>
      <c r="D17" s="29">
        <f>_xll.FDS($A17,"RTP_PRICE_HIGH_52W")</f>
        <v>9.07</v>
      </c>
      <c r="E17" s="26">
        <f t="shared" si="0"/>
        <v>-0.43219404630650493</v>
      </c>
      <c r="F17" s="31">
        <f>_xll.FDS($A17,"OS_SEC_SI_PCTFLT(0D)")/100</f>
        <v>0.1169300337942971</v>
      </c>
      <c r="G17" s="30">
        <f>_xll.FDS($A17,"FREF_MARKET_VALUE_COMPANY("&amp;Date&amp;",,,,,0)")</f>
        <v>826.43081593246461</v>
      </c>
      <c r="H17" s="30">
        <f>_xll.FDS($A17,"FF_CASH_ONLY(QTR,0)")</f>
        <v>424.07100000000003</v>
      </c>
      <c r="I17" s="30">
        <f>_xll.FDS($A17,"FF_DEBT(QTR,0)")</f>
        <v>409.16800000000001</v>
      </c>
      <c r="J17" s="30">
        <f t="shared" si="1"/>
        <v>811.5278159324647</v>
      </c>
      <c r="K17" s="30">
        <f>_xll.FDS($A17,"FF_OG_FUT_CF(ANN_R_DISCNT_NET,0)")</f>
        <v>336.03300000000002</v>
      </c>
      <c r="L17" s="41">
        <f t="shared" si="2"/>
        <v>2.4150241670683079</v>
      </c>
    </row>
    <row r="18" spans="1:12" ht="18.75" x14ac:dyDescent="0.3">
      <c r="A18" s="12" t="s">
        <v>36</v>
      </c>
      <c r="B18" s="13" t="str">
        <f>_xll.FDS($A18,"FG_COMPANY_NAME")</f>
        <v>Jagged Peak Energy, Inc.</v>
      </c>
      <c r="C18" s="29">
        <f>_xll.FDS($A18,"FG_PRICE("&amp;Date&amp;")")</f>
        <v>14.39</v>
      </c>
      <c r="D18" s="29">
        <f>_xll.FDS($A18,"RTP_PRICE_HIGH_52W")</f>
        <v>16.55</v>
      </c>
      <c r="E18" s="26">
        <f t="shared" si="0"/>
        <v>-0.13051359516616312</v>
      </c>
      <c r="F18" s="31">
        <f>_xll.FDS($A18,"OS_SEC_SI_PCTFLT(0D)")/100</f>
        <v>0.15314208272258989</v>
      </c>
      <c r="G18" s="30">
        <f>_xll.FDS($A18,"FREF_MARKET_VALUE_COMPANY("&amp;Date&amp;",,,,,0)")</f>
        <v>3064.1779440476239</v>
      </c>
      <c r="H18" s="30">
        <f>_xll.FDS($A18,"FF_CASH_ONLY(QTR,0)")</f>
        <v>9.5229999999999997</v>
      </c>
      <c r="I18" s="30">
        <f>_xll.FDS($A18,"FF_DEBT(QTR,0)")</f>
        <v>155</v>
      </c>
      <c r="J18" s="30">
        <f t="shared" si="1"/>
        <v>3209.6549440476238</v>
      </c>
      <c r="K18" s="30">
        <f>_xll.FDS($A18,"FF_OG_FUT_CF(ANN_R_DISCNT_NET,0)")</f>
        <v>771.87199999999996</v>
      </c>
      <c r="L18" s="41">
        <f t="shared" si="2"/>
        <v>4.1582735791007108</v>
      </c>
    </row>
    <row r="19" spans="1:12" ht="18.75" x14ac:dyDescent="0.3">
      <c r="A19" s="12" t="s">
        <v>10</v>
      </c>
      <c r="B19" s="13" t="str">
        <f>_xll.FDS($A19,"FG_COMPANY_NAME")</f>
        <v>Laredo Petroleum, Inc.</v>
      </c>
      <c r="C19" s="29">
        <f>_xll.FDS($A19,"FG_PRICE("&amp;Date&amp;")")</f>
        <v>9.64</v>
      </c>
      <c r="D19" s="29">
        <f>_xll.FDS($A19,"RTP_PRICE_HIGH_52W")</f>
        <v>14.36</v>
      </c>
      <c r="E19" s="26">
        <f t="shared" si="0"/>
        <v>-0.32869080779944282</v>
      </c>
      <c r="F19" s="31">
        <f>_xll.FDS($A19,"OS_SEC_SI_PCTFLT(0D)")/100</f>
        <v>0.14514769904093991</v>
      </c>
      <c r="G19" s="30">
        <f>_xll.FDS($A19,"FREF_MARKET_VALUE_COMPANY("&amp;Date&amp;",,,,,0)")</f>
        <v>2324.7728098461521</v>
      </c>
      <c r="H19" s="30">
        <f>_xll.FDS($A19,"FF_CASH_ONLY(QTR,0)")</f>
        <v>112.15900000000001</v>
      </c>
      <c r="I19" s="30">
        <f>_xll.FDS($A19,"FF_DEBT(QTR,0)")</f>
        <v>791.85500000000002</v>
      </c>
      <c r="J19" s="30">
        <f t="shared" si="1"/>
        <v>3004.468809846152</v>
      </c>
      <c r="K19" s="30">
        <f>_xll.FDS($A19,"FF_OG_FUT_CF(ANN_R_DISCNT_NET,0)")</f>
        <v>1770.3209999999999</v>
      </c>
      <c r="L19" s="41">
        <f t="shared" si="2"/>
        <v>1.6971322205668644</v>
      </c>
    </row>
    <row r="20" spans="1:12" ht="18.75" x14ac:dyDescent="0.3">
      <c r="A20" s="12" t="s">
        <v>2</v>
      </c>
      <c r="B20" s="13" t="str">
        <f>_xll.FDS($A20,"FG_COMPANY_NAME")</f>
        <v>Marathon Oil Corporation</v>
      </c>
      <c r="C20" s="29">
        <f>_xll.FDS($A20,"FG_PRICE("&amp;Date&amp;")")</f>
        <v>18.149999999999999</v>
      </c>
      <c r="D20" s="29">
        <f>_xll.FDS($A20,"RTP_PRICE_HIGH_52W")</f>
        <v>19.52</v>
      </c>
      <c r="E20" s="26">
        <f t="shared" si="0"/>
        <v>-7.0184426229508268E-2</v>
      </c>
      <c r="F20" s="31">
        <f>_xll.FDS($A20,"OS_SEC_SI_PCTFLT(0D)")/100</f>
        <v>1.7889078576594091E-2</v>
      </c>
      <c r="G20" s="30">
        <f>_xll.FDS($A20,"FREF_MARKET_VALUE_COMPANY("&amp;Date&amp;",,,,,0)")</f>
        <v>15486.57801313209</v>
      </c>
      <c r="H20" s="30">
        <f>_xll.FDS($A20,"FF_CASH_ONLY(QTR,0)")</f>
        <v>563</v>
      </c>
      <c r="I20" s="30">
        <f>_xll.FDS($A20,"FF_DEBT(QTR,0)")</f>
        <v>5494</v>
      </c>
      <c r="J20" s="30">
        <f t="shared" si="1"/>
        <v>20417.57801313209</v>
      </c>
      <c r="K20" s="30">
        <f>_xll.FDS($A20,"FF_OG_FUT_CF(ANN_R_DISCNT_NET,0)")</f>
        <v>7863</v>
      </c>
      <c r="L20" s="41">
        <f t="shared" si="2"/>
        <v>2.5966651422017155</v>
      </c>
    </row>
    <row r="21" spans="1:12" ht="18.75" x14ac:dyDescent="0.3">
      <c r="A21" s="12" t="s">
        <v>16</v>
      </c>
      <c r="B21" s="13" t="str">
        <f>_xll.FDS($A21,"FG_COMPANY_NAME")</f>
        <v>Matador Resources Company</v>
      </c>
      <c r="C21" s="29">
        <f>_xll.FDS($A21,"FG_PRICE("&amp;Date&amp;")")</f>
        <v>32.08</v>
      </c>
      <c r="D21" s="29">
        <f>_xll.FDS($A21,"RTP_PRICE_HIGH_52W")</f>
        <v>33.96</v>
      </c>
      <c r="E21" s="26">
        <f t="shared" si="0"/>
        <v>-5.535924617196708E-2</v>
      </c>
      <c r="F21" s="31">
        <f>_xll.FDS($A21,"OS_SEC_SI_PCTFLT(0D)")/100</f>
        <v>9.6472399248626162E-2</v>
      </c>
      <c r="G21" s="30">
        <f>_xll.FDS($A21,"FREF_MARKET_VALUE_COMPANY("&amp;Date&amp;",,,,,0)")</f>
        <v>3504.7081376629649</v>
      </c>
      <c r="H21" s="30">
        <f>_xll.FDS($A21,"FF_CASH_ONLY(QTR,0)")</f>
        <v>102.482</v>
      </c>
      <c r="I21" s="30">
        <f>_xll.FDS($A21,"FF_DEBT(QTR,0)")</f>
        <v>574.07299999999998</v>
      </c>
      <c r="J21" s="30">
        <f t="shared" si="1"/>
        <v>3976.2991376629648</v>
      </c>
      <c r="K21" s="30">
        <f>_xll.FDS($A21,"FF_OG_FUT_CF(ANN_R_DISCNT_NET,0)")</f>
        <v>1258.646</v>
      </c>
      <c r="L21" s="41">
        <f t="shared" si="2"/>
        <v>3.1591878396808672</v>
      </c>
    </row>
    <row r="22" spans="1:12" ht="18.75" x14ac:dyDescent="0.3">
      <c r="A22" s="12" t="s">
        <v>13</v>
      </c>
      <c r="B22" s="13" t="str">
        <f>_xll.FDS($A22,"FG_COMPANY_NAME")</f>
        <v>Noble Energy, Inc.</v>
      </c>
      <c r="C22" s="29">
        <f>_xll.FDS($A22,"FG_PRICE("&amp;Date&amp;")")</f>
        <v>32.33</v>
      </c>
      <c r="D22" s="29">
        <f>_xll.FDS($A22,"RTP_PRICE_HIGH_52W")</f>
        <v>35.18</v>
      </c>
      <c r="E22" s="26">
        <f t="shared" si="0"/>
        <v>-8.1011938601478151E-2</v>
      </c>
      <c r="F22" s="31">
        <f>_xll.FDS($A22,"OS_SEC_SI_PCTFLT(0D)")/100</f>
        <v>3.6289310678883871E-2</v>
      </c>
      <c r="G22" s="30">
        <f>_xll.FDS($A22,"FREF_MARKET_VALUE_COMPANY("&amp;Date&amp;",,,,,0)")</f>
        <v>15912.56781132566</v>
      </c>
      <c r="H22" s="30">
        <f>_xll.FDS($A22,"FF_CASH_ONLY(QTR,0)")</f>
        <v>713</v>
      </c>
      <c r="I22" s="30">
        <f>_xll.FDS($A22,"FF_DEBT(QTR,0)")</f>
        <v>6807</v>
      </c>
      <c r="J22" s="30">
        <f t="shared" si="1"/>
        <v>22006.567811325658</v>
      </c>
      <c r="K22" s="30">
        <f>_xll.FDS($A22,"FF_OG_FUT_CF(ANN_R_DISCNT_NET,0)")</f>
        <v>11258</v>
      </c>
      <c r="L22" s="41">
        <f t="shared" si="2"/>
        <v>1.9547493170479355</v>
      </c>
    </row>
    <row r="23" spans="1:12" ht="18.75" x14ac:dyDescent="0.3">
      <c r="A23" s="12" t="s">
        <v>43</v>
      </c>
      <c r="B23" s="13" t="str">
        <f>_xll.FDS($A23,"FG_COMPANY_NAME")</f>
        <v>Occidental Petroleum Corporation</v>
      </c>
      <c r="C23" s="29">
        <f>_xll.FDS($A23,"FG_PRICE("&amp;Date&amp;")")</f>
        <v>75.22</v>
      </c>
      <c r="D23" s="29">
        <f>_xll.FDS($A23,"RTP_PRICE_HIGH_52W")</f>
        <v>78.09</v>
      </c>
      <c r="E23" s="26">
        <f t="shared" si="0"/>
        <v>-3.6752465104366805E-2</v>
      </c>
      <c r="F23" s="31">
        <f>_xll.FDS($A23,"OS_SEC_SI_PCTFLT(0D)")/100</f>
        <v>1.2982257236053681E-2</v>
      </c>
      <c r="G23" s="30">
        <f>_xll.FDS($A23,"FREF_MARKET_VALUE_COMPANY("&amp;Date&amp;",,,,,0)")</f>
        <v>57593.623592125252</v>
      </c>
      <c r="H23" s="30">
        <f>_xll.FDS($A23,"FF_CASH_ONLY(QTR,0)")</f>
        <v>1672</v>
      </c>
      <c r="I23" s="30">
        <f>_xll.FDS($A23,"FF_DEBT(QTR,0)")</f>
        <v>9828</v>
      </c>
      <c r="J23" s="30">
        <f t="shared" si="1"/>
        <v>65749.623592125252</v>
      </c>
      <c r="K23" s="30">
        <f>_xll.FDS($A23,"FF_OG_FUT_CF(ANN_R_DISCNT_NET,0)")</f>
        <v>16220</v>
      </c>
      <c r="L23" s="41">
        <f t="shared" si="2"/>
        <v>4.0536142781828142</v>
      </c>
    </row>
    <row r="24" spans="1:12" ht="18.75" x14ac:dyDescent="0.3">
      <c r="A24" s="12" t="s">
        <v>19</v>
      </c>
      <c r="B24" s="13" t="str">
        <f>_xll.FDS($A24,"FG_COMPANY_NAME")</f>
        <v>PDC Energy Inc</v>
      </c>
      <c r="C24" s="29">
        <f>_xll.FDS($A24,"FG_PRICE("&amp;Date&amp;")")</f>
        <v>55.31</v>
      </c>
      <c r="D24" s="29">
        <f>_xll.FDS($A24,"RTP_PRICE_HIGH_52W")</f>
        <v>63.8</v>
      </c>
      <c r="E24" s="26">
        <f t="shared" si="0"/>
        <v>-0.1330721003134796</v>
      </c>
      <c r="F24" s="31">
        <f>_xll.FDS($A24,"OS_SEC_SI_PCTFLT(0D)")/100</f>
        <v>9.5947574776538674E-2</v>
      </c>
      <c r="G24" s="30">
        <f>_xll.FDS($A24,"FREF_MARKET_VALUE_COMPANY("&amp;Date&amp;",,,,,0)")</f>
        <v>3643.7957317223481</v>
      </c>
      <c r="H24" s="30">
        <f>_xll.FDS($A24,"FF_CASH_ONLY(QTR,0)")</f>
        <v>180.67500000000001</v>
      </c>
      <c r="I24" s="30">
        <f>_xll.FDS($A24,"FF_DEBT(QTR,0)")</f>
        <v>1156.365</v>
      </c>
      <c r="J24" s="30">
        <f t="shared" si="1"/>
        <v>4619.4857317223477</v>
      </c>
      <c r="K24" s="30">
        <f>_xll.FDS($A24,"FF_OG_FUT_CF(ANN_R_DISCNT_NET,0)")</f>
        <v>2880.105</v>
      </c>
      <c r="L24" s="41">
        <f t="shared" si="2"/>
        <v>1.6039296246915817</v>
      </c>
    </row>
    <row r="25" spans="1:12" ht="18.75" x14ac:dyDescent="0.3">
      <c r="A25" s="12" t="s">
        <v>11</v>
      </c>
      <c r="B25" s="13" t="str">
        <f>_xll.FDS($A25,"FG_COMPANY_NAME")</f>
        <v>Parsley Energy, Inc. Class A</v>
      </c>
      <c r="C25" s="29">
        <f>_xll.FDS($A25,"FG_PRICE("&amp;Date&amp;")")</f>
        <v>29.86</v>
      </c>
      <c r="D25" s="29">
        <f>_xll.FDS($A25,"RTP_PRICE_HIGH_52W")</f>
        <v>32.9</v>
      </c>
      <c r="E25" s="26">
        <f t="shared" si="0"/>
        <v>-9.2401215805471115E-2</v>
      </c>
      <c r="F25" s="31">
        <f>_xll.FDS($A25,"OS_SEC_SI_PCTFLT(0D)")/100</f>
        <v>8.149496305660589E-2</v>
      </c>
      <c r="G25" s="30">
        <f>_xll.FDS($A25,"FREF_MARKET_VALUE_COMPANY("&amp;Date&amp;",,,,,0)")</f>
        <v>7950.7026600744584</v>
      </c>
      <c r="H25" s="30">
        <f>_xll.FDS($A25,"FF_CASH_ONLY(QTR,0)")</f>
        <v>554.18899999999996</v>
      </c>
      <c r="I25" s="30">
        <f>_xll.FDS($A25,"FF_DEBT(QTR,0)")</f>
        <v>2181.877</v>
      </c>
      <c r="J25" s="30">
        <f t="shared" si="1"/>
        <v>9578.3906600744576</v>
      </c>
      <c r="K25" s="30">
        <f>_xll.FDS($A25,"FF_OG_FUT_CF(ANN_R_DISCNT_NET,0)")</f>
        <v>3015.5050000000001</v>
      </c>
      <c r="L25" s="41">
        <f t="shared" si="2"/>
        <v>3.1763802945358925</v>
      </c>
    </row>
    <row r="26" spans="1:12" ht="18.75" x14ac:dyDescent="0.3">
      <c r="A26" s="12" t="s">
        <v>15</v>
      </c>
      <c r="B26" s="13" t="str">
        <f>_xll.FDS($A26,"FG_COMPANY_NAME")</f>
        <v>Pioneer Natural Resources Company</v>
      </c>
      <c r="C26" s="29">
        <f>_xll.FDS($A26,"FG_PRICE("&amp;Date&amp;")")</f>
        <v>193.18</v>
      </c>
      <c r="D26" s="29">
        <f>_xll.FDS($A26,"RTP_PRICE_HIGH_52W")</f>
        <v>194.73</v>
      </c>
      <c r="E26" s="26">
        <f t="shared" si="0"/>
        <v>-7.9597391259692563E-3</v>
      </c>
      <c r="F26" s="31">
        <f>_xll.FDS($A26,"OS_SEC_SI_PCTFLT(0D)")/100</f>
        <v>2.276410424664848E-2</v>
      </c>
      <c r="G26" s="30">
        <f>_xll.FDS($A26,"FREF_MARKET_VALUE_COMPANY("&amp;Date&amp;",,,,,0)")</f>
        <v>32942.597767434083</v>
      </c>
      <c r="H26" s="30">
        <f>_xll.FDS($A26,"FF_CASH_ONLY(QTR,0)")</f>
        <v>846</v>
      </c>
      <c r="I26" s="30">
        <f>_xll.FDS($A26,"FF_DEBT(QTR,0)")</f>
        <v>2732</v>
      </c>
      <c r="J26" s="30">
        <f t="shared" si="1"/>
        <v>34828.597767434083</v>
      </c>
      <c r="K26" s="30">
        <f>_xll.FDS($A26,"FF_OG_FUT_CF(ANN_R_DISCNT_NET,0)")</f>
        <v>8151</v>
      </c>
      <c r="L26" s="41">
        <f t="shared" si="2"/>
        <v>4.2729232937595487</v>
      </c>
    </row>
    <row r="27" spans="1:12" ht="18.75" x14ac:dyDescent="0.3">
      <c r="A27" s="12" t="s">
        <v>5</v>
      </c>
      <c r="B27" s="13" t="str">
        <f>_xll.FDS($A27,"FG_COMPANY_NAME")</f>
        <v>QEP Resources, Inc.</v>
      </c>
      <c r="C27" s="29">
        <f>_xll.FDS($A27,"FG_PRICE("&amp;Date&amp;")")</f>
        <v>11.55</v>
      </c>
      <c r="D27" s="29">
        <f>_xll.FDS($A27,"RTP_PRICE_HIGH_52W")</f>
        <v>12.9</v>
      </c>
      <c r="E27" s="26">
        <f t="shared" si="0"/>
        <v>-0.10465116279069764</v>
      </c>
      <c r="F27" s="31">
        <f>_xll.FDS($A27,"OS_SEC_SI_PCTFLT(0D)")/100</f>
        <v>8.3838291158340614E-2</v>
      </c>
      <c r="G27" s="30">
        <f>_xll.FDS($A27,"FREF_MARKET_VALUE_COMPANY("&amp;Date&amp;",,,,,0)")</f>
        <v>2747.6873447217949</v>
      </c>
      <c r="H27" s="30">
        <f>_xll.FDS($A27,"FF_CASH_ONLY(QTR,0)")</f>
        <v>0</v>
      </c>
      <c r="I27" s="30">
        <f>_xll.FDS($A27,"FF_DEBT(QTR,0)")</f>
        <v>2204.8000000000002</v>
      </c>
      <c r="J27" s="30">
        <f t="shared" si="1"/>
        <v>4952.4873447217951</v>
      </c>
      <c r="K27" s="30">
        <f>_xll.FDS($A27,"FF_OG_FUT_CF(ANN_R_DISCNT_NET,0)")</f>
        <v>3097.3</v>
      </c>
      <c r="L27" s="41">
        <f t="shared" si="2"/>
        <v>1.5989692134187179</v>
      </c>
    </row>
    <row r="28" spans="1:12" ht="18.75" x14ac:dyDescent="0.3">
      <c r="A28" s="12" t="s">
        <v>41</v>
      </c>
      <c r="B28" s="13" t="str">
        <f>_xll.FDS($A28,"FG_COMPANY_NAME")</f>
        <v>Resolute Energy Corporation</v>
      </c>
      <c r="C28" s="29">
        <f>_xll.FDS($A28,"FG_PRICE("&amp;Date&amp;")")</f>
        <v>33.979999999999997</v>
      </c>
      <c r="D28" s="29">
        <f>_xll.FDS($A28,"RTP_PRICE_HIGH_52W")</f>
        <v>44.44</v>
      </c>
      <c r="E28" s="26">
        <f t="shared" si="0"/>
        <v>-0.23537353735373545</v>
      </c>
      <c r="F28" s="31">
        <f>_xll.FDS($A28,"OS_SEC_SI_PCTFLT(0D)")/100</f>
        <v>0.35740754751439607</v>
      </c>
      <c r="G28" s="30">
        <f>_xll.FDS($A28,"FREF_MARKET_VALUE_COMPANY("&amp;Date&amp;",,,,,0)")</f>
        <v>783.8166302565005</v>
      </c>
      <c r="H28" s="30">
        <f>_xll.FDS($A28,"FF_CASH_ONLY(QTR,0)")</f>
        <v>3.762</v>
      </c>
      <c r="I28" s="30">
        <f>_xll.FDS($A28,"FF_DEBT(QTR,0)")</f>
        <v>550.72699999999998</v>
      </c>
      <c r="J28" s="30">
        <f t="shared" si="1"/>
        <v>1330.7816302565004</v>
      </c>
      <c r="K28" s="30">
        <f>_xll.FDS($A28,"FF_OG_FUT_CF(ANN_R_DISCNT_NET,0)")</f>
        <v>433</v>
      </c>
      <c r="L28" s="41">
        <f t="shared" si="2"/>
        <v>3.0733986841951513</v>
      </c>
    </row>
    <row r="29" spans="1:12" ht="18.75" x14ac:dyDescent="0.3">
      <c r="A29" s="12" t="s">
        <v>12</v>
      </c>
      <c r="B29" s="13" t="str">
        <f>_xll.FDS($A29,"FG_COMPANY_NAME")</f>
        <v>RSP Permian, Inc.</v>
      </c>
      <c r="C29" s="29">
        <f>_xll.FDS($A29,"FG_PRICE("&amp;Date&amp;")")</f>
        <v>47.89</v>
      </c>
      <c r="D29" s="29">
        <f>_xll.FDS($A29,"RTP_PRICE_HIGH_52W")</f>
        <v>48.35</v>
      </c>
      <c r="E29" s="26">
        <f t="shared" si="0"/>
        <v>-9.5139607032057594E-3</v>
      </c>
      <c r="F29" s="31">
        <f>_xll.FDS($A29,"OS_SEC_SI_PCTFLT(0D)")/100</f>
        <v>4.8189085065199505E-2</v>
      </c>
      <c r="G29" s="30">
        <f>_xll.FDS($A29,"FREF_MARKET_VALUE_COMPANY("&amp;Date&amp;",,,,,0)")</f>
        <v>7634.8150697790552</v>
      </c>
      <c r="H29" s="30">
        <f>_xll.FDS($A29,"FF_CASH_ONLY(QTR,0)")</f>
        <v>38.101999999999997</v>
      </c>
      <c r="I29" s="30">
        <f>_xll.FDS($A29,"FF_DEBT(QTR,0)")</f>
        <v>1509.1279999999999</v>
      </c>
      <c r="J29" s="30">
        <f t="shared" si="1"/>
        <v>9105.841069779055</v>
      </c>
      <c r="K29" s="30">
        <f>_xll.FDS($A29,"FF_OG_FUT_CF(ANN_R_DISCNT_NET,0)")</f>
        <v>3030.7759999999998</v>
      </c>
      <c r="L29" s="41">
        <f t="shared" si="2"/>
        <v>3.0044586171261272</v>
      </c>
    </row>
    <row r="30" spans="1:12" ht="18.75" x14ac:dyDescent="0.3">
      <c r="A30" s="12" t="s">
        <v>18</v>
      </c>
      <c r="B30" s="13" t="str">
        <f>_xll.FDS($A30,"FG_COMPANY_NAME")</f>
        <v>SM Energy Company</v>
      </c>
      <c r="C30" s="29">
        <f>_xll.FDS($A30,"FG_PRICE("&amp;Date&amp;")")</f>
        <v>20.81</v>
      </c>
      <c r="D30" s="29">
        <f>_xll.FDS($A30,"RTP_PRICE_HIGH_52W")</f>
        <v>28.2</v>
      </c>
      <c r="E30" s="26">
        <f t="shared" si="0"/>
        <v>-0.26205673758865256</v>
      </c>
      <c r="F30" s="31">
        <f>_xll.FDS($A30,"OS_SEC_SI_PCTFLT(0D)")/100</f>
        <v>0.20069677641777481</v>
      </c>
      <c r="G30" s="30">
        <f>_xll.FDS($A30,"FREF_MARKET_VALUE_COMPANY("&amp;Date&amp;",,,,,0)")</f>
        <v>2322.8953918176271</v>
      </c>
      <c r="H30" s="30">
        <f>_xll.FDS($A30,"FF_CASH_ONLY(QTR,0)")</f>
        <v>313.94299999999998</v>
      </c>
      <c r="I30" s="30">
        <f>_xll.FDS($A30,"FF_DEBT(QTR,0)")</f>
        <v>2908.77</v>
      </c>
      <c r="J30" s="30">
        <f t="shared" si="1"/>
        <v>4917.7223918176269</v>
      </c>
      <c r="K30" s="30">
        <f>_xll.FDS($A30,"FF_OG_FUT_CF(ANN_R_DISCNT_NET,0)")</f>
        <v>3024.1419999999998</v>
      </c>
      <c r="L30" s="41">
        <f t="shared" si="2"/>
        <v>1.6261545892413871</v>
      </c>
    </row>
    <row r="31" spans="1:12" ht="18.75" x14ac:dyDescent="0.3">
      <c r="A31" s="12" t="s">
        <v>88</v>
      </c>
      <c r="B31" s="13" t="str">
        <f>_xll.FDS($A31,"FG_COMPANY_NAME")</f>
        <v>U.S. Energy Corp.</v>
      </c>
      <c r="C31" s="29">
        <f>_xll.FDS($A31,"FG_PRICE("&amp;Date&amp;")")</f>
        <v>1.1399999999999999</v>
      </c>
      <c r="D31" s="29">
        <f>_xll.FDS($A31,"RTP_PRICE_HIGH_52W")</f>
        <v>1.96</v>
      </c>
      <c r="E31" s="26">
        <f t="shared" si="0"/>
        <v>-0.41836734693877553</v>
      </c>
      <c r="F31" s="31">
        <f>_xll.FDS($A31,"OS_SEC_SI_PCTFLT(0D)")/100</f>
        <v>7.5715347896560443</v>
      </c>
      <c r="G31" s="30">
        <f>_xll.FDS($A31,"FREF_MARKET_VALUE_COMPANY("&amp;Date&amp;",,,,,0)")</f>
        <v>14.18273980463505</v>
      </c>
      <c r="H31" s="30">
        <f>_xll.FDS($A31,"FF_CASH_ONLY(QTR,0)")</f>
        <v>3.2770000000000001</v>
      </c>
      <c r="I31" s="30">
        <f>_xll.FDS($A31,"FF_DEBT(QTR,0)")</f>
        <v>1.5369999999999999</v>
      </c>
      <c r="J31" s="30">
        <f t="shared" si="1"/>
        <v>12.44273980463505</v>
      </c>
      <c r="K31" s="30">
        <f>_xll.FDS($A31,"FF_OG_FUT_CF(ANN_R_DISCNT_NET,0)")</f>
        <v>9.2530000000000001</v>
      </c>
      <c r="L31" s="41">
        <f t="shared" si="2"/>
        <v>1.3447249329552631</v>
      </c>
    </row>
    <row r="32" spans="1:12" ht="18.75" x14ac:dyDescent="0.3">
      <c r="A32" s="12" t="s">
        <v>14</v>
      </c>
      <c r="B32" s="13" t="str">
        <f>_xll.FDS($A32,"FG_COMPANY_NAME")</f>
        <v>WPX Energy, Inc. Class A</v>
      </c>
      <c r="C32" s="29">
        <f>_xll.FDS($A32,"FG_PRICE("&amp;Date&amp;")")</f>
        <v>15.83</v>
      </c>
      <c r="D32" s="29">
        <f>_xll.FDS($A32,"RTP_PRICE_HIGH_52W")</f>
        <v>16.09</v>
      </c>
      <c r="E32" s="26">
        <f t="shared" si="0"/>
        <v>-1.6159105034182719E-2</v>
      </c>
      <c r="F32" s="31">
        <f>_xll.FDS($A32,"OS_SEC_SI_PCTFLT(0D)")/100</f>
        <v>8.3959919447592832E-2</v>
      </c>
      <c r="G32" s="30">
        <f>_xll.FDS($A32,"FREF_MARKET_VALUE_COMPANY("&amp;Date&amp;",,,,,0)")</f>
        <v>6323.4994604901876</v>
      </c>
      <c r="H32" s="30">
        <f>_xll.FDS($A32,"FF_CASH_ONLY(QTR,0)")</f>
        <v>201</v>
      </c>
      <c r="I32" s="30">
        <f>_xll.FDS($A32,"FF_DEBT(QTR,0)")</f>
        <v>2575</v>
      </c>
      <c r="J32" s="30">
        <f t="shared" si="1"/>
        <v>8697.4994604901876</v>
      </c>
      <c r="K32" s="30">
        <f>_xll.FDS($A32,"FF_OG_FUT_CF(ANN_R_DISCNT_NET,0)")</f>
        <v>3161</v>
      </c>
      <c r="L32" s="41">
        <f t="shared" si="2"/>
        <v>2.7515025183455197</v>
      </c>
    </row>
    <row r="33" spans="1:12" ht="18.75" x14ac:dyDescent="0.3">
      <c r="A33" s="12" t="s">
        <v>4</v>
      </c>
      <c r="B33" s="13" t="str">
        <f>_xll.FDS($A33,"FG_COMPANY_NAME")</f>
        <v>Cimarex Energy Co.</v>
      </c>
      <c r="C33" s="29">
        <f>_xll.FDS($A33,"FG_PRICE("&amp;Date&amp;")")</f>
        <v>96.32</v>
      </c>
      <c r="D33" s="29">
        <f>_xll.FDS($A33,"RTP_PRICE_HIGH_52W")</f>
        <v>130.16</v>
      </c>
      <c r="E33" s="26">
        <f t="shared" si="0"/>
        <v>-0.25998770743700061</v>
      </c>
      <c r="F33" s="31">
        <f>_xll.FDS($A33,"OS_SEC_SI_PCTFLT(0D)")/100</f>
        <v>3.8068879604016649E-2</v>
      </c>
      <c r="G33" s="30">
        <f>_xll.FDS($A33,"FREF_MARKET_VALUE_COMPANY("&amp;Date&amp;",,,,,0)")</f>
        <v>9192.3952028088388</v>
      </c>
      <c r="H33" s="30">
        <f>_xll.FDS($A33,"FF_CASH_ONLY(QTR,0)")</f>
        <v>400.53399999999999</v>
      </c>
      <c r="I33" s="30">
        <f>_xll.FDS($A33,"FF_DEBT(QTR,0)")</f>
        <v>1486.92</v>
      </c>
      <c r="J33" s="30">
        <f t="shared" si="1"/>
        <v>10278.781202808839</v>
      </c>
      <c r="K33" s="30">
        <f>_xll.FDS($A33,"FF_OG_FUT_CF(ANN_R_DISCNT_NET,0)")</f>
        <v>3285.0010000000002</v>
      </c>
      <c r="L33" s="41">
        <f t="shared" si="2"/>
        <v>3.1290039798492719</v>
      </c>
    </row>
  </sheetData>
  <autoFilter ref="A1:M33">
    <sortState ref="A2:M33">
      <sortCondition ref="A1:A33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workbookViewId="0">
      <selection activeCell="B2" sqref="B2"/>
    </sheetView>
  </sheetViews>
  <sheetFormatPr defaultRowHeight="15" x14ac:dyDescent="0.25"/>
  <cols>
    <col min="1" max="1" width="8" bestFit="1" customWidth="1"/>
    <col min="2" max="2" width="54" bestFit="1" customWidth="1"/>
    <col min="3" max="3" width="18.85546875" customWidth="1"/>
    <col min="4" max="4" width="19.28515625" customWidth="1"/>
    <col min="5" max="5" width="19.28515625" style="20" customWidth="1"/>
    <col min="6" max="6" width="15.5703125" style="43" customWidth="1"/>
    <col min="11" max="11" width="14.28515625" bestFit="1" customWidth="1"/>
  </cols>
  <sheetData>
    <row r="1" spans="1:13" ht="31.5" x14ac:dyDescent="0.25">
      <c r="A1" s="22" t="s">
        <v>0</v>
      </c>
      <c r="B1" s="22" t="s">
        <v>1</v>
      </c>
      <c r="C1" s="22" t="s">
        <v>99</v>
      </c>
      <c r="D1" s="22" t="s">
        <v>98</v>
      </c>
      <c r="E1" s="23" t="s">
        <v>102</v>
      </c>
      <c r="F1" s="22" t="s">
        <v>100</v>
      </c>
    </row>
    <row r="2" spans="1:13" ht="18.75" x14ac:dyDescent="0.3">
      <c r="A2" s="12" t="s">
        <v>39</v>
      </c>
      <c r="B2" s="13" t="str">
        <f>_xll.FDS($A2,"FG_COMPANY_NAME")</f>
        <v>Apache Corporation</v>
      </c>
      <c r="C2">
        <v>242.5</v>
      </c>
      <c r="D2">
        <f>730000/365/1000</f>
        <v>2</v>
      </c>
      <c r="E2" s="20">
        <v>50</v>
      </c>
      <c r="F2" s="45">
        <f t="shared" ref="F2:F35" si="0">D2/C2</f>
        <v>8.2474226804123713E-3</v>
      </c>
      <c r="G2" s="11"/>
    </row>
    <row r="3" spans="1:13" ht="18.75" x14ac:dyDescent="0.3">
      <c r="A3" s="12" t="s">
        <v>40</v>
      </c>
      <c r="B3" s="13" t="str">
        <f>_xll.FDS($A3,"FG_COMPANY_NAME")</f>
        <v>Approach Resources Inc.</v>
      </c>
      <c r="C3">
        <v>3.6</v>
      </c>
      <c r="D3">
        <v>1.3</v>
      </c>
      <c r="E3" s="20">
        <f>300/1300*50+1000/1300*52.5</f>
        <v>51.923076923076927</v>
      </c>
      <c r="F3" s="45">
        <f t="shared" si="0"/>
        <v>0.3611111111111111</v>
      </c>
      <c r="G3" s="11"/>
    </row>
    <row r="4" spans="1:13" ht="18.75" x14ac:dyDescent="0.3">
      <c r="A4" s="12" t="s">
        <v>86</v>
      </c>
      <c r="B4" s="13" t="str">
        <f>_xll.FDS($A4,"FG_COMPANY_NAME")</f>
        <v>Abraxas Petroleum Corporation</v>
      </c>
      <c r="C4">
        <v>7.4</v>
      </c>
      <c r="D4">
        <v>2.649</v>
      </c>
      <c r="E4" s="20">
        <v>48.53</v>
      </c>
      <c r="F4" s="45">
        <f t="shared" si="0"/>
        <v>0.35797297297297298</v>
      </c>
      <c r="G4" s="11"/>
    </row>
    <row r="5" spans="1:13" ht="18.75" x14ac:dyDescent="0.3">
      <c r="A5" s="12" t="s">
        <v>37</v>
      </c>
      <c r="B5" s="13" t="str">
        <f>_xll.FDS($A5,"FG_COMPANY_NAME")</f>
        <v>Centennial Resource Development, Inc. Class A</v>
      </c>
      <c r="C5">
        <v>35.700000000000003</v>
      </c>
      <c r="D5">
        <v>0</v>
      </c>
      <c r="E5" s="20">
        <v>0</v>
      </c>
      <c r="F5" s="45">
        <f t="shared" si="0"/>
        <v>0</v>
      </c>
      <c r="G5" s="11"/>
    </row>
    <row r="6" spans="1:13" ht="18.75" x14ac:dyDescent="0.3">
      <c r="A6" s="12" t="s">
        <v>87</v>
      </c>
      <c r="B6" s="13" t="str">
        <f>_xll.FDS($A6,"FG_COMPANY_NAME")</f>
        <v>ConocoPhillips</v>
      </c>
      <c r="C6">
        <v>662.2</v>
      </c>
      <c r="D6" t="s">
        <v>101</v>
      </c>
      <c r="E6" s="20" t="s">
        <v>101</v>
      </c>
      <c r="F6" s="45" t="e">
        <f t="shared" si="0"/>
        <v>#VALUE!</v>
      </c>
      <c r="G6" s="11"/>
    </row>
    <row r="7" spans="1:13" ht="18.75" x14ac:dyDescent="0.3">
      <c r="A7" s="12" t="s">
        <v>20</v>
      </c>
      <c r="B7" s="13" t="str">
        <f>_xll.FDS($A7,"FG_COMPANY_NAME")</f>
        <v>Callon Petroleum Company</v>
      </c>
      <c r="C7">
        <v>25.2</v>
      </c>
      <c r="D7">
        <v>14.5</v>
      </c>
      <c r="E7" s="20">
        <v>49.8</v>
      </c>
      <c r="F7" s="45">
        <f t="shared" si="0"/>
        <v>0.57539682539682546</v>
      </c>
      <c r="G7" s="11"/>
    </row>
    <row r="8" spans="1:13" ht="18.75" x14ac:dyDescent="0.3">
      <c r="A8" s="12" t="s">
        <v>17</v>
      </c>
      <c r="B8" s="13" t="str">
        <f>_xll.FDS($A8,"FG_COMPANY_NAME")</f>
        <v>Carrizo Oil &amp; Gas, Inc.</v>
      </c>
      <c r="C8" s="1">
        <v>42.5</v>
      </c>
      <c r="D8">
        <v>30</v>
      </c>
      <c r="E8" s="20">
        <f>6000/30000*49.55+24000/30000*((49.06+60.14+39.38)/3)</f>
        <v>49.531333333333336</v>
      </c>
      <c r="F8" s="45">
        <f t="shared" si="0"/>
        <v>0.70588235294117652</v>
      </c>
      <c r="G8" s="11"/>
    </row>
    <row r="9" spans="1:13" ht="18.75" x14ac:dyDescent="0.3">
      <c r="A9" s="12" t="s">
        <v>7</v>
      </c>
      <c r="B9" s="13" t="str">
        <f>_xll.FDS($A9,"FG_COMPANY_NAME")</f>
        <v>Concho Resources Inc.</v>
      </c>
      <c r="C9">
        <v>144.9</v>
      </c>
      <c r="D9">
        <v>86.9</v>
      </c>
      <c r="E9" s="20">
        <v>51.41</v>
      </c>
      <c r="F9" s="45">
        <f t="shared" si="0"/>
        <v>0.59972394755003455</v>
      </c>
      <c r="G9" s="11"/>
      <c r="H9" s="11"/>
    </row>
    <row r="10" spans="1:13" ht="18.75" x14ac:dyDescent="0.3">
      <c r="A10" s="12" t="s">
        <v>82</v>
      </c>
      <c r="B10" s="13" t="str">
        <f>_xll.FDS($A10,"FG_COMPANY_NAME")</f>
        <v>Devon Energy Corporation</v>
      </c>
      <c r="C10" s="1">
        <v>267.2</v>
      </c>
      <c r="D10">
        <v>81</v>
      </c>
      <c r="E10" s="20">
        <v>49</v>
      </c>
      <c r="F10" s="45">
        <f t="shared" si="0"/>
        <v>0.30314371257485029</v>
      </c>
      <c r="G10" s="11"/>
      <c r="H10" s="11"/>
    </row>
    <row r="11" spans="1:13" ht="18.75" x14ac:dyDescent="0.3">
      <c r="A11" s="12" t="s">
        <v>6</v>
      </c>
      <c r="B11" s="13" t="str">
        <f>_xll.FDS($A11,"FG_COMPANY_NAME")</f>
        <v>Encana Corporation</v>
      </c>
      <c r="C11" s="1">
        <v>131.30000000000001</v>
      </c>
      <c r="D11" s="1" t="s">
        <v>101</v>
      </c>
      <c r="E11" s="20" t="s">
        <v>101</v>
      </c>
      <c r="F11" s="45" t="e">
        <f t="shared" si="0"/>
        <v>#VALUE!</v>
      </c>
      <c r="G11" s="11"/>
      <c r="J11" s="1"/>
      <c r="K11" s="1"/>
      <c r="L11" s="1"/>
    </row>
    <row r="12" spans="1:13" ht="18.75" x14ac:dyDescent="0.3">
      <c r="A12" s="12" t="s">
        <v>9</v>
      </c>
      <c r="B12" s="13" t="str">
        <f>_xll.FDS($A12,"FG_COMPANY_NAME")</f>
        <v>Energen Corporation</v>
      </c>
      <c r="C12">
        <v>59.8</v>
      </c>
      <c r="D12">
        <v>13.5</v>
      </c>
      <c r="E12" s="20">
        <f>+(60.04+45.47+35.47)/3</f>
        <v>46.993333333333332</v>
      </c>
      <c r="F12" s="45">
        <f t="shared" si="0"/>
        <v>0.22575250836120403</v>
      </c>
      <c r="G12" s="11"/>
      <c r="J12" s="1"/>
      <c r="K12" s="1"/>
      <c r="L12" s="1"/>
    </row>
    <row r="13" spans="1:13" ht="18.75" x14ac:dyDescent="0.3">
      <c r="A13" s="12" t="s">
        <v>38</v>
      </c>
      <c r="B13" s="13" t="str">
        <f>_xll.FDS($A13,"FG_COMPANY_NAME")</f>
        <v>EOG Resources, Inc.</v>
      </c>
      <c r="C13">
        <v>409.6</v>
      </c>
      <c r="D13">
        <v>0</v>
      </c>
      <c r="E13" s="20">
        <v>0</v>
      </c>
      <c r="F13" s="45">
        <f t="shared" si="0"/>
        <v>0</v>
      </c>
      <c r="G13" s="11"/>
    </row>
    <row r="14" spans="1:13" ht="18.75" x14ac:dyDescent="0.3">
      <c r="A14" s="12" t="s">
        <v>3</v>
      </c>
      <c r="B14" s="13" t="str">
        <f>_xll.FDS($A14,"FG_COMPANY_NAME")</f>
        <v>EP Energy Corp. Class A</v>
      </c>
      <c r="C14">
        <v>47.4</v>
      </c>
      <c r="D14">
        <f>8900000/365/1000</f>
        <v>24.383561643835616</v>
      </c>
      <c r="E14" s="20">
        <v>60</v>
      </c>
      <c r="F14" s="45">
        <f t="shared" si="0"/>
        <v>0.51442113172648984</v>
      </c>
      <c r="G14" s="11"/>
      <c r="M14" s="1"/>
    </row>
    <row r="15" spans="1:13" ht="18.75" x14ac:dyDescent="0.3">
      <c r="A15" s="12" t="s">
        <v>42</v>
      </c>
      <c r="B15" s="13" t="str">
        <f>_xll.FDS($A15,"FG_COMPANY_NAME")</f>
        <v>Earthstone Energy, Inc. Class A</v>
      </c>
      <c r="C15">
        <v>7.8</v>
      </c>
      <c r="D15">
        <f>1279000/365/1000</f>
        <v>3.504109589041096</v>
      </c>
      <c r="E15" s="20">
        <v>50.16</v>
      </c>
      <c r="F15" s="45">
        <f t="shared" si="0"/>
        <v>0.44924481910783282</v>
      </c>
      <c r="G15" s="11"/>
    </row>
    <row r="16" spans="1:13" ht="18.75" x14ac:dyDescent="0.3">
      <c r="A16" s="12" t="s">
        <v>8</v>
      </c>
      <c r="B16" s="13" t="str">
        <f>_xll.FDS($A16,"FG_COMPANY_NAME")</f>
        <v>Diamondback Energy, Inc.</v>
      </c>
      <c r="C16">
        <v>81.2</v>
      </c>
      <c r="D16">
        <v>25.666</v>
      </c>
      <c r="E16" s="20">
        <v>51</v>
      </c>
      <c r="F16" s="45">
        <f t="shared" si="0"/>
        <v>0.31608374384236454</v>
      </c>
      <c r="G16" s="11"/>
    </row>
    <row r="17" spans="1:12" ht="18.75" x14ac:dyDescent="0.3">
      <c r="A17" s="12" t="s">
        <v>21</v>
      </c>
      <c r="B17" s="13" t="str">
        <f>_xll.FDS($A17,"FG_COMPANY_NAME")</f>
        <v>Halcon Resources Corp</v>
      </c>
      <c r="C17">
        <v>12.6</v>
      </c>
      <c r="D17">
        <v>9.51</v>
      </c>
      <c r="E17" s="20">
        <v>52.65</v>
      </c>
      <c r="F17" s="45">
        <f t="shared" si="0"/>
        <v>0.75476190476190474</v>
      </c>
      <c r="G17" s="11"/>
      <c r="J17" s="1"/>
      <c r="K17" s="1"/>
      <c r="L17" s="1"/>
    </row>
    <row r="18" spans="1:12" ht="18.75" x14ac:dyDescent="0.3">
      <c r="A18" s="12" t="s">
        <v>36</v>
      </c>
      <c r="B18" s="13" t="str">
        <f>_xll.FDS($A18,"FG_COMPANY_NAME")</f>
        <v>Jagged Peak Energy, Inc.</v>
      </c>
      <c r="C18">
        <v>27.8</v>
      </c>
      <c r="D18">
        <v>14.42</v>
      </c>
      <c r="E18" s="20">
        <v>52.1</v>
      </c>
      <c r="F18" s="45">
        <f t="shared" si="0"/>
        <v>0.51870503597122297</v>
      </c>
      <c r="G18" s="11"/>
    </row>
    <row r="19" spans="1:12" ht="18.75" x14ac:dyDescent="0.3">
      <c r="A19" s="12" t="s">
        <v>10</v>
      </c>
      <c r="B19" s="13" t="str">
        <f>_xll.FDS($A19,"FG_COMPANY_NAME")</f>
        <v>Laredo Petroleum, Inc.</v>
      </c>
      <c r="C19">
        <v>29.5</v>
      </c>
      <c r="D19">
        <v>9.5153750000000006</v>
      </c>
      <c r="E19" s="20">
        <v>47.42</v>
      </c>
      <c r="F19" s="45">
        <f t="shared" si="0"/>
        <v>0.32255508474576272</v>
      </c>
      <c r="G19" s="11"/>
      <c r="I19" s="1"/>
      <c r="J19" s="1"/>
      <c r="K19" s="1"/>
      <c r="L19" s="1"/>
    </row>
    <row r="20" spans="1:12" ht="18.75" x14ac:dyDescent="0.3">
      <c r="A20" s="12" t="s">
        <v>2</v>
      </c>
      <c r="B20" s="13" t="str">
        <f>_xll.FDS($A20,"FG_COMPANY_NAME")</f>
        <v>Marathon Oil Corporation</v>
      </c>
      <c r="C20">
        <v>204.5</v>
      </c>
      <c r="D20">
        <v>68.5</v>
      </c>
      <c r="E20" s="20">
        <v>50.4</v>
      </c>
      <c r="F20" s="45">
        <f t="shared" si="0"/>
        <v>0.33496332518337407</v>
      </c>
      <c r="G20" s="11"/>
      <c r="H20" s="11"/>
      <c r="I20" s="11"/>
      <c r="J20" s="11"/>
      <c r="K20" s="11"/>
      <c r="L20" s="11"/>
    </row>
    <row r="21" spans="1:12" ht="18.75" x14ac:dyDescent="0.3">
      <c r="A21" s="12" t="s">
        <v>16</v>
      </c>
      <c r="B21" s="13" t="str">
        <f>_xll.FDS($A21,"FG_COMPANY_NAME")</f>
        <v>Matador Resources Company</v>
      </c>
      <c r="C21">
        <v>26.6</v>
      </c>
      <c r="D21">
        <f>2900000/365/1000</f>
        <v>7.9452054794520546</v>
      </c>
      <c r="E21" s="20">
        <v>50.5</v>
      </c>
      <c r="F21" s="45">
        <f t="shared" si="0"/>
        <v>0.2986919353177464</v>
      </c>
      <c r="G21" s="11"/>
    </row>
    <row r="22" spans="1:12" ht="18.75" x14ac:dyDescent="0.3">
      <c r="A22" s="12" t="s">
        <v>13</v>
      </c>
      <c r="B22" s="13" t="str">
        <f>_xll.FDS($A22,"FG_COMPANY_NAME")</f>
        <v>Noble Energy, Inc.</v>
      </c>
      <c r="C22">
        <v>156.19999999999999</v>
      </c>
      <c r="D22">
        <v>23</v>
      </c>
      <c r="E22" s="20">
        <v>54</v>
      </c>
      <c r="F22" s="45">
        <f t="shared" si="0"/>
        <v>0.147247119078105</v>
      </c>
      <c r="G22" s="11"/>
      <c r="I22" s="1"/>
      <c r="J22" s="1"/>
      <c r="K22" s="1"/>
      <c r="L22" s="1"/>
    </row>
    <row r="23" spans="1:12" ht="18.75" x14ac:dyDescent="0.3">
      <c r="A23" s="12" t="s">
        <v>97</v>
      </c>
      <c r="B23" s="13" t="str">
        <f>_xll.FDS($A23,"FG_COMPANY_NAME")</f>
        <v>Oasis Petroleum Inc.</v>
      </c>
      <c r="C23">
        <v>63.7</v>
      </c>
      <c r="D23">
        <v>14.387</v>
      </c>
      <c r="E23" s="20">
        <v>50.7</v>
      </c>
      <c r="F23" s="45">
        <f t="shared" si="0"/>
        <v>0.22585557299843015</v>
      </c>
      <c r="G23" s="11"/>
    </row>
    <row r="24" spans="1:12" ht="18.75" x14ac:dyDescent="0.3">
      <c r="A24" s="12" t="s">
        <v>43</v>
      </c>
      <c r="B24" s="13" t="str">
        <f>_xll.FDS($A24,"FG_COMPANY_NAME")</f>
        <v>Occidental Petroleum Corporation</v>
      </c>
      <c r="C24">
        <v>427.7</v>
      </c>
      <c r="D24" t="s">
        <v>101</v>
      </c>
      <c r="E24" s="20" t="s">
        <v>101</v>
      </c>
      <c r="F24" s="45" t="e">
        <f t="shared" si="0"/>
        <v>#VALUE!</v>
      </c>
      <c r="G24" s="11"/>
    </row>
    <row r="25" spans="1:12" ht="18.75" x14ac:dyDescent="0.3">
      <c r="A25" s="12" t="s">
        <v>19</v>
      </c>
      <c r="B25" s="13" t="str">
        <f>_xll.FDS($A25,"FG_COMPANY_NAME")</f>
        <v>PDC Energy Inc</v>
      </c>
      <c r="C25">
        <v>45.1</v>
      </c>
      <c r="D25">
        <v>10.1</v>
      </c>
      <c r="E25" s="20">
        <v>50.64</v>
      </c>
      <c r="F25" s="45">
        <f t="shared" si="0"/>
        <v>0.22394678492239467</v>
      </c>
      <c r="G25" s="11"/>
      <c r="I25" s="1"/>
      <c r="J25" s="1"/>
      <c r="K25" s="32"/>
      <c r="L25" s="1"/>
    </row>
    <row r="26" spans="1:12" ht="18.75" x14ac:dyDescent="0.3">
      <c r="A26" s="12" t="s">
        <v>11</v>
      </c>
      <c r="B26" s="13" t="str">
        <f>_xll.FDS($A26,"FG_COMPANY_NAME")</f>
        <v>Parsley Energy, Inc. Class A</v>
      </c>
      <c r="C26">
        <v>70</v>
      </c>
      <c r="D26">
        <v>70.14</v>
      </c>
      <c r="E26" s="20">
        <v>50</v>
      </c>
      <c r="F26" s="45">
        <f t="shared" si="0"/>
        <v>1.002</v>
      </c>
      <c r="G26" s="11"/>
      <c r="K26" s="32"/>
    </row>
    <row r="27" spans="1:12" ht="18.75" x14ac:dyDescent="0.3">
      <c r="A27" s="12" t="s">
        <v>15</v>
      </c>
      <c r="B27" s="13" t="str">
        <f>_xll.FDS($A27,"FG_COMPANY_NAME")</f>
        <v>Pioneer Natural Resources Company</v>
      </c>
      <c r="C27">
        <v>193.4</v>
      </c>
      <c r="D27">
        <v>155.78100000000001</v>
      </c>
      <c r="E27" s="20">
        <v>46.55</v>
      </c>
      <c r="F27" s="45">
        <f t="shared" si="0"/>
        <v>0.80548603929679419</v>
      </c>
      <c r="G27" s="11"/>
      <c r="I27" s="1"/>
      <c r="J27" s="1"/>
      <c r="K27" s="44"/>
    </row>
    <row r="28" spans="1:12" ht="18.75" x14ac:dyDescent="0.3">
      <c r="A28" s="12" t="s">
        <v>5</v>
      </c>
      <c r="B28" s="13" t="str">
        <f>_xll.FDS($A28,"FG_COMPANY_NAME")</f>
        <v>QEP Resources, Inc.</v>
      </c>
      <c r="C28">
        <v>63.2</v>
      </c>
      <c r="D28">
        <f>15700000/1000/365</f>
        <v>43.013698630136986</v>
      </c>
      <c r="E28" s="20">
        <v>52.37</v>
      </c>
      <c r="F28" s="45">
        <f t="shared" si="0"/>
        <v>0.6805964973122941</v>
      </c>
      <c r="G28" s="11"/>
      <c r="K28" s="44"/>
    </row>
    <row r="29" spans="1:12" ht="18.75" x14ac:dyDescent="0.3">
      <c r="A29" s="12" t="s">
        <v>41</v>
      </c>
      <c r="B29" s="13" t="str">
        <f>_xll.FDS($A29,"FG_COMPANY_NAME")</f>
        <v>Resolute Energy Corporation</v>
      </c>
      <c r="C29">
        <v>17.2</v>
      </c>
      <c r="D29">
        <v>6.9960000000000004</v>
      </c>
      <c r="E29" s="20">
        <f>51.1*0.54+0.46*(40.15+49.38+54.19)/3</f>
        <v>49.631066666666669</v>
      </c>
      <c r="F29" s="45">
        <f t="shared" si="0"/>
        <v>0.40674418604651169</v>
      </c>
      <c r="G29" s="11"/>
    </row>
    <row r="30" spans="1:12" ht="18.75" x14ac:dyDescent="0.3">
      <c r="A30" s="12" t="s">
        <v>96</v>
      </c>
      <c r="B30" s="13" t="str">
        <f>_xll.FDS($A30,"FG_COMPANY_NAME")</f>
        <v>Rosehill Resources Inc. Class A</v>
      </c>
      <c r="C30" s="42">
        <v>15.8</v>
      </c>
      <c r="D30" t="s">
        <v>101</v>
      </c>
      <c r="E30" s="20" t="s">
        <v>101</v>
      </c>
      <c r="F30" s="45" t="e">
        <f t="shared" si="0"/>
        <v>#VALUE!</v>
      </c>
      <c r="G30" s="11"/>
    </row>
    <row r="31" spans="1:12" ht="18.75" x14ac:dyDescent="0.3">
      <c r="A31" s="12" t="s">
        <v>12</v>
      </c>
      <c r="B31" s="13" t="str">
        <f>_xll.FDS($A31,"FG_COMPANY_NAME")</f>
        <v>RSP Permian, Inc.</v>
      </c>
      <c r="C31">
        <v>53.4</v>
      </c>
      <c r="D31">
        <f>9419000/1000/365</f>
        <v>25.805479452054794</v>
      </c>
      <c r="E31" s="20">
        <v>46.68</v>
      </c>
      <c r="F31" s="45">
        <f t="shared" si="0"/>
        <v>0.48324867887743062</v>
      </c>
      <c r="G31" s="11"/>
    </row>
    <row r="32" spans="1:12" ht="18.75" x14ac:dyDescent="0.3">
      <c r="A32" s="12" t="s">
        <v>18</v>
      </c>
      <c r="B32" s="13" t="str">
        <f>_xll.FDS($A32,"FG_COMPANY_NAME")</f>
        <v>SM Energy Company</v>
      </c>
      <c r="C32">
        <v>51.9</v>
      </c>
      <c r="D32">
        <v>30.9</v>
      </c>
      <c r="E32" s="20">
        <v>53.5</v>
      </c>
      <c r="F32" s="45">
        <f t="shared" si="0"/>
        <v>0.59537572254335258</v>
      </c>
      <c r="G32" s="11"/>
    </row>
    <row r="33" spans="1:7" ht="18.75" x14ac:dyDescent="0.3">
      <c r="A33" s="12" t="s">
        <v>88</v>
      </c>
      <c r="B33" s="13" t="str">
        <f>_xll.FDS($A33,"FG_COMPANY_NAME")</f>
        <v>U.S. Energy Corp.</v>
      </c>
      <c r="C33" t="s">
        <v>101</v>
      </c>
      <c r="D33" t="s">
        <v>101</v>
      </c>
      <c r="E33" s="20" t="s">
        <v>101</v>
      </c>
      <c r="F33" s="45" t="e">
        <f t="shared" si="0"/>
        <v>#VALUE!</v>
      </c>
      <c r="G33" s="11"/>
    </row>
    <row r="34" spans="1:7" ht="18.75" x14ac:dyDescent="0.3">
      <c r="A34" s="12" t="s">
        <v>14</v>
      </c>
      <c r="B34" s="13" t="str">
        <f>_xll.FDS($A34,"FG_COMPANY_NAME")</f>
        <v>WPX Energy, Inc. Class A</v>
      </c>
      <c r="C34">
        <v>86.3</v>
      </c>
      <c r="D34">
        <f>55.5+13</f>
        <v>68.5</v>
      </c>
      <c r="E34" s="20">
        <f>55.5/D34*52.69+13/D34*58.89</f>
        <v>53.866642335766421</v>
      </c>
      <c r="F34" s="45">
        <f t="shared" si="0"/>
        <v>0.79374275782155279</v>
      </c>
      <c r="G34" s="11"/>
    </row>
    <row r="35" spans="1:7" ht="18.75" x14ac:dyDescent="0.3">
      <c r="A35" s="12" t="s">
        <v>4</v>
      </c>
      <c r="B35" s="13" t="str">
        <f>_xll.FDS($A35,"FG_COMPANY_NAME")</f>
        <v>Cimarex Energy Co.</v>
      </c>
      <c r="C35">
        <v>125.5</v>
      </c>
      <c r="D35">
        <v>20</v>
      </c>
      <c r="E35" s="20">
        <v>51.27</v>
      </c>
      <c r="F35" s="45">
        <f t="shared" si="0"/>
        <v>0.15936254980079681</v>
      </c>
      <c r="G35" s="11"/>
    </row>
    <row r="38" spans="1:7" x14ac:dyDescent="0.25">
      <c r="D38" s="1"/>
      <c r="E38" s="1"/>
      <c r="F38" s="1"/>
      <c r="G38" s="1"/>
    </row>
    <row r="41" spans="1:7" x14ac:dyDescent="0.25">
      <c r="C41" s="1"/>
      <c r="D41" s="1"/>
      <c r="E41" s="1"/>
      <c r="F41" s="1"/>
    </row>
    <row r="42" spans="1:7" s="1" customFormat="1" x14ac:dyDescent="0.25"/>
    <row r="43" spans="1:7" x14ac:dyDescent="0.25">
      <c r="D43" s="1"/>
      <c r="E43" s="1"/>
      <c r="F43" s="1"/>
      <c r="G43" s="1"/>
    </row>
    <row r="44" spans="1:7" x14ac:dyDescent="0.25">
      <c r="D44" s="1"/>
      <c r="E44" s="1"/>
      <c r="F44" s="1"/>
    </row>
    <row r="46" spans="1:7" x14ac:dyDescent="0.25">
      <c r="D46" s="1"/>
      <c r="E46" s="1"/>
      <c r="F46" s="1"/>
      <c r="G46" s="1"/>
    </row>
    <row r="48" spans="1:7" x14ac:dyDescent="0.25">
      <c r="E48" s="1"/>
      <c r="F48" s="1"/>
      <c r="G48" s="1"/>
    </row>
    <row r="49" spans="5:7" x14ac:dyDescent="0.25">
      <c r="E49" s="1"/>
      <c r="F49" s="1"/>
      <c r="G49" s="1"/>
    </row>
    <row r="54" spans="5:7" x14ac:dyDescent="0.25">
      <c r="F54" s="20"/>
      <c r="G54" s="20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zoomScale="85" zoomScaleNormal="85" workbookViewId="0">
      <pane xSplit="2" ySplit="1" topLeftCell="C2" activePane="bottomRight" state="frozen"/>
      <selection activeCell="C37" sqref="C37"/>
      <selection pane="topRight" activeCell="C37" sqref="C37"/>
      <selection pane="bottomLeft" activeCell="C37" sqref="C37"/>
      <selection pane="bottomRight" activeCell="D34" sqref="D34"/>
    </sheetView>
  </sheetViews>
  <sheetFormatPr defaultRowHeight="15" x14ac:dyDescent="0.25"/>
  <cols>
    <col min="1" max="1" width="11.28515625" style="8" customWidth="1"/>
    <col min="2" max="3" width="34" style="9" customWidth="1"/>
    <col min="4" max="5" width="25.28515625" style="1" customWidth="1"/>
    <col min="6" max="6" width="11.85546875" style="1" customWidth="1"/>
    <col min="7" max="8" width="16.42578125" style="1" customWidth="1"/>
    <col min="9" max="9" width="12.7109375" style="1" bestFit="1" customWidth="1"/>
    <col min="10" max="10" width="13.42578125" style="1" customWidth="1"/>
    <col min="11" max="11" width="15.85546875" style="1" customWidth="1"/>
    <col min="12" max="16384" width="9.140625" style="1"/>
  </cols>
  <sheetData>
    <row r="1" spans="1:12" ht="67.5" customHeight="1" x14ac:dyDescent="0.25">
      <c r="A1" s="22" t="s">
        <v>0</v>
      </c>
      <c r="B1" s="22" t="s">
        <v>1</v>
      </c>
      <c r="C1" s="61">
        <v>43100</v>
      </c>
      <c r="D1" s="61">
        <v>43190</v>
      </c>
      <c r="E1" s="61">
        <v>43281</v>
      </c>
      <c r="F1" s="61">
        <v>43373</v>
      </c>
      <c r="G1" s="61">
        <v>43465</v>
      </c>
      <c r="H1" s="61">
        <v>43555</v>
      </c>
      <c r="I1" s="61">
        <v>43646</v>
      </c>
      <c r="J1" s="61">
        <v>43738</v>
      </c>
      <c r="K1" s="61">
        <v>43830</v>
      </c>
    </row>
    <row r="2" spans="1:12" ht="18.75" x14ac:dyDescent="0.3">
      <c r="A2" s="12" t="s">
        <v>8</v>
      </c>
      <c r="B2" s="13" t="str">
        <f>_xll.FDS($A2,"FG_COMPANY_NAME")</f>
        <v>Diamondback Energy, Inc.</v>
      </c>
      <c r="C2" s="14">
        <f>IFERROR(IFERROR(_xll.FDS($A2,"FF_OG_PROD_DAY(QTR_R_OIL_BOE,"&amp;Current_Quarter&amp;")"),_xll.FDS($A2,"FF_OG_PROD_TOT_NET(QTR_R_OIL_BOE,"&amp;Current_Quarter&amp;")")/Inputs!$C$20),0)</f>
        <v>68.725300000000004</v>
      </c>
      <c r="D2" s="14">
        <f t="array" ref="D2:G2">_xll.FDSRC("-",$A2,"FE_TIMESERIES(PROD_DAY_OIL_ONLY,MEAN,2018/1F,2018/4F,FQ,'BKRACTMED=1,WIN=0,DATE=NOW')")</f>
        <v>75.373149999999995</v>
      </c>
      <c r="E2" s="14">
        <v>80.851110000000006</v>
      </c>
      <c r="F2" s="14">
        <v>86.901886000000005</v>
      </c>
      <c r="G2" s="14">
        <v>93.391139999999993</v>
      </c>
      <c r="H2" s="14">
        <f t="array" ref="H2:K2">_xll.FDSRC("-",$A2,"FE_TIMESERIES(PROD_DAY_OIL_ONLY,MEAN,2019/1F,2019/4F,FQ,'BKRACTMED=1,WIN=0,DATE=NOW')")</f>
        <v>100.76178</v>
      </c>
      <c r="I2" s="14">
        <v>107.54536</v>
      </c>
      <c r="J2" s="14">
        <v>115.00964</v>
      </c>
      <c r="K2" s="14">
        <v>121.89149999999999</v>
      </c>
      <c r="L2" s="58"/>
    </row>
    <row r="3" spans="1:12" ht="18.75" x14ac:dyDescent="0.3">
      <c r="A3" s="12" t="s">
        <v>43</v>
      </c>
      <c r="B3" s="13" t="str">
        <f>_xll.FDS($A3,"FG_COMPANY_NAME")</f>
        <v>Occidental Petroleum Corporation</v>
      </c>
      <c r="C3" s="14">
        <f>IFERROR(IFERROR(_xll.FDS($A3,"FF_OG_PROD_DAY(QTR_R_OIL_BOE,"&amp;Current_Quarter&amp;")"),_xll.FDS($A3,"FF_OG_PROD_TOT_NET(QTR_R_OIL_BOE,"&amp;Current_Quarter&amp;")")/Inputs!$C$20),0)</f>
        <v>396</v>
      </c>
      <c r="D3" s="14">
        <f t="array" ref="D3:G3">_xll.FDSRC("-",$A3,"FE_TIMESERIES(PROD_DAY_OIL_ONLY,MEAN,2018/1F,2018/4F,FQ,'BKRACTMED=1,WIN=0,DATE=NOW')")</f>
        <v>389.09649999999999</v>
      </c>
      <c r="E3" s="14">
        <v>410.09500000000003</v>
      </c>
      <c r="F3" s="14">
        <v>427.93700000000001</v>
      </c>
      <c r="G3" s="14">
        <v>438.84582999999998</v>
      </c>
      <c r="H3" s="14">
        <f t="array" ref="H3:K3">_xll.FDSRC("-",$A3,"FE_TIMESERIES(PROD_DAY_OIL_ONLY,MEAN,2019/1F,2019/4F,FQ,'BKRACTMED=1,WIN=0,DATE=NOW')")</f>
        <v>453.62335000000002</v>
      </c>
      <c r="I3" s="14">
        <v>459.62</v>
      </c>
      <c r="J3" s="14">
        <v>463.5</v>
      </c>
      <c r="K3" s="14">
        <v>468.40667999999999</v>
      </c>
    </row>
    <row r="4" spans="1:12" ht="18.75" x14ac:dyDescent="0.3">
      <c r="A4" s="12" t="s">
        <v>16</v>
      </c>
      <c r="B4" s="13" t="str">
        <f>_xll.FDS($A4,"FG_COMPANY_NAME")</f>
        <v>Matador Resources Company</v>
      </c>
      <c r="C4" s="14">
        <f>IFERROR(IFERROR(_xll.FDS($A4,"FF_OG_PROD_DAY(QTR_R_OIL_BOE,"&amp;Current_Quarter&amp;")"),_xll.FDS($A4,"FF_OG_PROD_TOT_NET(QTR_R_OIL_BOE,"&amp;Current_Quarter&amp;")")/Inputs!$C$20),0)</f>
        <v>24.664999999999999</v>
      </c>
      <c r="D4" s="14">
        <f t="array" ref="D4:G4">_xll.FDSRC("-",$A4,"FE_TIMESERIES(PROD_DAY_OIL_ONLY,MEAN,2018/1F,2018/4F,FQ,'BKRACTMED=1,WIN=0,DATE=NOW')")</f>
        <v>24.953320000000001</v>
      </c>
      <c r="E4" s="14">
        <v>26.444233000000001</v>
      </c>
      <c r="F4" s="14">
        <v>27.960934000000002</v>
      </c>
      <c r="G4" s="14">
        <v>29.464320000000001</v>
      </c>
      <c r="H4" s="14">
        <f t="array" ref="H4:K4">_xll.FDSRC("-",$A4,"FE_TIMESERIES(PROD_DAY_OIL_ONLY,MEAN,2019/1F,2019/4F,FQ,'BKRACTMED=1,WIN=0,DATE=NOW')")</f>
        <v>31.013000000000002</v>
      </c>
      <c r="I4" s="14">
        <v>32.579273000000001</v>
      </c>
      <c r="J4" s="14">
        <v>34.029181999999999</v>
      </c>
      <c r="K4" s="14">
        <v>35.649726999999999</v>
      </c>
    </row>
    <row r="5" spans="1:12" ht="18.75" x14ac:dyDescent="0.3">
      <c r="A5" s="12" t="s">
        <v>7</v>
      </c>
      <c r="B5" s="13" t="str">
        <f>_xll.FDS($A5,"FG_COMPANY_NAME")</f>
        <v>Concho Resources Inc.</v>
      </c>
      <c r="C5" s="14">
        <f>IFERROR(IFERROR(_xll.FDS($A5,"FF_OG_PROD_DAY(QTR_R_OIL_BOE,"&amp;Current_Quarter&amp;")"),_xll.FDS($A5,"FF_OG_PROD_TOT_NET(QTR_R_OIL_BOE,"&amp;Current_Quarter&amp;")")/Inputs!$C$20),0)</f>
        <v>129.83699999999999</v>
      </c>
      <c r="D5" s="14">
        <f t="array" ref="D5:G5">_xll.FDSRC("-",$A5,"FE_TIMESERIES(PROD_DAY_OIL_ONLY,MEAN,2018/1F,2018/4F,FQ,'BKRACTMED=1,WIN=0,DATE=NOW')")</f>
        <v>134.67646999999999</v>
      </c>
      <c r="E5" s="14">
        <v>140.87189000000001</v>
      </c>
      <c r="F5" s="14">
        <v>149.82687000000001</v>
      </c>
      <c r="G5" s="14">
        <v>155.63759999999999</v>
      </c>
      <c r="H5" s="14">
        <f t="array" ref="H5:K5">_xll.FDSRC("-",$A5,"FE_TIMESERIES(PROD_DAY_OIL_ONLY,MEAN,2019/1F,2019/4F,FQ,'BKRACTMED=1,WIN=0,DATE=NOW')")</f>
        <v>162.65671</v>
      </c>
      <c r="I5" s="14">
        <v>172.64556999999999</v>
      </c>
      <c r="J5" s="14">
        <v>181.92429000000001</v>
      </c>
      <c r="K5" s="14">
        <v>191.69300000000001</v>
      </c>
    </row>
    <row r="6" spans="1:12" ht="18.75" x14ac:dyDescent="0.3">
      <c r="A6" s="12" t="s">
        <v>38</v>
      </c>
      <c r="B6" s="13" t="str">
        <f>_xll.FDS($A6,"FG_COMPANY_NAME")</f>
        <v>EOG Resources, Inc.</v>
      </c>
      <c r="C6" s="14">
        <f>IFERROR(IFERROR(_xll.FDS($A6,"FF_OG_PROD_DAY(QTR_R_OIL_BOE,"&amp;Current_Quarter&amp;")"),_xll.FDS($A6,"FF_OG_PROD_TOT_NET(QTR_R_OIL_BOE,"&amp;Current_Quarter&amp;")")/Inputs!$C$20),0)</f>
        <v>368.1</v>
      </c>
      <c r="D6" s="14">
        <f t="array" ref="D6:G6">_xll.FDSRC("-",$A6,"FE_TIMESERIES(PROD_DAY_OIL_ONLY,MEAN,2018/1F,2018/4F,FQ,'BKRACTMED=1,WIN=0,DATE=NOW')")</f>
        <v>362.37268</v>
      </c>
      <c r="E6" s="14">
        <v>382.92773</v>
      </c>
      <c r="F6" s="14">
        <v>406.64093000000003</v>
      </c>
      <c r="G6" s="14">
        <v>427.72568000000001</v>
      </c>
      <c r="H6" s="14">
        <f t="array" ref="H6:K6">_xll.FDSRC("-",$A6,"FE_TIMESERIES(PROD_DAY_OIL_ONLY,MEAN,2019/1F,2019/4F,FQ,'BKRACTMED=1,WIN=0,DATE=NOW')")</f>
        <v>440.74900000000002</v>
      </c>
      <c r="I6" s="14">
        <v>459.65944999999999</v>
      </c>
      <c r="J6" s="14">
        <v>479.01510000000002</v>
      </c>
      <c r="K6" s="14">
        <v>497.55923000000001</v>
      </c>
    </row>
    <row r="7" spans="1:12" ht="18.75" x14ac:dyDescent="0.3">
      <c r="A7" s="12" t="s">
        <v>36</v>
      </c>
      <c r="B7" s="13" t="str">
        <f>_xll.FDS($A7,"FG_COMPANY_NAME")</f>
        <v>Jagged Peak Energy, Inc.</v>
      </c>
      <c r="C7" s="14">
        <f>IFERROR(IFERROR(_xll.FDS($A7,"FF_OG_PROD_DAY(QTR_R_OIL_BOE,"&amp;Current_Quarter&amp;")"),_xll.FDS($A7,"FF_OG_PROD_TOT_NET(QTR_R_OIL_BOE,"&amp;Current_Quarter&amp;")")/Inputs!$C$20),0)</f>
        <v>19.229600000000001</v>
      </c>
      <c r="D7" s="14">
        <f t="array" ref="D7:G7">_xll.FDSRC("-",$A7,"FE_TIMESERIES(PROD_DAY_OIL_ONLY,MEAN,2018/1F,2018/4F,FQ,'BKRACTMED=1,WIN=0,DATE=NOW')")</f>
        <v>21.949860000000001</v>
      </c>
      <c r="E7" s="14">
        <v>24.187670000000001</v>
      </c>
      <c r="F7" s="14">
        <v>26.262129999999999</v>
      </c>
      <c r="G7" s="14">
        <v>28.404540000000001</v>
      </c>
      <c r="H7" s="14">
        <f t="array" ref="H7:K7">_xll.FDSRC("-",$A7,"FE_TIMESERIES(PROD_DAY_OIL_ONLY,MEAN,2019/1F,2019/4F,FQ,'BKRACTMED=1,WIN=0,DATE=NOW')")</f>
        <v>31.212935999999999</v>
      </c>
      <c r="I7" s="14">
        <v>34.009749999999997</v>
      </c>
      <c r="J7" s="14">
        <v>36.575873999999999</v>
      </c>
      <c r="K7" s="14">
        <v>38.914160000000003</v>
      </c>
    </row>
    <row r="8" spans="1:12" ht="18.75" x14ac:dyDescent="0.3">
      <c r="A8" s="12" t="s">
        <v>9</v>
      </c>
      <c r="B8" s="13" t="str">
        <f>_xll.FDS($A8,"FG_COMPANY_NAME")</f>
        <v>Energen Corporation</v>
      </c>
      <c r="C8" s="14">
        <f>IFERROR(IFERROR(_xll.FDS($A8,"FF_OG_PROD_DAY(QTR_R_OIL_BOE,"&amp;Current_Quarter&amp;")"),_xll.FDS($A8,"FF_OG_PROD_TOT_NET(QTR_R_OIL_BOE,"&amp;Current_Quarter&amp;")")/Inputs!$C$20),0)</f>
        <v>58.1</v>
      </c>
      <c r="D8" s="14">
        <f t="array" ref="D8:G8">_xll.FDSRC("-",$A8,"FE_TIMESERIES(PROD_DAY_OIL_ONLY,MEAN,2018/1F,2018/4F,FQ,'BKRACTMED=1,WIN=0,DATE=NOW')")</f>
        <v>54.303077999999999</v>
      </c>
      <c r="E8" s="14">
        <v>54.994812000000003</v>
      </c>
      <c r="F8" s="14">
        <v>57.820843000000004</v>
      </c>
      <c r="G8" s="14">
        <v>67.081540000000004</v>
      </c>
      <c r="H8" s="14">
        <f t="array" ref="H8:K8">_xll.FDSRC("-",$A8,"FE_TIMESERIES(PROD_DAY_OIL_ONLY,MEAN,2019/1F,2019/4F,FQ,'BKRACTMED=1,WIN=0,DATE=NOW')")</f>
        <v>72.485680000000002</v>
      </c>
      <c r="I8" s="14">
        <v>75.378020000000006</v>
      </c>
      <c r="J8" s="14">
        <v>79.567313999999996</v>
      </c>
      <c r="K8" s="14">
        <v>84.394080000000002</v>
      </c>
    </row>
    <row r="9" spans="1:12" ht="18.75" x14ac:dyDescent="0.3">
      <c r="A9" s="12" t="s">
        <v>37</v>
      </c>
      <c r="B9" s="13" t="str">
        <f>_xll.FDS($A9,"FG_COMPANY_NAME")</f>
        <v>Centennial Resource Development, Inc. Class A</v>
      </c>
      <c r="C9" s="14">
        <f>IFERROR(IFERROR(_xll.FDS($A9,"FF_OG_PROD_DAY(QTR_R_OIL_BOE,"&amp;Current_Quarter&amp;")"),_xll.FDS($A9,"FF_OG_PROD_TOT_NET(QTR_R_OIL_BOE,"&amp;Current_Quarter&amp;")")/Inputs!$C$20),0)</f>
        <v>27.402000000000001</v>
      </c>
      <c r="D9" s="14">
        <f t="array" ref="D9:G9">_xll.FDSRC("-",$A9,"FE_TIMESERIES(PROD_DAY_OIL_ONLY,MEAN,2018/1F,2018/4F,FQ,'BKRACTMED=1,WIN=0,DATE=NOW')")</f>
        <v>30.077674999999999</v>
      </c>
      <c r="E9" s="14">
        <v>34.157691999999997</v>
      </c>
      <c r="F9" s="14">
        <v>38.529260000000001</v>
      </c>
      <c r="G9" s="14">
        <v>42.700606999999998</v>
      </c>
      <c r="H9" s="14">
        <f t="array" ref="H9:K9">_xll.FDSRC("-",$A9,"FE_TIMESERIES(PROD_DAY_OIL_ONLY,MEAN,2019/1F,2019/4F,FQ,'BKRACTMED=1,WIN=0,DATE=NOW')")</f>
        <v>47.329886999999999</v>
      </c>
      <c r="I9" s="14">
        <v>50.808754</v>
      </c>
      <c r="J9" s="14">
        <v>54.176132000000003</v>
      </c>
      <c r="K9" s="14">
        <v>57.54589</v>
      </c>
    </row>
    <row r="10" spans="1:12" ht="18.75" x14ac:dyDescent="0.3">
      <c r="A10" s="12" t="s">
        <v>6</v>
      </c>
      <c r="B10" s="13" t="str">
        <f>_xll.FDS($A10,"FG_COMPANY_NAME")</f>
        <v>Encana Corporation</v>
      </c>
      <c r="C10" s="14">
        <f>IFERROR(IFERROR(_xll.FDS($A10,"FF_OG_PROD_DAY(QTR_R_OIL_BOE,"&amp;Current_Quarter&amp;")"),_xll.FDS($A10,"FF_OG_PROD_TOT_NET(QTR_R_OIL_BOE,"&amp;Current_Quarter&amp;")")/Inputs!$C$20),0)</f>
        <v>111.4</v>
      </c>
      <c r="D10" s="14">
        <f t="array" ref="D10:G10">_xll.FDSRC("-",$A10,"FE_TIMESERIES(PROD_DAY_OIL_ONLY,MEAN,2018/1F,2018/4F,FQ,'BKRACTMED=1,WIN=0,DATE=NOW')")</f>
        <v>96.004800000000003</v>
      </c>
      <c r="E10" s="14">
        <v>100.2223</v>
      </c>
      <c r="F10" s="14">
        <v>104.02888</v>
      </c>
      <c r="G10" s="14">
        <v>109.259575</v>
      </c>
      <c r="H10" s="14">
        <f t="array" ref="H10:K10">_xll.FDSRC("-",$A10,"FE_TIMESERIES(PROD_DAY_OIL_ONLY,MEAN,2019/1F,2019/4F,FQ,'BKRACTMED=1,WIN=0,DATE=NOW')")</f>
        <v>97.224000000000004</v>
      </c>
      <c r="I10" s="14">
        <v>99.757670000000005</v>
      </c>
      <c r="J10" s="14">
        <v>101.955</v>
      </c>
      <c r="K10" s="14">
        <v>104.34967</v>
      </c>
    </row>
    <row r="11" spans="1:12" ht="18.75" x14ac:dyDescent="0.3">
      <c r="A11" s="12" t="s">
        <v>14</v>
      </c>
      <c r="B11" s="13" t="str">
        <f>_xll.FDS($A11,"FG_COMPANY_NAME")</f>
        <v>WPX Energy, Inc. Class A</v>
      </c>
      <c r="C11" s="14">
        <f>IFERROR(IFERROR(_xll.FDS($A11,"FF_OG_PROD_DAY(QTR_R_OIL_BOE,"&amp;Current_Quarter&amp;")"),_xll.FDS($A11,"FF_OG_PROD_TOT_NET(QTR_R_OIL_BOE,"&amp;Current_Quarter&amp;")")/Inputs!$C$20),0)</f>
        <v>75.2</v>
      </c>
      <c r="D11" s="14">
        <f t="array" ref="D11:G11">_xll.FDSRC("-",$A11,"FE_TIMESERIES(PROD_DAY_OIL_ONLY,MEAN,2018/1F,2018/4F,FQ,'BKRACTMED=1,WIN=0,DATE=NOW')")</f>
        <v>68.922730000000001</v>
      </c>
      <c r="E11" s="14">
        <v>75.329669999999993</v>
      </c>
      <c r="F11" s="14">
        <v>81.299729999999997</v>
      </c>
      <c r="G11" s="14">
        <v>86.667113999999998</v>
      </c>
      <c r="H11" s="14">
        <f t="array" ref="H11:K11">_xll.FDSRC("-",$A11,"FE_TIMESERIES(PROD_DAY_OIL_ONLY,MEAN,2019/1F,2019/4F,FQ,'BKRACTMED=1,WIN=0,DATE=NOW')")</f>
        <v>92.932079999999999</v>
      </c>
      <c r="I11" s="14">
        <v>98.283839999999998</v>
      </c>
      <c r="J11" s="14">
        <v>103.34189000000001</v>
      </c>
      <c r="K11" s="14">
        <v>107.94549600000001</v>
      </c>
    </row>
    <row r="12" spans="1:12" ht="18.75" x14ac:dyDescent="0.3">
      <c r="A12" s="12" t="s">
        <v>12</v>
      </c>
      <c r="B12" s="13" t="str">
        <f>_xll.FDS($A12,"FG_COMPANY_NAME")</f>
        <v>RSP Permian, Inc.</v>
      </c>
      <c r="C12" s="14">
        <f>IFERROR(IFERROR(_xll.FDS($A12,"FF_OG_PROD_DAY(QTR_R_OIL_BOE,"&amp;Current_Quarter&amp;")"),_xll.FDS($A12,"FF_OG_PROD_TOT_NET(QTR_R_OIL_BOE,"&amp;Current_Quarter&amp;")")/Inputs!$C$20),0)</f>
        <v>44.304000000000002</v>
      </c>
      <c r="D12" s="14">
        <f t="array" ref="D12:G12">_xll.FDSRC("-",$A12,"FE_TIMESERIES(PROD_DAY_OIL_ONLY,MEAN,2018/1F,2018/4F,FQ,'BKRACTMED=1,WIN=0,DATE=NOW')")</f>
        <v>47.040787000000002</v>
      </c>
      <c r="E12" s="14">
        <v>51.679237000000001</v>
      </c>
      <c r="F12" s="14">
        <v>55.232277000000003</v>
      </c>
      <c r="G12" s="14">
        <v>59.322544000000001</v>
      </c>
      <c r="H12" s="14">
        <f t="array" ref="H12:K12">_xll.FDSRC("-",$A12,"FE_TIMESERIES(PROD_DAY_OIL_ONLY,MEAN,2019/1F,2019/4F,FQ,'BKRACTMED=1,WIN=0,DATE=NOW')")</f>
        <v>64.292649999999995</v>
      </c>
      <c r="I12" s="14">
        <v>68.95496</v>
      </c>
      <c r="J12" s="14">
        <v>72.961029999999994</v>
      </c>
      <c r="K12" s="14">
        <v>77.505589999999998</v>
      </c>
    </row>
    <row r="13" spans="1:12" ht="18.75" x14ac:dyDescent="0.3">
      <c r="A13" s="12" t="s">
        <v>15</v>
      </c>
      <c r="B13" s="13" t="str">
        <f>_xll.FDS($A13,"FG_COMPANY_NAME")</f>
        <v>Pioneer Natural Resources Company</v>
      </c>
      <c r="C13" s="14">
        <f>IFERROR(IFERROR(_xll.FDS($A13,"FF_OG_PROD_DAY(QTR_R_OIL_BOE,"&amp;Current_Quarter&amp;")"),_xll.FDS($A13,"FF_OG_PROD_TOT_NET(QTR_R_OIL_BOE,"&amp;Current_Quarter&amp;")")/Inputs!$C$20),0)</f>
        <v>179.73699999999999</v>
      </c>
      <c r="D13" s="14">
        <f t="array" ref="D13:G13">_xll.FDSRC("-",$A13,"FE_TIMESERIES(PROD_DAY_OIL_ONLY,MEAN,2018/1F,2018/4F,FQ,'BKRACTMED=1,WIN=0,DATE=NOW')")</f>
        <v>182.08124000000001</v>
      </c>
      <c r="E13" s="14">
        <v>191.12164000000001</v>
      </c>
      <c r="F13" s="14">
        <v>198.49545000000001</v>
      </c>
      <c r="G13" s="14">
        <v>205.65835999999999</v>
      </c>
      <c r="H13" s="14">
        <f t="array" ref="H13:K13">_xll.FDSRC("-",$A13,"FE_TIMESERIES(PROD_DAY_OIL_ONLY,MEAN,2019/1F,2019/4F,FQ,'BKRACTMED=1,WIN=0,DATE=NOW')")</f>
        <v>212.55516</v>
      </c>
      <c r="I13" s="14">
        <v>221.41216</v>
      </c>
      <c r="J13" s="14">
        <v>231.57921999999999</v>
      </c>
      <c r="K13" s="14">
        <v>241.13122999999999</v>
      </c>
    </row>
    <row r="14" spans="1:12" ht="18.75" x14ac:dyDescent="0.3">
      <c r="A14" s="12" t="s">
        <v>2</v>
      </c>
      <c r="B14" s="13" t="str">
        <f>_xll.FDS($A14,"FG_COMPANY_NAME")</f>
        <v>Marathon Oil Corporation</v>
      </c>
      <c r="C14" s="14">
        <f>IFERROR(IFERROR(_xll.FDS($A14,"FF_OG_PROD_DAY(QTR_R_OIL_BOE,"&amp;Current_Quarter&amp;")"),_xll.FDS($A14,"FF_OG_PROD_TOT_NET(QTR_R_OIL_BOE,"&amp;Current_Quarter&amp;")")/Inputs!$C$20),0)</f>
        <v>208</v>
      </c>
      <c r="D14" s="14">
        <f t="array" ref="D14:G14">_xll.FDSRC("-",$A14,"FE_TIMESERIES(PROD_DAY_OIL_ONLY,MEAN,2018/1F,2018/4F,FQ,'BKRACTMED=1,WIN=0,DATE=NOW')")</f>
        <v>192.17949999999999</v>
      </c>
      <c r="E14" s="14">
        <v>199.10499999999999</v>
      </c>
      <c r="F14" s="14">
        <v>202.24700999999999</v>
      </c>
      <c r="G14" s="14">
        <v>205.97450000000001</v>
      </c>
      <c r="H14" s="14">
        <f t="array" ref="H14:K14">_xll.FDSRC("-",$A14,"FE_TIMESERIES(PROD_DAY_OIL_ONLY,MEAN,2019/1F,2019/4F,FQ,'BKRACTMED=1,WIN=0,DATE=NOW')")</f>
        <v>209.03100000000001</v>
      </c>
      <c r="I14" s="14">
        <v>215.73729</v>
      </c>
      <c r="J14" s="14">
        <v>222.77699999999999</v>
      </c>
      <c r="K14" s="14">
        <v>231.03785999999999</v>
      </c>
    </row>
    <row r="15" spans="1:12" ht="18.75" x14ac:dyDescent="0.3">
      <c r="A15" s="12" t="s">
        <v>4</v>
      </c>
      <c r="B15" s="13" t="str">
        <f>_xll.FDS($A15,"FG_COMPANY_NAME")</f>
        <v>Cimarex Energy Co.</v>
      </c>
      <c r="C15" s="14">
        <f>IFERROR(IFERROR(_xll.FDS($A15,"FF_OG_PROD_DAY(QTR_R_OIL_BOE,"&amp;Current_Quarter&amp;")"),_xll.FDS($A15,"FF_OG_PROD_TOT_NET(QTR_R_OIL_BOE,"&amp;Current_Quarter&amp;")")/Inputs!$C$20),0)</f>
        <v>61.771000000000001</v>
      </c>
      <c r="D15" s="14">
        <f t="array" ref="D15:G15">_xll.FDSRC("-",$A15,"FE_TIMESERIES(PROD_DAY_OIL_ONLY,MEAN,2018/1F,2018/4F,FQ,'BKRACTMED=1,WIN=0,DATE=NOW')")</f>
        <v>63.713999999999999</v>
      </c>
      <c r="E15" s="14">
        <v>66.765334999999993</v>
      </c>
      <c r="F15" s="14">
        <v>73.686340000000001</v>
      </c>
      <c r="G15" s="14">
        <v>80.480069999999998</v>
      </c>
      <c r="H15" s="14">
        <f t="array" ref="H15:K15">_xll.FDSRC("-",$A15,"FE_TIMESERIES(PROD_DAY_OIL_ONLY,MEAN,2019/1F,2019/4F,FQ,'BKRACTMED=1,WIN=0,DATE=NOW')")</f>
        <v>82.969110000000001</v>
      </c>
      <c r="I15" s="14">
        <v>85.929760000000002</v>
      </c>
      <c r="J15" s="14">
        <v>89.526399999999995</v>
      </c>
      <c r="K15" s="14">
        <v>93.682654999999997</v>
      </c>
    </row>
    <row r="16" spans="1:12" ht="18.75" x14ac:dyDescent="0.3">
      <c r="A16" s="12" t="s">
        <v>82</v>
      </c>
      <c r="B16" s="13" t="str">
        <f>_xll.FDS($A16,"FG_COMPANY_NAME")</f>
        <v>Devon Energy Corporation</v>
      </c>
      <c r="C16" s="14">
        <f>IFERROR(IFERROR(_xll.FDS($A16,"FF_OG_PROD_DAY(QTR_R_OIL_BOE,"&amp;Current_Quarter&amp;")"),_xll.FDS($A16,"FF_OG_PROD_TOT_NET(QTR_R_OIL_BOE,"&amp;Current_Quarter&amp;")")/Inputs!$C$20),0)</f>
        <v>246</v>
      </c>
      <c r="D16" s="14">
        <f t="array" ref="D16:G16">_xll.FDSRC("-",$A16,"FE_TIMESERIES(PROD_DAY_OIL_ONLY,MEAN,2018/1F,2018/4F,FQ,'BKRACTMED=1,WIN=0,DATE=NOW')")</f>
        <v>250.15628000000001</v>
      </c>
      <c r="E16" s="14">
        <v>253.36170000000001</v>
      </c>
      <c r="F16" s="14">
        <v>265.22246999999999</v>
      </c>
      <c r="G16" s="14">
        <v>270.22314</v>
      </c>
      <c r="H16" s="14">
        <f t="array" ref="H16:K16">_xll.FDSRC("-",$A16,"FE_TIMESERIES(PROD_DAY_OIL_ONLY,MEAN,2019/1F,2019/4F,FQ,'BKRACTMED=1,WIN=0,DATE=NOW')")</f>
        <v>263.41644000000002</v>
      </c>
      <c r="I16" s="14">
        <v>265.36944999999997</v>
      </c>
      <c r="J16" s="14">
        <v>273.98590000000002</v>
      </c>
      <c r="K16" s="14">
        <v>280.82445999999999</v>
      </c>
    </row>
    <row r="17" spans="1:11" ht="18.75" x14ac:dyDescent="0.3">
      <c r="A17" s="12" t="s">
        <v>21</v>
      </c>
      <c r="B17" s="13" t="str">
        <f>_xll.FDS($A17,"FG_COMPANY_NAME")</f>
        <v>Halcon Resources Corp</v>
      </c>
      <c r="C17" s="14">
        <f>IFERROR(IFERROR(_xll.FDS($A17,"FF_OG_PROD_DAY(QTR_R_OIL_BOE,"&amp;Current_Quarter&amp;")"),_xll.FDS($A17,"FF_OG_PROD_TOT_NET(QTR_R_OIL_BOE,"&amp;Current_Quarter&amp;")")/Inputs!$C$20),0)</f>
        <v>4.3804347826086953</v>
      </c>
      <c r="D17" s="14">
        <f t="array" ref="D17:G17">_xll.FDSRC("-",$A17,"FE_TIMESERIES(PROD_DAY_OIL_ONLY,MEAN,2018/1F,2018/4F,FQ,'BKRACTMED=1,WIN=0,DATE=NOW')")</f>
        <v>7.8765774000000004</v>
      </c>
      <c r="E17" s="14">
        <v>11.087828999999999</v>
      </c>
      <c r="F17" s="14">
        <v>13.988057</v>
      </c>
      <c r="G17" s="14">
        <v>16.735385999999998</v>
      </c>
      <c r="H17" s="14">
        <f t="array" ref="H17:K17">_xll.FDSRC("-",$A17,"FE_TIMESERIES(PROD_DAY_OIL_ONLY,MEAN,2019/1F,2019/4F,FQ,'BKRACTMED=1,WIN=0,DATE=NOW')")</f>
        <v>18.954666</v>
      </c>
      <c r="I17" s="14">
        <v>21.336834</v>
      </c>
      <c r="J17" s="14">
        <v>23.949833000000002</v>
      </c>
      <c r="K17" s="14">
        <v>26.194668</v>
      </c>
    </row>
    <row r="18" spans="1:11" ht="18.75" x14ac:dyDescent="0.3">
      <c r="A18" s="12" t="s">
        <v>11</v>
      </c>
      <c r="B18" s="13" t="str">
        <f>_xll.FDS($A18,"FG_COMPANY_NAME")</f>
        <v>Parsley Energy, Inc. Class A</v>
      </c>
      <c r="C18" s="14">
        <f>IFERROR(IFERROR(_xll.FDS($A18,"FF_OG_PROD_DAY(QTR_R_OIL_BOE,"&amp;Current_Quarter&amp;")"),_xll.FDS($A18,"FF_OG_PROD_TOT_NET(QTR_R_OIL_BOE,"&amp;Current_Quarter&amp;")")/Inputs!$C$20),0)</f>
        <v>51.489130434782609</v>
      </c>
      <c r="D18" s="14">
        <f t="array" ref="D18:G18">_xll.FDSRC("-",$A18,"FE_TIMESERIES(PROD_DAY_OIL_ONLY,MEAN,2018/1F,2018/4F,FQ,'BKRACTMED=1,WIN=0,DATE=NOW')")</f>
        <v>54.658783</v>
      </c>
      <c r="E18" s="14">
        <v>63.347977</v>
      </c>
      <c r="F18" s="14">
        <v>71.42183</v>
      </c>
      <c r="G18" s="14">
        <v>78.513084000000006</v>
      </c>
      <c r="H18" s="14">
        <f t="array" ref="H18:K18">_xll.FDSRC("-",$A18,"FE_TIMESERIES(PROD_DAY_OIL_ONLY,MEAN,2019/1F,2019/4F,FQ,'BKRACTMED=1,WIN=0,DATE=NOW')")</f>
        <v>83.905395999999996</v>
      </c>
      <c r="I18" s="14">
        <v>89.534019999999998</v>
      </c>
      <c r="J18" s="14">
        <v>95.296840000000003</v>
      </c>
      <c r="K18" s="14">
        <v>100.444084</v>
      </c>
    </row>
    <row r="19" spans="1:11" ht="18.75" x14ac:dyDescent="0.3">
      <c r="A19" s="12" t="s">
        <v>10</v>
      </c>
      <c r="B19" s="13" t="str">
        <f>_xll.FDS($A19,"FG_COMPANY_NAME")</f>
        <v>Laredo Petroleum, Inc.</v>
      </c>
      <c r="C19" s="14">
        <f>IFERROR(IFERROR(_xll.FDS($A19,"FF_OG_PROD_DAY(QTR_R_OIL_BOE,"&amp;Current_Quarter&amp;")"),_xll.FDS($A19,"FF_OG_PROD_TOT_NET(QTR_R_OIL_BOE,"&amp;Current_Quarter&amp;")")/Inputs!$C$20),0)</f>
        <v>26.6265</v>
      </c>
      <c r="D19" s="14">
        <f t="array" ref="D19:G19">_xll.FDSRC("-",$A19,"FE_TIMESERIES(PROD_DAY_OIL_ONLY,MEAN,2018/1F,2018/4F,FQ,'BKRACTMED=1,WIN=0,DATE=NOW')")</f>
        <v>27.127918000000001</v>
      </c>
      <c r="E19" s="14">
        <v>28.061406999999999</v>
      </c>
      <c r="F19" s="14">
        <v>28.987753000000001</v>
      </c>
      <c r="G19" s="14">
        <v>30.191133000000001</v>
      </c>
      <c r="H19" s="14">
        <f t="array" ref="H19:K19">_xll.FDSRC("-",$A19,"FE_TIMESERIES(PROD_DAY_OIL_ONLY,MEAN,2019/1F,2019/4F,FQ,'BKRACTMED=1,WIN=0,DATE=NOW')")</f>
        <v>31.478363000000002</v>
      </c>
      <c r="I19" s="14">
        <v>32.289634999999997</v>
      </c>
      <c r="J19" s="14">
        <v>32.987183000000002</v>
      </c>
      <c r="K19" s="14">
        <v>33.667636999999999</v>
      </c>
    </row>
    <row r="20" spans="1:11" ht="18.75" x14ac:dyDescent="0.3">
      <c r="A20" s="12" t="s">
        <v>13</v>
      </c>
      <c r="B20" s="13" t="str">
        <f>_xll.FDS($A20,"FG_COMPANY_NAME")</f>
        <v>Noble Energy, Inc.</v>
      </c>
      <c r="C20" s="14">
        <f>IFERROR(IFERROR(_xll.FDS($A20,"FF_OG_PROD_DAY(QTR_R_OIL_BOE,"&amp;Current_Quarter&amp;")"),_xll.FDS($A20,"FF_OG_PROD_TOT_NET(QTR_R_OIL_BOE,"&amp;Current_Quarter&amp;")")/Inputs!$C$20),0)</f>
        <v>141</v>
      </c>
      <c r="D20" s="14">
        <f t="array" ref="D20:G20">_xll.FDSRC("-",$A20,"FE_TIMESERIES(PROD_DAY_OIL_ONLY,MEAN,2018/1F,2018/4F,FQ,'BKRACTMED=1,WIN=0,DATE=NOW')")</f>
        <v>139.73294000000001</v>
      </c>
      <c r="E20" s="14">
        <v>137.65799999999999</v>
      </c>
      <c r="F20" s="14">
        <v>135.01085</v>
      </c>
      <c r="G20" s="14">
        <v>140.86446000000001</v>
      </c>
      <c r="H20" s="14">
        <f t="array" ref="H20:K20">_xll.FDSRC("-",$A20,"FE_TIMESERIES(PROD_DAY_OIL_ONLY,MEAN,2019/1F,2019/4F,FQ,'BKRACTMED=1,WIN=0,DATE=NOW')")</f>
        <v>147.41667000000001</v>
      </c>
      <c r="I20" s="14">
        <v>153.86144999999999</v>
      </c>
      <c r="J20" s="14">
        <v>160.44632999999999</v>
      </c>
      <c r="K20" s="14">
        <v>168.6121</v>
      </c>
    </row>
    <row r="21" spans="1:11" ht="18.75" x14ac:dyDescent="0.3">
      <c r="A21" s="12" t="s">
        <v>20</v>
      </c>
      <c r="B21" s="13" t="str">
        <f>_xll.FDS($A21,"FG_COMPANY_NAME")</f>
        <v>Callon Petroleum Company</v>
      </c>
      <c r="C21" s="14">
        <f>IFERROR(IFERROR(_xll.FDS($A21,"FF_OG_PROD_DAY(QTR_R_OIL_BOE,"&amp;Current_Quarter&amp;")"),_xll.FDS($A21,"FF_OG_PROD_TOT_NET(QTR_R_OIL_BOE,"&amp;Current_Quarter&amp;")")/Inputs!$C$20),0)</f>
        <v>20.9437</v>
      </c>
      <c r="D21" s="14">
        <f t="array" ref="D21:G21">_xll.FDSRC("-",$A21,"FE_TIMESERIES(PROD_DAY_OIL_ONLY,MEAN,2018/1F,2018/4F,FQ,'BKRACTMED=1,WIN=0,DATE=NOW')")</f>
        <v>21.225883</v>
      </c>
      <c r="E21" s="14">
        <v>23.751753000000001</v>
      </c>
      <c r="F21" s="14">
        <v>25.729841</v>
      </c>
      <c r="G21" s="14">
        <v>27.246711999999999</v>
      </c>
      <c r="H21" s="14">
        <f t="array" ref="H21:K21">_xll.FDSRC("-",$A21,"FE_TIMESERIES(PROD_DAY_OIL_ONLY,MEAN,2019/1F,2019/4F,FQ,'BKRACTMED=1,WIN=0,DATE=NOW')")</f>
        <v>29.058499999999999</v>
      </c>
      <c r="I21" s="14">
        <v>31.421417000000002</v>
      </c>
      <c r="J21" s="14">
        <v>33.539164999999997</v>
      </c>
      <c r="K21" s="14">
        <v>35.783749999999998</v>
      </c>
    </row>
    <row r="22" spans="1:11" ht="18.75" x14ac:dyDescent="0.3">
      <c r="A22" s="12" t="s">
        <v>39</v>
      </c>
      <c r="B22" s="13" t="str">
        <f>_xll.FDS($A22,"FG_COMPANY_NAME")</f>
        <v>Apache Corporation</v>
      </c>
      <c r="C22" s="14">
        <f>IFERROR(IFERROR(_xll.FDS($A22,"FF_OG_PROD_DAY(QTR_R_OIL_BOE,"&amp;Current_Quarter&amp;")"),_xll.FDS($A22,"FF_OG_PROD_TOT_NET(QTR_R_OIL_BOE,"&amp;Current_Quarter&amp;")")/Inputs!$C$20),0)</f>
        <v>242.58</v>
      </c>
      <c r="D22" s="14">
        <f t="array" ref="D22:G22">_xll.FDSRC("-",$A22,"FE_TIMESERIES(PROD_DAY_OIL_ONLY,MEAN,2018/1F,2018/4F,FQ,'BKRACTMED=1,WIN=0,DATE=NOW')")</f>
        <v>232.68691999999999</v>
      </c>
      <c r="E22" s="14">
        <v>234.66434000000001</v>
      </c>
      <c r="F22" s="14">
        <v>238.94046</v>
      </c>
      <c r="G22" s="14">
        <v>229.00484</v>
      </c>
      <c r="H22" s="14">
        <f t="array" ref="H22:K22">_xll.FDSRC("-",$A22,"FE_TIMESERIES(PROD_DAY_OIL_ONLY,MEAN,2019/1F,2019/4F,FQ,'BKRACTMED=1,WIN=0,DATE=NOW')")</f>
        <v>238.62976</v>
      </c>
      <c r="I22" s="14">
        <v>240.31213</v>
      </c>
      <c r="J22" s="14">
        <v>242.09675999999999</v>
      </c>
      <c r="K22" s="14">
        <v>244.46261999999999</v>
      </c>
    </row>
    <row r="23" spans="1:11" ht="18.75" x14ac:dyDescent="0.3">
      <c r="A23" s="12" t="s">
        <v>42</v>
      </c>
      <c r="B23" s="13" t="str">
        <f>_xll.FDS($A23,"FG_COMPANY_NAME")</f>
        <v>Earthstone Energy, Inc. Class A</v>
      </c>
      <c r="C23" s="14">
        <f>IFERROR(IFERROR(_xll.FDS($A23,"FF_OG_PROD_DAY(QTR_R_OIL_BOE,"&amp;Current_Quarter&amp;")"),_xll.FDS($A23,"FF_OG_PROD_TOT_NET(QTR_R_OIL_BOE,"&amp;Current_Quarter&amp;")")/Inputs!$C$20),0)</f>
        <v>5.7391304347826084</v>
      </c>
      <c r="D23" s="14">
        <f t="array" ref="D23:G23">_xll.FDSRC("-",$A23,"FE_TIMESERIES(PROD_DAY_OIL_ONLY,MEAN,2018/1F,2018/4F,FQ,'BKRACTMED=1,WIN=0,DATE=NOW')")</f>
        <v>6.6001250000000002</v>
      </c>
      <c r="E23" s="14">
        <v>7.1886253</v>
      </c>
      <c r="F23" s="14">
        <v>8.1817499999999992</v>
      </c>
      <c r="G23" s="14">
        <v>9.0063750000000002</v>
      </c>
      <c r="H23" s="14">
        <f t="array" ref="H23:K23">_xll.FDSRC("-",$A23,"FE_TIMESERIES(PROD_DAY_OIL_ONLY,MEAN,2019/1F,2019/4F,FQ,'BKRACTMED=1,WIN=0,DATE=NOW')")</f>
        <v>9.6115999999999993</v>
      </c>
      <c r="I23" s="14">
        <v>10.468800999999999</v>
      </c>
      <c r="J23" s="14">
        <v>11.3934</v>
      </c>
      <c r="K23" s="14">
        <v>12.333799000000001</v>
      </c>
    </row>
    <row r="24" spans="1:11" ht="18.75" x14ac:dyDescent="0.3">
      <c r="A24" s="12" t="s">
        <v>41</v>
      </c>
      <c r="B24" s="13" t="str">
        <f>_xll.FDS($A24,"FG_COMPANY_NAME")</f>
        <v>Resolute Energy Corporation</v>
      </c>
      <c r="C24" s="14">
        <f>IFERROR(IFERROR(_xll.FDS($A24,"FF_OG_PROD_DAY(QTR_R_OIL_BOE,"&amp;Current_Quarter&amp;")"),_xll.FDS($A24,"FF_OG_PROD_TOT_NET(QTR_R_OIL_BOE,"&amp;Current_Quarter&amp;")")/Inputs!$C$20),0)</f>
        <v>14.467391304347826</v>
      </c>
      <c r="D24" s="14">
        <f t="array" ref="D24:G24">_xll.FDSRC("-",$A24,"FE_TIMESERIES(PROD_DAY_OIL_ONLY,MEAN,2018/1F,2018/4F,FQ,'BKRACTMED=1,WIN=0,DATE=NOW')")</f>
        <v>11.977786999999999</v>
      </c>
      <c r="E24" s="14">
        <v>14.102600000000001</v>
      </c>
      <c r="F24" s="14">
        <v>18.15325</v>
      </c>
      <c r="G24" s="14">
        <v>21.423538000000001</v>
      </c>
      <c r="H24" s="14">
        <f t="array" ref="H24:K24">_xll.FDSRC("-",$A24,"FE_TIMESERIES(PROD_DAY_OIL_ONLY,MEAN,2019/1F,2019/4F,FQ,'BKRACTMED=1,WIN=0,DATE=NOW')")</f>
        <v>22.395332</v>
      </c>
      <c r="I24" s="14">
        <v>23.128166</v>
      </c>
      <c r="J24" s="14">
        <v>23.877333</v>
      </c>
      <c r="K24" s="14">
        <v>24.834499999999998</v>
      </c>
    </row>
    <row r="25" spans="1:11" ht="18.75" x14ac:dyDescent="0.3">
      <c r="A25" s="12" t="s">
        <v>40</v>
      </c>
      <c r="B25" s="13" t="str">
        <f>_xll.FDS($A25,"FG_COMPANY_NAME")</f>
        <v>Approach Resources Inc.</v>
      </c>
      <c r="C25" s="14">
        <f>IFERROR(IFERROR(_xll.FDS($A25,"FF_OG_PROD_DAY(QTR_R_OIL_BOE,"&amp;Current_Quarter&amp;")"),_xll.FDS($A25,"FF_OG_PROD_TOT_NET(QTR_R_OIL_BOE,"&amp;Current_Quarter&amp;")")/Inputs!$C$20),0)</f>
        <v>2.9</v>
      </c>
      <c r="D25" s="14">
        <f t="array" ref="D25:G25">_xll.FDSRC("-",$A25,"FE_TIMESERIES(PROD_DAY_OIL_ONLY,MEAN,2018/1F,2018/4F,FQ,'BKRACTMED=1,WIN=0,DATE=NOW')")</f>
        <v>2.9312</v>
      </c>
      <c r="E25" s="14">
        <v>3.2606000000000002</v>
      </c>
      <c r="F25" s="14">
        <v>3.3841999</v>
      </c>
      <c r="G25" s="14">
        <v>3.4862000000000002</v>
      </c>
      <c r="H25" s="14">
        <f t="array" ref="H25:K25">_xll.FDSRC("-",$A25,"FE_TIMESERIES(PROD_DAY_OIL_ONLY,MEAN,2019/1F,2019/4F,FQ,'BKRACTMED=1,WIN=0,DATE=NOW')")</f>
        <v>3.5002499999999999</v>
      </c>
      <c r="I25" s="14">
        <v>3.5665002000000001</v>
      </c>
      <c r="J25" s="14">
        <v>3.6549999999999998</v>
      </c>
      <c r="K25" s="14">
        <v>3.7207498999999999</v>
      </c>
    </row>
    <row r="26" spans="1:11" ht="18.75" x14ac:dyDescent="0.3">
      <c r="A26" s="12" t="s">
        <v>18</v>
      </c>
      <c r="B26" s="13" t="str">
        <f>_xll.FDS($A26,"FG_COMPANY_NAME")</f>
        <v>SM Energy Company</v>
      </c>
      <c r="C26" s="14">
        <f>IFERROR(IFERROR(_xll.FDS($A26,"FF_OG_PROD_DAY(QTR_R_OIL_BOE,"&amp;Current_Quarter&amp;")"),_xll.FDS($A26,"FF_OG_PROD_TOT_NET(QTR_R_OIL_BOE,"&amp;Current_Quarter&amp;")")/Inputs!$C$20),0)</f>
        <v>41.5</v>
      </c>
      <c r="D26" s="14">
        <f t="array" ref="D26:G26">_xll.FDSRC("-",$A26,"FE_TIMESERIES(PROD_DAY_OIL_ONLY,MEAN,2018/1F,2018/4F,FQ,'BKRACTMED=1,WIN=0,DATE=NOW')")</f>
        <v>45.192734000000002</v>
      </c>
      <c r="E26" s="14">
        <v>46.037613</v>
      </c>
      <c r="F26" s="14">
        <v>52.589806000000003</v>
      </c>
      <c r="G26" s="14">
        <v>57.552500000000002</v>
      </c>
      <c r="H26" s="14">
        <f t="array" ref="H26:K26">_xll.FDSRC("-",$A26,"FE_TIMESERIES(PROD_DAY_OIL_ONLY,MEAN,2019/1F,2019/4F,FQ,'BKRACTMED=1,WIN=0,DATE=NOW')")</f>
        <v>61.110770000000002</v>
      </c>
      <c r="I26" s="14">
        <v>64.310074</v>
      </c>
      <c r="J26" s="14">
        <v>68.038229999999999</v>
      </c>
      <c r="K26" s="14">
        <v>71.325689999999994</v>
      </c>
    </row>
    <row r="27" spans="1:11" ht="18.75" x14ac:dyDescent="0.3">
      <c r="A27" s="12" t="s">
        <v>19</v>
      </c>
      <c r="B27" s="13" t="str">
        <f>_xll.FDS($A27,"FG_COMPANY_NAME")</f>
        <v>PDC Energy Inc</v>
      </c>
      <c r="C27" s="14">
        <f>IFERROR(IFERROR(_xll.FDS($A27,"FF_OG_PROD_DAY(QTR_R_OIL_BOE,"&amp;Current_Quarter&amp;")"),_xll.FDS($A27,"FF_OG_PROD_TOT_NET(QTR_R_OIL_BOE,"&amp;Current_Quarter&amp;")")/Inputs!$C$20),0)</f>
        <v>40.413043478260867</v>
      </c>
      <c r="D27" s="14">
        <f t="array" ref="D27:G27">_xll.FDSRC("-",$A27,"FE_TIMESERIES(PROD_DAY_OIL_ONLY,MEAN,2018/1F,2018/4F,FQ,'BKRACTMED=1,WIN=0,DATE=NOW')")</f>
        <v>41.375120000000003</v>
      </c>
      <c r="E27" s="14">
        <v>44.489460000000001</v>
      </c>
      <c r="F27" s="14">
        <v>48.471380000000003</v>
      </c>
      <c r="G27" s="14">
        <v>52.962569999999999</v>
      </c>
      <c r="H27" s="14">
        <f t="array" ref="H27:K27">_xll.FDSRC("-",$A27,"FE_TIMESERIES(PROD_DAY_OIL_ONLY,MEAN,2019/1F,2019/4F,FQ,'BKRACTMED=1,WIN=0,DATE=NOW')")</f>
        <v>55.992187999999999</v>
      </c>
      <c r="I27" s="14">
        <v>59.608584999999998</v>
      </c>
      <c r="J27" s="14">
        <v>63.971114999999998</v>
      </c>
      <c r="K27" s="14">
        <v>67.706055000000006</v>
      </c>
    </row>
    <row r="28" spans="1:11" ht="18.75" x14ac:dyDescent="0.3">
      <c r="A28" s="12" t="s">
        <v>17</v>
      </c>
      <c r="B28" s="13" t="str">
        <f>_xll.FDS($A28,"FG_COMPANY_NAME")</f>
        <v>Carrizo Oil &amp; Gas, Inc.</v>
      </c>
      <c r="C28" s="14">
        <f>IFERROR(IFERROR(_xll.FDS($A28,"FF_OG_PROD_DAY(QTR_R_OIL_BOE,"&amp;Current_Quarter&amp;")"),_xll.FDS($A28,"FF_OG_PROD_TOT_NET(QTR_R_OIL_BOE,"&amp;Current_Quarter&amp;")")/Inputs!$C$20),0)</f>
        <v>40.206000000000003</v>
      </c>
      <c r="D28" s="14">
        <f t="array" ref="D28:G28">_xll.FDSRC("-",$A28,"FE_TIMESERIES(PROD_DAY_OIL_ONLY,MEAN,2018/1F,2018/4F,FQ,'BKRACTMED=1,WIN=0,DATE=NOW')")</f>
        <v>33.040089999999999</v>
      </c>
      <c r="E28" s="14">
        <v>37.724606000000001</v>
      </c>
      <c r="F28" s="14">
        <v>41.757359999999998</v>
      </c>
      <c r="G28" s="14">
        <v>44.416339999999998</v>
      </c>
      <c r="H28" s="14">
        <f t="array" ref="H28:K28">_xll.FDSRC("-",$A28,"FE_TIMESERIES(PROD_DAY_OIL_ONLY,MEAN,2019/1F,2019/4F,FQ,'BKRACTMED=1,WIN=0,DATE=NOW')")</f>
        <v>45.378692999999998</v>
      </c>
      <c r="I28" s="14">
        <v>46.411769999999997</v>
      </c>
      <c r="J28" s="14">
        <v>47.469844999999999</v>
      </c>
      <c r="K28" s="14">
        <v>48.639538000000002</v>
      </c>
    </row>
    <row r="29" spans="1:11" ht="18.75" x14ac:dyDescent="0.3">
      <c r="A29" s="12" t="s">
        <v>5</v>
      </c>
      <c r="B29" s="13" t="str">
        <f>_xll.FDS($A29,"FG_COMPANY_NAME")</f>
        <v>QEP Resources, Inc.</v>
      </c>
      <c r="C29" s="14">
        <f>IFERROR(IFERROR(_xll.FDS($A29,"FF_OG_PROD_DAY(QTR_R_OIL_BOE,"&amp;Current_Quarter&amp;")"),_xll.FDS($A29,"FF_OG_PROD_TOT_NET(QTR_R_OIL_BOE,"&amp;Current_Quarter&amp;")")/Inputs!$C$20),0)</f>
        <v>56.963043478260872</v>
      </c>
      <c r="D29" s="14">
        <f t="array" ref="D29:G29">_xll.FDSRC("-",$A29,"FE_TIMESERIES(PROD_DAY_OIL_ONLY,MEAN,2018/1F,2018/4F,FQ,'BKRACTMED=1,WIN=0,DATE=NOW')")</f>
        <v>52.631430000000002</v>
      </c>
      <c r="E29" s="14">
        <v>57.543914999999998</v>
      </c>
      <c r="F29" s="14">
        <v>64.42971</v>
      </c>
      <c r="G29" s="14">
        <v>65.778149999999997</v>
      </c>
      <c r="H29" s="14">
        <f t="array" ref="H29:K29">_xll.FDSRC("-",$A29,"FE_TIMESERIES(PROD_DAY_OIL_ONLY,MEAN,2019/1F,2019/4F,FQ,'BKRACTMED=1,WIN=0,DATE=NOW')")</f>
        <v>67.656850000000006</v>
      </c>
      <c r="I29" s="14">
        <v>70.238110000000006</v>
      </c>
      <c r="J29" s="14">
        <v>74.025859999999994</v>
      </c>
      <c r="K29" s="14">
        <v>76.203789999999998</v>
      </c>
    </row>
    <row r="30" spans="1:11" ht="18.75" x14ac:dyDescent="0.3">
      <c r="A30" s="12" t="s">
        <v>3</v>
      </c>
      <c r="B30" s="13" t="str">
        <f>_xll.FDS($A30,"FG_COMPANY_NAME")</f>
        <v>EP Energy Corp. Class A</v>
      </c>
      <c r="C30" s="14">
        <f>IFERROR(IFERROR(_xll.FDS($A30,"FF_OG_PROD_DAY(QTR_R_OIL_BOE,"&amp;Current_Quarter&amp;")"),_xll.FDS($A30,"FF_OG_PROD_TOT_NET(QTR_R_OIL_BOE,"&amp;Current_Quarter&amp;")")/Inputs!$C$20),0)</f>
        <v>43.6</v>
      </c>
      <c r="D30" s="14">
        <f t="array" ref="D30:G30">_xll.FDSRC("-",$A30,"FE_TIMESERIES(PROD_DAY_OIL_ONLY,MEAN,2018/1F,2018/4F,FQ,'BKRACTMED=1,WIN=0,DATE=NOW')")</f>
        <v>43.993769999999998</v>
      </c>
      <c r="E30" s="14">
        <v>47.071710000000003</v>
      </c>
      <c r="F30" s="14">
        <v>48.625100000000003</v>
      </c>
      <c r="G30" s="14">
        <v>49.835290000000001</v>
      </c>
      <c r="H30" s="14">
        <f t="array" ref="H30:K30">_xll.FDSRC("-",$A30,"FE_TIMESERIES(PROD_DAY_OIL_ONLY,MEAN,2019/1F,2019/4F,FQ,'BKRACTMED=1,WIN=0,DATE=NOW')")</f>
        <v>50.371429999999997</v>
      </c>
      <c r="I30" s="14">
        <v>50.885714999999998</v>
      </c>
      <c r="J30" s="14">
        <v>51.528571999999997</v>
      </c>
      <c r="K30" s="14">
        <v>51.971428000000003</v>
      </c>
    </row>
    <row r="31" spans="1:11" ht="18.75" x14ac:dyDescent="0.3">
      <c r="A31" s="12" t="s">
        <v>86</v>
      </c>
      <c r="B31" s="13" t="str">
        <f>_xll.FDS($A31,"FG_COMPANY_NAME")</f>
        <v>Abraxas Petroleum Corporation</v>
      </c>
      <c r="C31" s="14">
        <f>IFERROR(IFERROR(_xll.FDS($A31,"FF_OG_PROD_DAY(QTR_R_OIL_BOE,"&amp;Current_Quarter&amp;")"),_xll.FDS($A31,"FF_OG_PROD_TOT_NET(QTR_R_OIL_BOE,"&amp;Current_Quarter&amp;")")/Inputs!$C$20),0)</f>
        <v>5.3250000000000002</v>
      </c>
      <c r="D31" s="14">
        <f t="array" ref="D31:G31">_xll.FDSRC("-",$A31,"FE_TIMESERIES(PROD_DAY_OIL_ONLY,MEAN,2018/1F,2018/4F,FQ,'BKRACTMED=1,WIN=0,DATE=NOW')")</f>
        <v>6.8006669999999998</v>
      </c>
      <c r="E31" s="14">
        <v>6.6123333000000004</v>
      </c>
      <c r="F31" s="14">
        <v>7.6176667</v>
      </c>
      <c r="G31" s="14">
        <v>8.1946670000000008</v>
      </c>
      <c r="H31" s="14">
        <f t="array" ref="H31:K31">_xll.FDSRC("-",$A31,"FE_TIMESERIES(PROD_DAY_OIL_ONLY,MEAN,2019/1F,2019/4F,FQ,'BKRACTMED=1,WIN=0,DATE=NOW')")</f>
        <v>8.0248000000000008</v>
      </c>
      <c r="I31" s="14">
        <v>8.0505999999999993</v>
      </c>
      <c r="J31" s="14">
        <v>8.4255999999999993</v>
      </c>
      <c r="K31" s="14">
        <v>9.0017999999999994</v>
      </c>
    </row>
    <row r="32" spans="1:11" ht="18.75" x14ac:dyDescent="0.3">
      <c r="A32" s="12" t="s">
        <v>87</v>
      </c>
      <c r="B32" s="13" t="str">
        <f>_xll.FDS($A32,"FG_COMPANY_NAME")</f>
        <v>ConocoPhillips</v>
      </c>
      <c r="C32" s="14">
        <f>IFERROR(IFERROR(_xll.FDS($A32,"FF_OG_PROD_DAY(QTR_R_OIL_BOE,"&amp;Current_Quarter&amp;")"),_xll.FDS($A32,"FF_OG_PROD_TOT_NET(QTR_R_OIL_BOE,"&amp;Current_Quarter&amp;")")/Inputs!$C$20),0)</f>
        <v>689</v>
      </c>
      <c r="D32" s="14">
        <f t="array" ref="D32:G32">_xll.FDSRC("-",$A32,"FE_TIMESERIES(PROD_DAY_OIL_ONLY,MEAN,2018/1F,2018/4F,FQ,'BKRACTMED=1,WIN=0,DATE=NOW')")</f>
        <v>605.04999999999995</v>
      </c>
      <c r="E32" s="14">
        <v>609.85</v>
      </c>
      <c r="F32" s="14">
        <v>598.95000000000005</v>
      </c>
      <c r="G32" s="14">
        <v>628.35</v>
      </c>
      <c r="H32" s="14" t="str">
        <f t="array" ref="H32:K32">_xll.FDSRC("-",$A32,"FE_TIMESERIES(PROD_DAY_OIL_ONLY,MEAN,2019/1F,2019/4F,FQ,'BKRACTMED=1,WIN=0,DATE=NOW')")</f>
        <v>-</v>
      </c>
      <c r="I32" s="14" t="str">
        <v>-</v>
      </c>
      <c r="J32" s="14" t="str">
        <v>-</v>
      </c>
      <c r="K32" s="14" t="str">
        <v>-</v>
      </c>
    </row>
    <row r="33" spans="1:11" ht="18.75" x14ac:dyDescent="0.3">
      <c r="A33" s="12" t="s">
        <v>88</v>
      </c>
      <c r="B33" s="13" t="str">
        <f>_xll.FDS($A33,"FG_COMPANY_NAME")</f>
        <v>U.S. Energy Corp.</v>
      </c>
      <c r="C33" s="14">
        <f>IFERROR(IFERROR(_xll.FDS($A33,"FF_OG_PROD_DAY(QTR_R_OIL_BOE,"&amp;Current_Quarter&amp;")"),_xll.FDS($A33,"FF_OG_PROD_TOT_NET(QTR_R_OIL_BOE,"&amp;Current_Quarter&amp;")")/Inputs!$C$20),0)</f>
        <v>0.18342391304347827</v>
      </c>
      <c r="D33" s="14" t="str">
        <f t="array" ref="D33:G33">_xll.FDSRC("-",$A33,"FE_TIMESERIES(PROD_DAY_OIL_ONLY,MEAN,2018/1F,2018/4F,FQ,'BKRACTMED=1,WIN=0,DATE=NOW')")</f>
        <v>-</v>
      </c>
      <c r="E33" s="14" t="str">
        <v>-</v>
      </c>
      <c r="F33" s="14" t="str">
        <v>-</v>
      </c>
      <c r="G33" s="14" t="str">
        <v>-</v>
      </c>
      <c r="H33" s="14" t="str">
        <f t="array" ref="H33:K33">_xll.FDSRC("-",$A33,"FE_TIMESERIES(PROD_DAY_OIL_ONLY,MEAN,2019/1F,2019/4F,FQ,'BKRACTMED=1,WIN=0,DATE=NOW')")</f>
        <v>-</v>
      </c>
      <c r="I33" s="14" t="str">
        <v>-</v>
      </c>
      <c r="J33" s="14" t="str">
        <v>-</v>
      </c>
      <c r="K33" s="14" t="str">
        <v>-</v>
      </c>
    </row>
    <row r="34" spans="1:11" ht="18.75" x14ac:dyDescent="0.3">
      <c r="D34" s="11"/>
      <c r="E34" s="11"/>
      <c r="F34" s="11"/>
      <c r="H34" s="11"/>
      <c r="K34" s="30"/>
    </row>
    <row r="35" spans="1:11" x14ac:dyDescent="0.25">
      <c r="C35" s="59"/>
      <c r="D35" s="60"/>
      <c r="E35" s="59"/>
      <c r="F35" s="60"/>
      <c r="G35" s="59"/>
      <c r="H35" s="60"/>
      <c r="I35" s="59"/>
      <c r="J35" s="60"/>
      <c r="K35" s="59"/>
    </row>
    <row r="36" spans="1:11" x14ac:dyDescent="0.25">
      <c r="D36" s="11"/>
    </row>
    <row r="37" spans="1:11" x14ac:dyDescent="0.25">
      <c r="E37" s="1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2"/>
  <sheetViews>
    <sheetView showGridLines="0" zoomScaleNormal="100" workbookViewId="0">
      <selection activeCell="C18" sqref="C18"/>
    </sheetView>
  </sheetViews>
  <sheetFormatPr defaultRowHeight="15" x14ac:dyDescent="0.25"/>
  <cols>
    <col min="1" max="1" width="16.28515625" style="1" customWidth="1"/>
    <col min="2" max="2" width="25.28515625" style="1" customWidth="1"/>
    <col min="3" max="4" width="16.28515625" style="1" customWidth="1"/>
    <col min="5" max="9" width="9.140625" style="1"/>
    <col min="13" max="16384" width="9.140625" style="1"/>
  </cols>
  <sheetData>
    <row r="1" spans="1:10 16378:16380" ht="15.75" thickBot="1" x14ac:dyDescent="0.3">
      <c r="B1" s="2" t="s">
        <v>27</v>
      </c>
      <c r="C1" s="3" t="s">
        <v>28</v>
      </c>
      <c r="D1" s="4" t="s">
        <v>29</v>
      </c>
      <c r="XEX1" s="1" t="s">
        <v>27</v>
      </c>
      <c r="XEY1" s="1" t="s">
        <v>28</v>
      </c>
      <c r="XEZ1" s="1" t="s">
        <v>29</v>
      </c>
    </row>
    <row r="2" spans="1:10 16378:16380" ht="15.75" thickBot="1" x14ac:dyDescent="0.3">
      <c r="B2" s="5">
        <v>4</v>
      </c>
      <c r="C2" s="6">
        <v>17</v>
      </c>
      <c r="D2" s="7">
        <v>2018</v>
      </c>
      <c r="H2" s="2"/>
      <c r="I2" s="3"/>
      <c r="J2" s="4"/>
      <c r="XEX2" s="1">
        <v>1</v>
      </c>
      <c r="XEY2" s="1">
        <v>1</v>
      </c>
      <c r="XEZ2" s="1">
        <v>2015</v>
      </c>
    </row>
    <row r="3" spans="1:10 16378:16380" ht="15.75" thickBot="1" x14ac:dyDescent="0.3">
      <c r="H3" s="5"/>
      <c r="I3" s="6"/>
      <c r="J3" s="7"/>
      <c r="XEX3" s="1">
        <v>2</v>
      </c>
      <c r="XEY3" s="1">
        <v>2</v>
      </c>
      <c r="XEZ3" s="1">
        <v>2016</v>
      </c>
    </row>
    <row r="4" spans="1:10 16378:16380" x14ac:dyDescent="0.25">
      <c r="J4" s="1"/>
      <c r="XEX4" s="1">
        <v>3</v>
      </c>
      <c r="XEY4" s="1">
        <v>3</v>
      </c>
      <c r="XEZ4" s="1">
        <v>2017</v>
      </c>
    </row>
    <row r="5" spans="1:10 16378:16380" x14ac:dyDescent="0.25">
      <c r="A5" s="10"/>
      <c r="B5" s="10"/>
      <c r="C5" s="10"/>
      <c r="D5" s="10"/>
      <c r="J5" s="1"/>
      <c r="XEX5" s="1">
        <v>4</v>
      </c>
      <c r="XEY5" s="1">
        <v>4</v>
      </c>
      <c r="XEZ5" s="1">
        <v>2018</v>
      </c>
    </row>
    <row r="6" spans="1:10 16378:16380" x14ac:dyDescent="0.25">
      <c r="A6" s="16" t="s">
        <v>30</v>
      </c>
      <c r="B6" s="54">
        <f>DATE(D2,B2,C2)</f>
        <v>43207</v>
      </c>
      <c r="C6" s="54"/>
      <c r="D6" s="54"/>
      <c r="J6" s="1"/>
      <c r="XEX6" s="1">
        <v>5</v>
      </c>
      <c r="XEY6" s="1">
        <v>5</v>
      </c>
    </row>
    <row r="7" spans="1:10 16378:16380" x14ac:dyDescent="0.25">
      <c r="A7" s="16" t="s">
        <v>31</v>
      </c>
      <c r="B7" s="55">
        <f>Date</f>
        <v>43207</v>
      </c>
      <c r="C7" s="55"/>
      <c r="D7" s="55"/>
      <c r="G7" s="36"/>
      <c r="H7" s="50"/>
      <c r="I7" s="50"/>
      <c r="J7" s="50"/>
      <c r="XEX7" s="1">
        <v>6</v>
      </c>
      <c r="XEY7" s="1">
        <v>6</v>
      </c>
    </row>
    <row r="8" spans="1:10 16378:16380" x14ac:dyDescent="0.25">
      <c r="A8" s="16" t="s">
        <v>32</v>
      </c>
      <c r="B8" s="56">
        <f>Date</f>
        <v>43207</v>
      </c>
      <c r="C8" s="56"/>
      <c r="D8" s="56"/>
      <c r="G8" s="36"/>
      <c r="H8" s="51"/>
      <c r="I8" s="51"/>
      <c r="J8" s="51"/>
      <c r="XEX8" s="1">
        <v>7</v>
      </c>
      <c r="XEY8" s="1">
        <v>7</v>
      </c>
    </row>
    <row r="9" spans="1:10 16378:16380" x14ac:dyDescent="0.25">
      <c r="A9" s="16" t="s">
        <v>27</v>
      </c>
      <c r="B9" s="57" t="str">
        <f>TEXT($B$6,"mmmm")</f>
        <v>April</v>
      </c>
      <c r="C9" s="57"/>
      <c r="D9" s="57"/>
      <c r="G9" s="36"/>
      <c r="H9" s="52"/>
      <c r="I9" s="52"/>
      <c r="J9" s="52"/>
      <c r="XEX9" s="1">
        <v>8</v>
      </c>
      <c r="XEY9" s="1">
        <v>8</v>
      </c>
    </row>
    <row r="10" spans="1:10 16378:16380" x14ac:dyDescent="0.25">
      <c r="A10" s="16" t="s">
        <v>33</v>
      </c>
      <c r="B10" s="57" t="str">
        <f>TEXT(WEEKDAY(B7,1),"dddd")</f>
        <v>Tuesday</v>
      </c>
      <c r="C10" s="57"/>
      <c r="D10" s="57"/>
      <c r="G10" s="36"/>
      <c r="H10" s="53"/>
      <c r="I10" s="53"/>
      <c r="J10" s="53"/>
      <c r="XEX10" s="1">
        <v>9</v>
      </c>
      <c r="XEY10" s="1">
        <v>9</v>
      </c>
    </row>
    <row r="11" spans="1:10 16378:16380" x14ac:dyDescent="0.25">
      <c r="A11" s="16" t="s">
        <v>51</v>
      </c>
      <c r="G11" s="36"/>
      <c r="H11" s="53"/>
      <c r="I11" s="53"/>
      <c r="J11" s="53"/>
      <c r="XEX11" s="1">
        <v>10</v>
      </c>
      <c r="XEY11" s="1">
        <v>10</v>
      </c>
    </row>
    <row r="12" spans="1:10 16378:16380" x14ac:dyDescent="0.25">
      <c r="XEX12" s="1">
        <v>11</v>
      </c>
      <c r="XEY12" s="1">
        <v>11</v>
      </c>
    </row>
    <row r="13" spans="1:10 16378:16380" x14ac:dyDescent="0.25">
      <c r="XEX13" s="1">
        <v>12</v>
      </c>
      <c r="XEY13" s="1">
        <v>12</v>
      </c>
    </row>
    <row r="14" spans="1:10 16378:16380" x14ac:dyDescent="0.25">
      <c r="B14" s="17" t="s">
        <v>44</v>
      </c>
      <c r="C14" s="17"/>
      <c r="XEY14" s="1">
        <v>13</v>
      </c>
    </row>
    <row r="15" spans="1:10 16378:16380" x14ac:dyDescent="0.25">
      <c r="B15" s="1" t="s">
        <v>45</v>
      </c>
      <c r="C15" s="18">
        <v>60</v>
      </c>
      <c r="XEY15" s="1">
        <v>14</v>
      </c>
    </row>
    <row r="16" spans="1:10 16378:16380" x14ac:dyDescent="0.25">
      <c r="B16" s="1" t="s">
        <v>46</v>
      </c>
      <c r="C16" s="18">
        <v>3</v>
      </c>
      <c r="XEY16" s="1">
        <v>15</v>
      </c>
    </row>
    <row r="17" spans="2:12 16379:16379" x14ac:dyDescent="0.25">
      <c r="B17" s="1" t="s">
        <v>47</v>
      </c>
      <c r="C17" s="18">
        <v>28</v>
      </c>
      <c r="XEY17" s="1">
        <v>16</v>
      </c>
    </row>
    <row r="18" spans="2:12 16379:16379" x14ac:dyDescent="0.25">
      <c r="XEY18" s="1">
        <v>17</v>
      </c>
    </row>
    <row r="19" spans="2:12 16379:16379" x14ac:dyDescent="0.25">
      <c r="B19" s="17" t="s">
        <v>63</v>
      </c>
      <c r="C19" s="17"/>
      <c r="XEY19" s="1">
        <v>18</v>
      </c>
    </row>
    <row r="20" spans="2:12 16379:16379" ht="15" customHeight="1" x14ac:dyDescent="0.25">
      <c r="B20" s="1" t="s">
        <v>52</v>
      </c>
      <c r="C20" s="35">
        <f>_xll.FDS("CXO-US","FF_FY_LENGTH_DAYS(QTR_R,0)")</f>
        <v>92</v>
      </c>
      <c r="G20" s="11"/>
      <c r="XEY20" s="1">
        <v>19</v>
      </c>
    </row>
    <row r="21" spans="2:12 16379:16379" ht="15" customHeight="1" x14ac:dyDescent="0.25">
      <c r="B21" s="1" t="s">
        <v>83</v>
      </c>
      <c r="C21" s="35" t="str">
        <f>_xll.FDS("CXO","FF_FISCAL_DATE(QTR_R,0,,,,Date)")</f>
        <v>12/2017</v>
      </c>
      <c r="D21" s="25"/>
      <c r="E21" s="25"/>
      <c r="XEY21" s="1">
        <v>20</v>
      </c>
    </row>
    <row r="22" spans="2:12 16379:16379" x14ac:dyDescent="0.25">
      <c r="B22" s="1" t="s">
        <v>64</v>
      </c>
      <c r="C22" s="34" t="str">
        <f>_xll.FDS("CXO","FF_FISCAL_DATE(QTR_R,-3AM,,,,Date)")</f>
        <v>09/2017</v>
      </c>
      <c r="XEY22" s="1">
        <v>21</v>
      </c>
    </row>
    <row r="23" spans="2:12 16379:16379" x14ac:dyDescent="0.25">
      <c r="XEY23" s="1">
        <v>22</v>
      </c>
    </row>
    <row r="24" spans="2:12 16379:16379" x14ac:dyDescent="0.25">
      <c r="XEY24" s="1">
        <v>23</v>
      </c>
    </row>
    <row r="25" spans="2:12 16379:16379" x14ac:dyDescent="0.25">
      <c r="XEY25" s="1">
        <v>24</v>
      </c>
    </row>
    <row r="26" spans="2:12 16379:16379" x14ac:dyDescent="0.25">
      <c r="C26" s="38"/>
      <c r="D26" s="11"/>
      <c r="XEY26" s="1">
        <v>25</v>
      </c>
    </row>
    <row r="27" spans="2:12 16379:16379" x14ac:dyDescent="0.25">
      <c r="XEY27" s="1">
        <v>26</v>
      </c>
    </row>
    <row r="28" spans="2:12 16379:16379" x14ac:dyDescent="0.25">
      <c r="B28" s="8"/>
      <c r="C28" s="37"/>
      <c r="XEY28" s="1">
        <v>27</v>
      </c>
    </row>
    <row r="29" spans="2:12 16379:16379" x14ac:dyDescent="0.25">
      <c r="C29" s="11"/>
      <c r="XEY29" s="1">
        <v>28</v>
      </c>
    </row>
    <row r="30" spans="2:12 16379:16379" x14ac:dyDescent="0.25">
      <c r="J30" s="1"/>
      <c r="K30" s="1"/>
      <c r="L30" s="1"/>
      <c r="XEY30" s="1">
        <v>29</v>
      </c>
    </row>
    <row r="31" spans="2:12 16379:16379" x14ac:dyDescent="0.25">
      <c r="C31" s="11"/>
      <c r="XEY31" s="1">
        <v>30</v>
      </c>
    </row>
    <row r="32" spans="2:12 16379:16379" x14ac:dyDescent="0.25">
      <c r="XEY32" s="1">
        <v>31</v>
      </c>
    </row>
  </sheetData>
  <mergeCells count="10">
    <mergeCell ref="B6:D6"/>
    <mergeCell ref="B7:D7"/>
    <mergeCell ref="B8:D8"/>
    <mergeCell ref="B9:D9"/>
    <mergeCell ref="B10:D10"/>
    <mergeCell ref="H7:J7"/>
    <mergeCell ref="H8:J8"/>
    <mergeCell ref="H9:J9"/>
    <mergeCell ref="H10:J10"/>
    <mergeCell ref="H11:J11"/>
  </mergeCells>
  <dataValidations count="4">
    <dataValidation type="list" allowBlank="1" showInputMessage="1" showErrorMessage="1" sqref="D2">
      <formula1>$XEZ$2:$XEZ$5</formula1>
    </dataValidation>
    <dataValidation type="list" allowBlank="1" showInputMessage="1" showErrorMessage="1" sqref="C2 I3">
      <formula1>List_Day</formula1>
    </dataValidation>
    <dataValidation type="list" allowBlank="1" showInputMessage="1" showErrorMessage="1" sqref="B2 H3">
      <formula1>List_Month</formula1>
    </dataValidation>
    <dataValidation type="list" allowBlank="1" showInputMessage="1" showErrorMessage="1" sqref="J3">
      <formula1>R3:R6</formula1>
    </dataValidation>
  </dataValidations>
  <pageMargins left="0.7" right="0.7" top="0.75" bottom="0.75" header="0.3" footer="0.3"/>
  <pageSetup paperSize="239"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9"/>
  <sheetViews>
    <sheetView showGridLines="0" zoomScale="85" zoomScaleNormal="85" workbookViewId="0">
      <pane xSplit="2" ySplit="1" topLeftCell="C8" activePane="bottomRight" state="frozen"/>
      <selection activeCell="A30" sqref="A30"/>
      <selection pane="topRight" activeCell="A30" sqref="A30"/>
      <selection pane="bottomLeft" activeCell="A30" sqref="A30"/>
      <selection pane="bottomRight" activeCell="C34" sqref="C34"/>
    </sheetView>
  </sheetViews>
  <sheetFormatPr defaultRowHeight="15" x14ac:dyDescent="0.25"/>
  <cols>
    <col min="1" max="1" width="11.28515625" style="8" customWidth="1"/>
    <col min="2" max="2" width="34" style="9" customWidth="1"/>
    <col min="3" max="3" width="20.5703125" style="10" customWidth="1"/>
    <col min="4" max="4" width="16.7109375" style="10" bestFit="1" customWidth="1"/>
    <col min="5" max="5" width="18.85546875" style="10" customWidth="1"/>
    <col min="6" max="6" width="18.28515625" style="10" customWidth="1"/>
    <col min="7" max="7" width="20.5703125" customWidth="1"/>
    <col min="8" max="8" width="26.140625" style="20" customWidth="1"/>
    <col min="9" max="9" width="25.140625" style="20" customWidth="1"/>
    <col min="10" max="10" width="15.7109375" style="1" customWidth="1"/>
    <col min="11" max="11" width="20.7109375" customWidth="1"/>
    <col min="12" max="13" width="19.28515625" customWidth="1"/>
    <col min="14" max="18" width="19.42578125" customWidth="1"/>
    <col min="19" max="19" width="18.28515625" customWidth="1"/>
    <col min="20" max="20" width="16.140625" customWidth="1"/>
    <col min="21" max="22" width="10.5703125" bestFit="1" customWidth="1"/>
    <col min="23" max="23" width="7" bestFit="1" customWidth="1"/>
    <col min="24" max="28" width="12.85546875" customWidth="1"/>
    <col min="29" max="29" width="19.7109375" customWidth="1"/>
    <col min="30" max="30" width="18.28515625" bestFit="1" customWidth="1"/>
    <col min="31" max="31" width="21" customWidth="1"/>
    <col min="32" max="32" width="21" style="1" customWidth="1"/>
    <col min="33" max="35" width="21" customWidth="1"/>
    <col min="36" max="36" width="14.85546875" customWidth="1"/>
    <col min="37" max="37" width="14.85546875" style="1" customWidth="1"/>
    <col min="38" max="38" width="16.7109375" customWidth="1"/>
    <col min="39" max="40" width="19.85546875" bestFit="1" customWidth="1"/>
    <col min="41" max="41" width="12.28515625" bestFit="1" customWidth="1"/>
    <col min="42" max="42" width="13" bestFit="1" customWidth="1"/>
    <col min="43" max="43" width="16.5703125" bestFit="1" customWidth="1"/>
  </cols>
  <sheetData>
    <row r="1" spans="1:43" ht="67.5" customHeight="1" x14ac:dyDescent="0.25">
      <c r="A1" s="22" t="s">
        <v>0</v>
      </c>
      <c r="B1" s="22" t="s">
        <v>1</v>
      </c>
      <c r="C1" s="22" t="s">
        <v>48</v>
      </c>
      <c r="D1" s="22" t="s">
        <v>49</v>
      </c>
      <c r="E1" s="22" t="s">
        <v>50</v>
      </c>
      <c r="F1" s="22" t="s">
        <v>34</v>
      </c>
      <c r="G1" s="22" t="s">
        <v>54</v>
      </c>
      <c r="H1" s="23" t="s">
        <v>53</v>
      </c>
      <c r="I1" s="23" t="s">
        <v>103</v>
      </c>
      <c r="J1" s="22" t="s">
        <v>55</v>
      </c>
      <c r="K1" s="22" t="s">
        <v>57</v>
      </c>
      <c r="L1" s="22" t="s">
        <v>58</v>
      </c>
      <c r="M1" s="22" t="s">
        <v>59</v>
      </c>
      <c r="N1" s="22" t="s">
        <v>60</v>
      </c>
      <c r="O1" s="22" t="s">
        <v>66</v>
      </c>
      <c r="P1" s="22" t="s">
        <v>67</v>
      </c>
      <c r="Q1" s="22" t="s">
        <v>68</v>
      </c>
      <c r="R1" s="22" t="s">
        <v>65</v>
      </c>
      <c r="S1" s="22" t="s">
        <v>62</v>
      </c>
      <c r="T1" s="22" t="s">
        <v>61</v>
      </c>
      <c r="U1" s="22" t="s">
        <v>22</v>
      </c>
      <c r="V1" s="22" t="s">
        <v>23</v>
      </c>
      <c r="W1" s="22" t="s">
        <v>70</v>
      </c>
      <c r="X1" s="22" t="s">
        <v>71</v>
      </c>
      <c r="Y1" s="22" t="s">
        <v>24</v>
      </c>
      <c r="Z1" s="22" t="s">
        <v>25</v>
      </c>
      <c r="AA1" s="22" t="s">
        <v>26</v>
      </c>
      <c r="AB1" s="22" t="s">
        <v>69</v>
      </c>
      <c r="AC1" s="22" t="s">
        <v>72</v>
      </c>
      <c r="AD1" s="22" t="s">
        <v>73</v>
      </c>
      <c r="AE1" s="22" t="s">
        <v>74</v>
      </c>
      <c r="AF1" s="22" t="s">
        <v>80</v>
      </c>
      <c r="AG1" s="22" t="s">
        <v>75</v>
      </c>
      <c r="AH1" s="22" t="s">
        <v>76</v>
      </c>
      <c r="AI1" s="22" t="s">
        <v>77</v>
      </c>
      <c r="AJ1" s="22" t="s">
        <v>79</v>
      </c>
      <c r="AK1" s="22" t="s">
        <v>78</v>
      </c>
      <c r="AL1" s="22" t="s">
        <v>81</v>
      </c>
      <c r="AM1" s="22" t="s">
        <v>89</v>
      </c>
      <c r="AN1" s="22" t="s">
        <v>90</v>
      </c>
      <c r="AO1" s="22" t="s">
        <v>91</v>
      </c>
      <c r="AP1" s="22" t="s">
        <v>92</v>
      </c>
      <c r="AQ1" s="22" t="s">
        <v>93</v>
      </c>
    </row>
    <row r="2" spans="1:43" ht="18.75" x14ac:dyDescent="0.3">
      <c r="A2" s="12" t="s">
        <v>39</v>
      </c>
      <c r="B2" s="13" t="str">
        <f>_xll.FDS($A2,"FG_COMPANY_NAME")</f>
        <v>Apache Corporation</v>
      </c>
      <c r="C2" s="14">
        <f>IFERROR(IFERROR(_xll.FDS($A2,"FF_OG_PROD_DAY(QTR_R_OIL_BOE,"&amp;Current_Quarter&amp;")"),_xll.FDS($A2,"FF_OG_PROD_TOT_NET(QTR_R_OIL_BOE,"&amp;Current_Quarter&amp;")")/Inputs!$C$20),0)</f>
        <v>242.58</v>
      </c>
      <c r="D2" s="15">
        <f>IFERROR(IFERROR(_xll.FDS($A2,"FF_OG_PROD_DAY(QTR_R_NG_CFE,"&amp;Current_Quarter&amp;")")/1000,_xll.FDS($A2,"FF_OG_PROD_TOT_NET(QTR_R_NG_CFE,"&amp;Current_Quarter&amp;")")/1000/Inputs!$C$20),0)</f>
        <v>870.95600000000002</v>
      </c>
      <c r="E2" s="15">
        <f>IFERROR(IFERROR(_xll.FDS($A2,"FF_OG_PROD_DAY(QTR_R_NGL_BOE,"&amp;Current_Quarter&amp;")"),_xll.FDS($A2,"FF_OG_PROD_TOT_NET(QTR_R_NGL_BOE,"&amp;Current_Quarter&amp;")")/Inputs!$C$20),0)</f>
        <v>52.462000000000003</v>
      </c>
      <c r="F2" s="14">
        <f>+C2+D2/6+E2</f>
        <v>440.20133333333331</v>
      </c>
      <c r="G2" s="21">
        <f>(C2*Inputs!$C$15+D2*Inputs!$C$16+E2*Inputs!$C$17)*Inputs!$C$20</f>
        <v>1714567.5680000002</v>
      </c>
      <c r="H2" s="19">
        <f>+G2/(F2*92)</f>
        <v>42.336546004706946</v>
      </c>
      <c r="I2" s="19">
        <f>(_xll.FDS($A2,"FF_OG_PROD_EXP(QTR_R,"&amp;Current_Quarter&amp;")")+35)/($F2*Inputs!$C$20/1000)</f>
        <v>9.9509802695025051</v>
      </c>
      <c r="J2" s="19">
        <f>_xll.FDS($A2,"FF_DEP_AMORT_EXP(QTR_R,"&amp;Current_Quarter&amp;")")/($F2*Inputs!$C$20/1000)</f>
        <v>16.766043679881392</v>
      </c>
      <c r="K2" s="19">
        <f>_xll.FDS($A2,"FF_SGA(QTR_R,"&amp;Current_Quarter&amp;")")/($F2*Inputs!$C$20/1000)</f>
        <v>2.1729187685266016</v>
      </c>
      <c r="L2" s="19">
        <f>+H2-I2-K2</f>
        <v>30.212646966677838</v>
      </c>
      <c r="M2" s="19">
        <f>+H2-I2-J2-K2</f>
        <v>13.446603286796444</v>
      </c>
      <c r="N2" s="14">
        <f>IFERROR(IFERROR(_xll.FDS($A2,"FF_OG_PROD_DAY(QTR_R_OIL_BOE,"&amp;Prev_Quarter&amp;")"),_xll.FDS($A2,"FF_OG_PROD_TOT_NET(QTR_R_OIL_BOE,"&amp;Prev_Quarter&amp;")")/Inputs!$C$20),0)</f>
        <v>238.018</v>
      </c>
      <c r="O2" s="15">
        <f>IFERROR(IFERROR(_xll.FDS($A2,"FF_OG_PROD_DAY(QTR_R_NG_CFE,"&amp;Prev_Quarter&amp;")")/1000,_xll.FDS($A2,"FF_OG_PROD_TOT_NET(QTR_R_NG_CFE,"&amp;Prev_Quarter&amp;")")/1000/Inputs!$C$20),0)</f>
        <v>940.49300000000005</v>
      </c>
      <c r="P2" s="15">
        <f>IFERROR(IFERROR(_xll.FDS($A2,"FF_OG_PROD_DAY(QTR_R_NGL_BOE,"&amp;Prev_Quarter&amp;")"),_xll.FDS($A2,"FF_OG_PROD_TOT_NET(QTR_R_NGL_BOE,"&amp;Prev_Quarter&amp;")")/Inputs!$C$20),0)</f>
        <v>53.466999999999999</v>
      </c>
      <c r="Q2" s="14">
        <f>+N2+O2/6+P2</f>
        <v>448.23383333333334</v>
      </c>
      <c r="R2" s="27">
        <f>+F2/Q2-1</f>
        <v>-1.792033399233961E-2</v>
      </c>
      <c r="S2" s="15">
        <f>_xll.FDS(A2,"FF_OG_AREA_TOT(ANN_R_GROSS_ACRE,"&amp;Current_Quarter&amp;")")/1000</f>
        <v>14937</v>
      </c>
      <c r="T2" s="15">
        <f>_xll.FDS(A2,"FF_OG_AREA_TOT(ANN_R_NET_ACRE,"&amp;Current_Quarter&amp;")")/1000</f>
        <v>10607</v>
      </c>
      <c r="U2" s="29">
        <f>_xll.FDS($A2,"FG_PRICE("&amp;Date&amp;")")</f>
        <v>41.35</v>
      </c>
      <c r="V2" s="29">
        <f>_xll.FDS($A2,"RTP_PRICE_HIGH_52W")</f>
        <v>52.67</v>
      </c>
      <c r="W2" s="26">
        <f>+U2/V2-1</f>
        <v>-0.2149231061325233</v>
      </c>
      <c r="X2" s="31">
        <f>_xll.FDS($A2,"OS_SEC_SI_PCTFLT(0D)")/100</f>
        <v>8.4053323734801802E-2</v>
      </c>
      <c r="Y2" s="30">
        <f>_xll.FDS($A2,"FREF_MARKET_VALUE_COMPANY("&amp;Date&amp;",,,,,0)")</f>
        <v>15801.77799812774</v>
      </c>
      <c r="Z2" s="30">
        <f>_xll.FDS($A2,"FF_CASH_ONLY(QTR,0)")</f>
        <v>1668</v>
      </c>
      <c r="AA2" s="30">
        <f>_xll.FDS($A2,"FF_DEBT(QTR,0)")</f>
        <v>8484</v>
      </c>
      <c r="AB2" s="30">
        <f>+AA2+Y2-Z2</f>
        <v>22617.777998127742</v>
      </c>
      <c r="AC2" s="15">
        <f>_xll.FDS($A2,"FF_OG_RSRV_PROVED_DEV_NET(ANN_R_OIL_BOE,0)")</f>
        <v>521.44500000000005</v>
      </c>
      <c r="AD2" s="15">
        <f>_xll.FDS($A2,"FF_OG_RSRV_PROVED_DEV_NET(ANN_R_NG_CFE,0)")/1000</f>
        <v>1971.018</v>
      </c>
      <c r="AE2" s="15">
        <f>IFERROR(_xll.FDS($A2,"FF_OG_RSRV_PROVED_DEV_NET(ANN_R_NGL_BOE,0)"),0)</f>
        <v>173.715</v>
      </c>
      <c r="AF2" s="15">
        <f>+AC2+AD2/6+AE2</f>
        <v>1023.6630000000001</v>
      </c>
      <c r="AG2" s="15">
        <f>_xll.FDS($A2,"FF_OG_RSRV_PROVED_UNDEV_NET(ANN_R_OIL_BOE,0)")</f>
        <v>62.115000000000002</v>
      </c>
      <c r="AH2" s="15">
        <f>_xll.FDS($A2,"FF_OG_RSRV_PROVED_UNDEV_NET(ANN_R_NG_CFE,0)")/1000</f>
        <v>355.54399999999998</v>
      </c>
      <c r="AI2" s="15">
        <f>IFERROR(_xll.FDS($A2,"FF_OG_RSRV_PROVED_UNDEV_NET(ANN_R_NGL_BOE,0)"),0)</f>
        <v>29.951000000000001</v>
      </c>
      <c r="AJ2" s="15">
        <f>+AG2+AH2/6+AI2</f>
        <v>151.32333333333332</v>
      </c>
      <c r="AK2" s="15">
        <f>IF((AJ2+AF2)/_xll.FDS($A2,"FF_OG_TOT_RSRV_PROVED_NET(ANN_R_BOE,0)")-1&lt;0.01,AJ2+AF2,"CHECK RESERVES")</f>
        <v>1174.9863333333335</v>
      </c>
      <c r="AL2" s="26">
        <f>+AJ2/AK2</f>
        <v>0.12878731355456899</v>
      </c>
      <c r="AM2" s="39" t="e">
        <f>_xll.FDS($A2,"FE_GUIDANCE(PROD_DAY_OIL_ONLY,MIDPOINT,ANNUAL,+2,0,,,'')")</f>
        <v>#N/A</v>
      </c>
      <c r="AN2" s="39" t="e">
        <f>_xll.FDS($A2,"FE_GUIDANCE(PRODPERDAY,MIDPOINT,ANNUAL,+2,0,,,'')")</f>
        <v>#N/A</v>
      </c>
      <c r="AO2" s="39" t="e">
        <f>_xll.FDS($A2,"FE_GUIDANCE(TOTAL_PROD,MIDPOINT,ANNUAL,+2,0,,,'')")</f>
        <v>#N/A</v>
      </c>
      <c r="AP2" s="39" t="e">
        <f>_xll.FDS($A2,"FE_GUIDANCE(CAPEX,MIDPOINT,ANNUAL,+2,0,,,'')")</f>
        <v>#N/A</v>
      </c>
      <c r="AQ2" s="39" t="str">
        <f>_xll.FDS($A2,"FE_GUIDANCE_DATE(DATEN,CAPEX,ANNUAL,2018,'MM/DD/YYYY',0)")</f>
        <v>02/22/2018</v>
      </c>
    </row>
    <row r="3" spans="1:43" ht="18.75" x14ac:dyDescent="0.3">
      <c r="A3" s="12" t="s">
        <v>40</v>
      </c>
      <c r="B3" s="13" t="str">
        <f>_xll.FDS($A3,"FG_COMPANY_NAME")</f>
        <v>Approach Resources Inc.</v>
      </c>
      <c r="C3" s="14">
        <f>IFERROR(IFERROR(_xll.FDS($A3,"FF_OG_PROD_DAY(QTR_R_OIL_BOE,"&amp;Current_Quarter&amp;")"),_xll.FDS($A3,"FF_OG_PROD_TOT_NET(QTR_R_OIL_BOE,"&amp;Current_Quarter&amp;")")/Inputs!$C$20),0)</f>
        <v>2.9</v>
      </c>
      <c r="D3" s="15">
        <f>IFERROR(IFERROR(_xll.FDS($A3,"FF_OG_PROD_DAY(QTR_R_NG_CFE,"&amp;Current_Quarter&amp;")")/1000,_xll.FDS($A3,"FF_OG_PROD_TOT_NET(QTR_R_NG_CFE,"&amp;Current_Quarter&amp;")")/1000/Inputs!$C$20),0)</f>
        <v>27.143999999999998</v>
      </c>
      <c r="E3" s="15">
        <f>IFERROR(IFERROR(_xll.FDS($A3,"FF_OG_PROD_DAY(QTR_R_NGL_BOE,"&amp;Current_Quarter&amp;")"),_xll.FDS($A3,"FF_OG_PROD_TOT_NET(QTR_R_NGL_BOE,"&amp;Current_Quarter&amp;")")/Inputs!$C$20),0)</f>
        <v>4.1760000000000002</v>
      </c>
      <c r="F3" s="14">
        <f>+C3+D3/6+E3</f>
        <v>11.6</v>
      </c>
      <c r="G3" s="21">
        <f>(C3*Inputs!$C$15+D3*Inputs!$C$16+E3*Inputs!$C$17)*Inputs!$C$20</f>
        <v>34257.120000000003</v>
      </c>
      <c r="H3" s="19">
        <f>+G3/(F3*92)</f>
        <v>32.1</v>
      </c>
      <c r="I3" s="19">
        <f>_xll.FDS($A3,"FF_OG_PROD_EXP(QTR_R,"&amp;Current_Quarter&amp;")")/($F3*Inputs!$C$20/1000)</f>
        <v>6.8356446776611683</v>
      </c>
      <c r="J3" s="19">
        <f>_xll.FDS($A3,"FF_DEP_AMORT_EXP(QTR_R,"&amp;Current_Quarter&amp;")")/($F3*Inputs!$C$20/1000)</f>
        <v>15.154610194902546</v>
      </c>
      <c r="K3" s="19">
        <f>_xll.FDS($A3,"FF_SGA(QTR_R,"&amp;Current_Quarter&amp;")")/($F3*Inputs!$C$20/1000)</f>
        <v>5.145239880059969</v>
      </c>
      <c r="L3" s="19">
        <f>+H3-I3-K3</f>
        <v>20.119115442278865</v>
      </c>
      <c r="M3" s="19">
        <f>+H3-I3-J3-K3</f>
        <v>4.9645052473763185</v>
      </c>
      <c r="N3" s="14">
        <f>IFERROR(IFERROR(_xll.FDS($A3,"FF_OG_PROD_DAY(QTR_R_OIL_BOE,"&amp;Prev_Quarter&amp;")"),_xll.FDS($A3,"FF_OG_PROD_TOT_NET(QTR_R_OIL_BOE,"&amp;Prev_Quarter&amp;")")/Inputs!$C$20),0)</f>
        <v>2.99</v>
      </c>
      <c r="O3" s="15">
        <f>IFERROR(IFERROR(_xll.FDS($A3,"FF_OG_PROD_DAY(QTR_R_NG_CFE,"&amp;Prev_Quarter&amp;")")/1000,_xll.FDS($A3,"FF_OG_PROD_TOT_NET(QTR_R_NG_CFE,"&amp;Prev_Quarter&amp;")")/1000/Inputs!$C$20),0)</f>
        <v>26.91</v>
      </c>
      <c r="P3" s="15">
        <f>IFERROR(IFERROR(_xll.FDS($A3,"FF_OG_PROD_DAY(QTR_R_NGL_BOE,"&amp;Prev_Quarter&amp;")"),_xll.FDS($A3,"FF_OG_PROD_TOT_NET(QTR_R_NGL_BOE,"&amp;Prev_Quarter&amp;")")/Inputs!$C$20),0)</f>
        <v>4.0250000000000004</v>
      </c>
      <c r="Q3" s="14">
        <f>+N3+O3/6+P3</f>
        <v>11.5</v>
      </c>
      <c r="R3" s="27">
        <f>+F3/Q3-1</f>
        <v>8.6956521739129933E-3</v>
      </c>
      <c r="S3" s="15">
        <f>_xll.FDS(A3,"FF_OG_AREA_TOT(ANN_R_GROSS_ACRE,"&amp;Current_Quarter&amp;")")/1000</f>
        <v>168.17500000000001</v>
      </c>
      <c r="T3" s="15">
        <f>_xll.FDS(A3,"FF_OG_AREA_TOT(ANN_R_NET_ACRE,"&amp;Current_Quarter&amp;")")/1000</f>
        <v>150.994</v>
      </c>
      <c r="U3" s="29">
        <f>_xll.FDS($A3,"FG_PRICE("&amp;Date&amp;")")</f>
        <v>2.72</v>
      </c>
      <c r="V3" s="29">
        <f>_xll.FDS($A3,"RTP_PRICE_HIGH_52W")</f>
        <v>4.21</v>
      </c>
      <c r="W3" s="26">
        <f>+U3/V3-1</f>
        <v>-0.35391923990498808</v>
      </c>
      <c r="X3" s="31">
        <f>_xll.FDS($A3,"OS_SEC_SI_PCTFLT(0D)")/100</f>
        <v>0.18101447970644141</v>
      </c>
      <c r="Y3" s="30">
        <f>_xll.FDS($A3,"FREF_MARKET_VALUE_COMPANY("&amp;Date&amp;",,,,,0)")</f>
        <v>256.58576319693572</v>
      </c>
      <c r="Z3" s="30">
        <f>_xll.FDS($A3,"FF_CASH_ONLY(QTR,0)")</f>
        <v>2.1000000000000001E-2</v>
      </c>
      <c r="AA3" s="30">
        <f>_xll.FDS($A3,"FF_DEBT(QTR,0)")</f>
        <v>373.46</v>
      </c>
      <c r="AB3" s="30">
        <f>+AA3+Y3-Z3</f>
        <v>630.02476319693574</v>
      </c>
      <c r="AC3" s="15">
        <f>_xll.FDS($A3,"FF_OG_RSRV_PROVED_DEV_NET(ANN_R_OIL_BOE,0)")</f>
        <v>13.853</v>
      </c>
      <c r="AD3" s="15">
        <f>_xll.FDS($A3,"FF_OG_RSRV_PROVED_DEV_NET(ANN_R_NG_CFE,0)")/1000</f>
        <v>176.20099999999999</v>
      </c>
      <c r="AE3" s="15">
        <f>IFERROR(_xll.FDS($A3,"FF_OG_RSRV_PROVED_DEV_NET(ANN_R_NGL_BOE,0)"),0)</f>
        <v>23.18</v>
      </c>
      <c r="AF3" s="15">
        <f>+AC3+AD3/6+AE3</f>
        <v>66.399833333333333</v>
      </c>
      <c r="AG3" s="15">
        <f>_xll.FDS($A3,"FF_OG_RSRV_PROVED_UNDEV_NET(ANN_R_OIL_BOE,0)")</f>
        <v>36.207000000000001</v>
      </c>
      <c r="AH3" s="15">
        <f>_xll.FDS($A3,"FF_OG_RSRV_PROVED_UNDEV_NET(ANN_R_NG_CFE,0)")/1000</f>
        <v>265.02800000000002</v>
      </c>
      <c r="AI3" s="15">
        <f>IFERROR(_xll.FDS($A3,"FF_OG_RSRV_PROVED_UNDEV_NET(ANN_R_NGL_BOE,0)"),0)</f>
        <v>34.768000000000001</v>
      </c>
      <c r="AJ3" s="15">
        <f>+AG3+AH3/6+AI3</f>
        <v>115.14633333333333</v>
      </c>
      <c r="AK3" s="15">
        <f>IF((AJ3+AF3)/_xll.FDS($A3,"FF_OG_TOT_RSRV_PROVED_NET(ANN_R_BOE,0)")-1&lt;0.01,AJ3+AF3,"CHECK RESERVES")</f>
        <v>181.54616666666666</v>
      </c>
      <c r="AL3" s="26">
        <f>+AJ3/AK3</f>
        <v>0.63425372976754302</v>
      </c>
      <c r="AM3" s="39" t="e">
        <f>_xll.FDS($A3,"FE_GUIDANCE(PROD_DAY_OIL_ONLY,MIDPOINT,ANNUAL,+2,0,,,'')")</f>
        <v>#N/A</v>
      </c>
      <c r="AN3" s="39" t="e">
        <f>_xll.FDS($A3,"FE_GUIDANCE(PRODPERDAY,MIDPOINT,ANNUAL,+2,0,,,'')")</f>
        <v>#N/A</v>
      </c>
      <c r="AO3" s="39" t="e">
        <f>_xll.FDS($A3,"FE_GUIDANCE(TOTAL_PROD,MIDPOINT,ANNUAL,+2,0,,,'')")</f>
        <v>#N/A</v>
      </c>
      <c r="AP3" s="39" t="e">
        <f>_xll.FDS($A3,"FE_GUIDANCE(CAPEX,MIDPOINT,ANNUAL,+2,0,,,'')")</f>
        <v>#N/A</v>
      </c>
      <c r="AQ3" s="39" t="str">
        <f>_xll.FDS($A3,"FE_GUIDANCE_DATE(DATEN,CAPEX,ANNUAL,2018,'MM/DD/YYYY',0)")</f>
        <v>03/09/2018</v>
      </c>
    </row>
    <row r="4" spans="1:43" ht="18.75" x14ac:dyDescent="0.3">
      <c r="A4" s="12" t="s">
        <v>86</v>
      </c>
      <c r="B4" s="13" t="str">
        <f>_xll.FDS($A4,"FG_COMPANY_NAME")</f>
        <v>Abraxas Petroleum Corporation</v>
      </c>
      <c r="C4" s="14">
        <f>IFERROR(IFERROR(_xll.FDS($A4,"FF_OG_PROD_DAY(QTR_R_OIL_BOE,"&amp;Current_Quarter&amp;")"),_xll.FDS($A4,"FF_OG_PROD_TOT_NET(QTR_R_OIL_BOE,"&amp;Current_Quarter&amp;")")/Inputs!$C$20),0)</f>
        <v>5.3250000000000002</v>
      </c>
      <c r="D4" s="15">
        <f>IFERROR(IFERROR(_xll.FDS($A4,"FF_OG_PROD_DAY(QTR_R_NG_CFE,"&amp;Current_Quarter&amp;")")/1000,_xll.FDS($A4,"FF_OG_PROD_TOT_NET(QTR_R_NG_CFE,"&amp;Current_Quarter&amp;")")/1000/Inputs!$C$20),0)</f>
        <v>12.334</v>
      </c>
      <c r="E4" s="15">
        <f>IFERROR(IFERROR(_xll.FDS($A4,"FF_OG_PROD_DAY(QTR_R_NGL_BOE,"&amp;Current_Quarter&amp;")"),_xll.FDS($A4,"FF_OG_PROD_TOT_NET(QTR_R_NGL_BOE,"&amp;Current_Quarter&amp;")")/Inputs!$C$20),0)</f>
        <v>1.407</v>
      </c>
      <c r="F4" s="48">
        <f>+C4+D4/6+E4</f>
        <v>8.7876666666666665</v>
      </c>
      <c r="G4" s="21">
        <f>(C4*Inputs!$C$15+D4*Inputs!$C$16+E4*Inputs!$C$17)*Inputs!$C$20</f>
        <v>36422.616000000002</v>
      </c>
      <c r="H4" s="19">
        <f>+G4/(F4*92)</f>
        <v>45.051549520160833</v>
      </c>
      <c r="I4" s="19">
        <f>_xll.FDS($A4,"FF_OG_PROD_EXP(QTR_R,"&amp;Current_Quarter&amp;")")/($F4*Inputs!$C$20/1000)</f>
        <v>7.389308797408753</v>
      </c>
      <c r="J4" s="19">
        <f>_xll.FDS($A4,"FF_DEP_AMORT_EXP(QTR_R,"&amp;Current_Quarter&amp;")")/($F4*Inputs!$C$20/1000)</f>
        <v>10.727732708390711</v>
      </c>
      <c r="K4" s="19">
        <f>_xll.FDS($A4,"FF_SGA(QTR_R,"&amp;Current_Quarter&amp;")")/($F4*Inputs!$C$20/1000)</f>
        <v>6.9069133452846456</v>
      </c>
      <c r="L4" s="19">
        <f>+H4-I4-K4</f>
        <v>30.755327377467435</v>
      </c>
      <c r="M4" s="19">
        <f>+H4-I4-J4-K4</f>
        <v>20.027594669076723</v>
      </c>
      <c r="N4" s="14">
        <f>IFERROR(IFERROR(_xll.FDS($A4,"FF_OG_PROD_DAY(QTR_R_OIL_BOE,"&amp;Prev_Quarter&amp;")"),_xll.FDS($A4,"FF_OG_PROD_TOT_NET(QTR_R_OIL_BOE,"&amp;Prev_Quarter&amp;")")/Inputs!$C$20),0)</f>
        <v>5.27</v>
      </c>
      <c r="O4" s="15">
        <f>IFERROR(IFERROR(_xll.FDS($A4,"FF_OG_PROD_DAY(QTR_R_NG_CFE,"&amp;Prev_Quarter&amp;")")/1000,_xll.FDS($A4,"FF_OG_PROD_TOT_NET(QTR_R_NG_CFE,"&amp;Prev_Quarter&amp;")")/1000/Inputs!$C$20),0)</f>
        <v>12.006</v>
      </c>
      <c r="P4" s="15">
        <f>IFERROR(IFERROR(_xll.FDS($A4,"FF_OG_PROD_DAY(QTR_R_NGL_BOE,"&amp;Prev_Quarter&amp;")"),_xll.FDS($A4,"FF_OG_PROD_TOT_NET(QTR_R_NGL_BOE,"&amp;Prev_Quarter&amp;")")/Inputs!$C$20),0)</f>
        <v>1.474</v>
      </c>
      <c r="Q4" s="14">
        <f>+N4+O4/6+P4</f>
        <v>8.7449999999999992</v>
      </c>
      <c r="R4" s="27">
        <f>+F4/Q4-1</f>
        <v>4.8789784638842981E-3</v>
      </c>
      <c r="S4" s="15">
        <f>_xll.FDS(A4,"FF_OG_AREA_TOT(ANN_R_GROSS_ACRE,"&amp;Current_Quarter&amp;")")/1000</f>
        <v>89.100999999999999</v>
      </c>
      <c r="T4" s="15">
        <f>_xll.FDS(A4,"FF_OG_AREA_TOT(ANN_R_NET_ACRE,"&amp;Current_Quarter&amp;")")/1000</f>
        <v>57.936999999999998</v>
      </c>
      <c r="U4" s="29">
        <f>_xll.FDS($A4,"FG_PRICE("&amp;Date&amp;")")</f>
        <v>2.79</v>
      </c>
      <c r="V4" s="29">
        <f>_xll.FDS($A4,"RTP_PRICE_HIGH_52W")</f>
        <v>2.89</v>
      </c>
      <c r="W4" s="26">
        <f>+U4/V4-1</f>
        <v>-3.4602076124567449E-2</v>
      </c>
      <c r="X4" s="31">
        <f>_xll.FDS($A4,"OS_SEC_SI_PCTFLT(0D)")/100</f>
        <v>2.356866661681754E-2</v>
      </c>
      <c r="Y4" s="30">
        <f>_xll.FDS($A4,"FREF_MARKET_VALUE_COMPANY("&amp;Date&amp;",,,,,0)")</f>
        <v>462.86655357734708</v>
      </c>
      <c r="Z4" s="30">
        <f>_xll.FDS($A4,"FF_CASH_ONLY(QTR,0)")</f>
        <v>1.6180000000000001</v>
      </c>
      <c r="AA4" s="30">
        <f>_xll.FDS($A4,"FF_DEBT(QTR,0)")</f>
        <v>87.616</v>
      </c>
      <c r="AB4" s="30">
        <f>+AA4+Y4-Z4</f>
        <v>548.86455357734701</v>
      </c>
      <c r="AC4" s="15">
        <f>_xll.FDS($A4,"FF_OG_RSRV_PROVED_DEV_NET(ANN_R_OIL_BOE,0)")</f>
        <v>11.263</v>
      </c>
      <c r="AD4" s="15">
        <f>_xll.FDS($A4,"FF_OG_RSRV_PROVED_DEV_NET(ANN_R_NG_CFE,0)")/1000</f>
        <v>39.973999999999997</v>
      </c>
      <c r="AE4" s="15">
        <f>IFERROR(_xll.FDS($A4,"FF_OG_RSRV_PROVED_DEV_NET(ANN_R_NGL_BOE,0)"),0)</f>
        <v>3.794</v>
      </c>
      <c r="AF4" s="15">
        <f>+AC4+AD4/6+AE4</f>
        <v>21.719333333333335</v>
      </c>
      <c r="AG4" s="15">
        <f>_xll.FDS($A4,"FF_OG_RSRV_PROVED_UNDEV_NET(ANN_R_OIL_BOE,0)")</f>
        <v>25.808</v>
      </c>
      <c r="AH4" s="15">
        <f>_xll.FDS($A4,"FF_OG_RSRV_PROVED_UNDEV_NET(ANN_R_NG_CFE,0)")/1000</f>
        <v>57.853999999999999</v>
      </c>
      <c r="AI4" s="15">
        <f>IFERROR(_xll.FDS($A4,"FF_OG_RSRV_PROVED_UNDEV_NET(ANN_R_NGL_BOE,0)"),0)</f>
        <v>8.1809999999999992</v>
      </c>
      <c r="AJ4" s="15">
        <f>+AG4+AH4/6+AI4</f>
        <v>43.63133333333333</v>
      </c>
      <c r="AK4" s="15">
        <f>IF((AJ4+AF4)/_xll.FDS($A4,"FF_OG_TOT_RSRV_PROVED_NET(ANN_R_BOE,0)")-1&lt;0.01,AJ4+AF4,"CHECK RESERVES")</f>
        <v>65.350666666666669</v>
      </c>
      <c r="AL4" s="26">
        <f>+AJ4/AK4</f>
        <v>0.6676493991390039</v>
      </c>
      <c r="AM4" s="39" t="e">
        <f>_xll.FDS($A4,"FE_GUIDANCE(PROD_DAY_OIL_ONLY,MIDPOINT,ANNUAL,+2,0,,,'')")</f>
        <v>#N/A</v>
      </c>
      <c r="AN4" s="39">
        <f>_xll.FDS($A4,"FE_GUIDANCE(PRODPERDAY,MIDPOINT,ANNUAL,+2,0,,,'')")</f>
        <v>12.75</v>
      </c>
      <c r="AO4" s="39" t="e">
        <f>_xll.FDS($A4,"FE_GUIDANCE(TOTAL_PROD,MIDPOINT,ANNUAL,+2,0,,,'')")</f>
        <v>#N/A</v>
      </c>
      <c r="AP4" s="39">
        <f>_xll.FDS($A4,"FE_GUIDANCE(CAPEX,MIDPOINT,ANNUAL,+2,0,,,'')")</f>
        <v>90</v>
      </c>
      <c r="AQ4" s="39" t="str">
        <f>_xll.FDS($A4,"FE_GUIDANCE_DATE(DATEN,CAPEX,ANNUAL,2018,'MM/DD/YYYY',0)")</f>
        <v>08/09/2017</v>
      </c>
    </row>
    <row r="5" spans="1:43" ht="18.75" x14ac:dyDescent="0.3">
      <c r="A5" s="12" t="s">
        <v>37</v>
      </c>
      <c r="B5" s="13" t="str">
        <f>_xll.FDS($A5,"FG_COMPANY_NAME")</f>
        <v>Centennial Resource Development, Inc. Class A</v>
      </c>
      <c r="C5" s="14">
        <f>IFERROR(IFERROR(_xll.FDS($A5,"FF_OG_PROD_DAY(QTR_R_OIL_BOE,"&amp;Current_Quarter&amp;")"),_xll.FDS($A5,"FF_OG_PROD_TOT_NET(QTR_R_OIL_BOE,"&amp;Current_Quarter&amp;")")/Inputs!$C$20),0)</f>
        <v>27.402000000000001</v>
      </c>
      <c r="D5" s="15">
        <f>IFERROR(IFERROR(_xll.FDS($A5,"FF_OG_PROD_DAY(QTR_R_NG_CFE,"&amp;Current_Quarter&amp;")")/1000,_xll.FDS($A5,"FF_OG_PROD_TOT_NET(QTR_R_NG_CFE,"&amp;Current_Quarter&amp;")")/1000/Inputs!$C$20),0)</f>
        <v>63.216999999999999</v>
      </c>
      <c r="E5" s="15">
        <f>IFERROR(IFERROR(_xll.FDS($A5,"FF_OG_PROD_DAY(QTR_R_NGL_BOE,"&amp;Current_Quarter&amp;")"),_xll.FDS($A5,"FF_OG_PROD_TOT_NET(QTR_R_NGL_BOE,"&amp;Current_Quarter&amp;")")/Inputs!$C$20),0)</f>
        <v>6.37</v>
      </c>
      <c r="F5" s="14">
        <f>+C5+D5/6+E5</f>
        <v>44.308166666666665</v>
      </c>
      <c r="G5" s="21">
        <f>(C5*Inputs!$C$15+D5*Inputs!$C$16+E5*Inputs!$C$17)*Inputs!$C$20</f>
        <v>185116.05200000003</v>
      </c>
      <c r="H5" s="19">
        <f>+G5/(F5*92)</f>
        <v>45.412192635669129</v>
      </c>
      <c r="I5" s="19">
        <f>(_xll.FDS($A5,"FF_OG_PROD_EXP(QTR_R,"&amp;Current_Quarter&amp;")")+11.69)/($F5*Inputs!$C$20/1000)</f>
        <v>8.5657484217503672</v>
      </c>
      <c r="J5" s="19">
        <f>_xll.FDS($A5,"FF_DEP_AMORT_EXP(QTR_R,"&amp;Current_Quarter&amp;")")/($F5*Inputs!$C$20/1000)</f>
        <v>14.420003378838626</v>
      </c>
      <c r="K5" s="19">
        <f>_xll.FDS($A5,"FF_SGA(QTR_R,"&amp;Current_Quarter&amp;")")/($F5*Inputs!$C$20/1000)</f>
        <v>3.4013260551470297</v>
      </c>
      <c r="L5" s="19">
        <f>+H5-I5-K5</f>
        <v>33.445118158771727</v>
      </c>
      <c r="M5" s="19">
        <f>+H5-I5-J5-K5</f>
        <v>19.025114779933102</v>
      </c>
      <c r="N5" s="14">
        <f>IFERROR(IFERROR(_xll.FDS($A5,"FF_OG_PROD_DAY(QTR_R_OIL_BOE,"&amp;Prev_Quarter&amp;")"),_xll.FDS($A5,"FF_OG_PROD_TOT_NET(QTR_R_OIL_BOE,"&amp;Prev_Quarter&amp;")")/Inputs!$C$20),0)</f>
        <v>21.108000000000001</v>
      </c>
      <c r="O5" s="15">
        <f>IFERROR(IFERROR(_xll.FDS($A5,"FF_OG_PROD_DAY(QTR_R_NG_CFE,"&amp;Prev_Quarter&amp;")")/1000,_xll.FDS($A5,"FF_OG_PROD_TOT_NET(QTR_R_NG_CFE,"&amp;Prev_Quarter&amp;")")/1000/Inputs!$C$20),0)</f>
        <v>51.444000000000003</v>
      </c>
      <c r="P5" s="15">
        <f>IFERROR(IFERROR(_xll.FDS($A5,"FF_OG_PROD_DAY(QTR_R_NGL_BOE,"&amp;Prev_Quarter&amp;")"),_xll.FDS($A5,"FF_OG_PROD_TOT_NET(QTR_R_NGL_BOE,"&amp;Prev_Quarter&amp;")")/Inputs!$C$20),0)</f>
        <v>5.0179999999999998</v>
      </c>
      <c r="Q5" s="14">
        <f>+N5+O5/6+P5</f>
        <v>34.700000000000003</v>
      </c>
      <c r="R5" s="27">
        <f>+F5/Q5-1</f>
        <v>0.27689241114313146</v>
      </c>
      <c r="S5" s="15">
        <f>_xll.FDS(A5,"FF_OG_AREA_TOT(ANN_R_GROSS_ACRE,"&amp;Current_Quarter&amp;")")/1000</f>
        <v>127.444</v>
      </c>
      <c r="T5" s="15">
        <f>_xll.FDS(A5,"FF_OG_AREA_TOT(ANN_R_NET_ACRE,"&amp;Current_Quarter&amp;")")/1000</f>
        <v>84.718000000000004</v>
      </c>
      <c r="U5" s="29">
        <f>_xll.FDS($A5,"FG_PRICE("&amp;Date&amp;")")</f>
        <v>17.45</v>
      </c>
      <c r="V5" s="29">
        <f>_xll.FDS($A5,"RTP_PRICE_HIGH_52W")</f>
        <v>22.139700000000001</v>
      </c>
      <c r="W5" s="26">
        <f>+U5/V5-1</f>
        <v>-0.21182310510079183</v>
      </c>
      <c r="X5" s="31">
        <f>_xll.FDS($A5,"OS_SEC_SI_PCTFLT(0D)")/100</f>
        <v>7.8099715099575848E-2</v>
      </c>
      <c r="Y5" s="30">
        <f>_xll.FDS($A5,"FREF_MARKET_VALUE_COMPANY("&amp;Date&amp;",,,,,0)")</f>
        <v>4622.051378535456</v>
      </c>
      <c r="Z5" s="30">
        <f>_xll.FDS($A5,"FF_CASH_ONLY(QTR,0)")</f>
        <v>117.315</v>
      </c>
      <c r="AA5" s="30">
        <f>_xll.FDS($A5,"FF_DEBT(QTR,0)")</f>
        <v>390.76400000000001</v>
      </c>
      <c r="AB5" s="30">
        <f>+AA5+Y5-Z5</f>
        <v>4895.5003785354565</v>
      </c>
      <c r="AC5" s="15">
        <f>_xll.FDS($A5,"FF_OG_RSRV_PROVED_DEV_NET(ANN_R_OIL_BOE,0)")</f>
        <v>41.786000000000001</v>
      </c>
      <c r="AD5" s="15">
        <f>_xll.FDS($A5,"FF_OG_RSRV_PROVED_DEV_NET(ANN_R_NG_CFE,0)")/1000</f>
        <v>126.065</v>
      </c>
      <c r="AE5" s="15">
        <f>IFERROR(_xll.FDS($A5,"FF_OG_RSRV_PROVED_DEV_NET(ANN_R_NGL_BOE,0)"),0)</f>
        <v>12.132999999999999</v>
      </c>
      <c r="AF5" s="15">
        <f>+AC5+AD5/6+AE5</f>
        <v>74.929833333333335</v>
      </c>
      <c r="AG5" s="15">
        <f>_xll.FDS($A5,"FF_OG_RSRV_PROVED_UNDEV_NET(ANN_R_OIL_BOE,0)")</f>
        <v>59.146999999999998</v>
      </c>
      <c r="AH5" s="15">
        <f>_xll.FDS($A5,"FF_OG_RSRV_PROVED_UNDEV_NET(ANN_R_NG_CFE,0)")/1000</f>
        <v>201.14699999999999</v>
      </c>
      <c r="AI5" s="15">
        <f>IFERROR(_xll.FDS($A5,"FF_OG_RSRV_PROVED_UNDEV_NET(ANN_R_NGL_BOE,0)"),0)</f>
        <v>18.853000000000002</v>
      </c>
      <c r="AJ5" s="15">
        <f>+AG5+AH5/6+AI5</f>
        <v>111.52449999999999</v>
      </c>
      <c r="AK5" s="15">
        <f>IF((AJ5+AF5)/_xll.FDS($A5,"FF_OG_TOT_RSRV_PROVED_NET(ANN_R_BOE,0)")-1&lt;0.01,AJ5+AF5,"CHECK RESERVES")</f>
        <v>186.45433333333332</v>
      </c>
      <c r="AL5" s="26">
        <f>+AJ5/AK5</f>
        <v>0.59813305492140167</v>
      </c>
      <c r="AM5" s="39" t="e">
        <f>_xll.FDS($A5,"FE_GUIDANCE(PROD_DAY_OIL_ONLY,MIDPOINT,ANNUAL,+2,0,,,'')")</f>
        <v>#N/A</v>
      </c>
      <c r="AN5" s="39" t="e">
        <f>_xll.FDS($A5,"FE_GUIDANCE(PRODPERDAY,MIDPOINT,ANNUAL,+2,0,,,'')")</f>
        <v>#N/A</v>
      </c>
      <c r="AO5" s="39" t="e">
        <f>_xll.FDS($A5,"FE_GUIDANCE(TOTAL_PROD,MIDPOINT,ANNUAL,+2,0,,,'')")</f>
        <v>#N/A</v>
      </c>
      <c r="AP5" s="39" t="e">
        <f>_xll.FDS($A5,"FE_GUIDANCE(CAPEX,MIDPOINT,ANNUAL,+2,0,,,'')")</f>
        <v>#N/A</v>
      </c>
      <c r="AQ5" s="39" t="str">
        <f>_xll.FDS($A5,"FE_GUIDANCE_DATE(DATEN,CAPEX,ANNUAL,2018,'MM/DD/YYYY',0)")</f>
        <v>02/27/2018</v>
      </c>
    </row>
    <row r="6" spans="1:43" ht="18.75" x14ac:dyDescent="0.3">
      <c r="A6" s="12" t="s">
        <v>87</v>
      </c>
      <c r="B6" s="13" t="str">
        <f>_xll.FDS($A6,"FG_COMPANY_NAME")</f>
        <v>ConocoPhillips</v>
      </c>
      <c r="C6" s="14">
        <f>IFERROR(IFERROR(_xll.FDS($A6,"FF_OG_PROD_DAY(QTR_R_OIL_BOE,"&amp;Current_Quarter&amp;")"),_xll.FDS($A6,"FF_OG_PROD_TOT_NET(QTR_R_OIL_BOE,"&amp;Current_Quarter&amp;")")/Inputs!$C$20),0)</f>
        <v>689</v>
      </c>
      <c r="D6" s="15">
        <f>IFERROR(IFERROR(_xll.FDS($A6,"FF_OG_PROD_DAY(QTR_R_NG_CFE,"&amp;Current_Quarter&amp;")")/1000,_xll.FDS($A6,"FF_OG_PROD_TOT_NET(QTR_R_NG_CFE,"&amp;Current_Quarter&amp;")")/1000/Inputs!$C$20),0)</f>
        <v>2868</v>
      </c>
      <c r="E6" s="15">
        <f>IFERROR(IFERROR(_xll.FDS($A6,"FF_OG_PROD_DAY(QTR_R_NGL_BOE,"&amp;Current_Quarter&amp;")"),_xll.FDS($A6,"FF_OG_PROD_TOT_NET(QTR_R_NGL_BOE,"&amp;Current_Quarter&amp;")")/Inputs!$C$20),0)</f>
        <v>89</v>
      </c>
      <c r="F6" s="14">
        <f>+C6+D6/6+E6</f>
        <v>1256</v>
      </c>
      <c r="G6" s="21">
        <f>(C6*Inputs!$C$15+D6*Inputs!$C$16+E6*Inputs!$C$17)*Inputs!$C$20</f>
        <v>4824112</v>
      </c>
      <c r="H6" s="19">
        <f>+G6/(F6*92)</f>
        <v>41.748407643312099</v>
      </c>
      <c r="I6" s="19" t="e">
        <f>_xll.FDS($A6,"FF_OG_PROD_EXP(QTR_R,"&amp;Current_Quarter&amp;")")/($F6*Inputs!$C$20/1000)</f>
        <v>#N/A</v>
      </c>
      <c r="J6" s="19">
        <f>_xll.FDS($A6,"FF_DEP_AMORT_EXP(QTR_R,"&amp;Current_Quarter&amp;")")/($F6*Inputs!$C$20/1000)</f>
        <v>15.265854333979506</v>
      </c>
      <c r="K6" s="19">
        <f>_xll.FDS($A6,"FF_SGA(QTR_R,"&amp;Current_Quarter&amp;")")/($F6*Inputs!$C$20/1000)</f>
        <v>1.1942675159235667</v>
      </c>
      <c r="L6" s="19" t="e">
        <f>+H6-I6-K6</f>
        <v>#N/A</v>
      </c>
      <c r="M6" s="19" t="e">
        <f>+H6-I6-J6-K6</f>
        <v>#N/A</v>
      </c>
      <c r="N6" s="14">
        <f>IFERROR(IFERROR(_xll.FDS($A6,"FF_OG_PROD_DAY(QTR_R_OIL_BOE,"&amp;Prev_Quarter&amp;")"),_xll.FDS($A6,"FF_OG_PROD_TOT_NET(QTR_R_OIL_BOE,"&amp;Prev_Quarter&amp;")")/Inputs!$C$20),0)</f>
        <v>645</v>
      </c>
      <c r="O6" s="15">
        <f>IFERROR(IFERROR(_xll.FDS($A6,"FF_OG_PROD_DAY(QTR_R_NG_CFE,"&amp;Prev_Quarter&amp;")")/1000,_xll.FDS($A6,"FF_OG_PROD_TOT_NET(QTR_R_NG_CFE,"&amp;Prev_Quarter&amp;")")/1000/Inputs!$C$20),0)</f>
        <v>2918</v>
      </c>
      <c r="P6" s="15">
        <f>IFERROR(IFERROR(_xll.FDS($A6,"FF_OG_PROD_DAY(QTR_R_NGL_BOE,"&amp;Prev_Quarter&amp;")"),_xll.FDS($A6,"FF_OG_PROD_TOT_NET(QTR_R_NGL_BOE,"&amp;Prev_Quarter&amp;")")/Inputs!$C$20),0)</f>
        <v>95</v>
      </c>
      <c r="Q6" s="14">
        <f>+N6+O6/6+P6</f>
        <v>1226.3333333333333</v>
      </c>
      <c r="R6" s="27">
        <f>+F6/Q6-1</f>
        <v>2.4191356346833448E-2</v>
      </c>
      <c r="S6" s="15">
        <f>_xll.FDS(A6,"FF_OG_AREA_TOT(ANN_R_GROSS_ACRE,"&amp;Current_Quarter&amp;")")/1000</f>
        <v>55480</v>
      </c>
      <c r="T6" s="15">
        <f>_xll.FDS(A6,"FF_OG_AREA_TOT(ANN_R_NET_ACRE,"&amp;Current_Quarter&amp;")")/1000</f>
        <v>25860</v>
      </c>
      <c r="U6" s="29">
        <f>_xll.FDS($A6,"FG_PRICE("&amp;Date&amp;")")</f>
        <v>66.510000000000005</v>
      </c>
      <c r="V6" s="29">
        <f>_xll.FDS($A6,"RTP_PRICE_HIGH_52W")</f>
        <v>66.91</v>
      </c>
      <c r="W6" s="26">
        <f>+U6/V6-1</f>
        <v>-5.9781796442981427E-3</v>
      </c>
      <c r="X6" s="31">
        <f>_xll.FDS($A6,"OS_SEC_SI_PCTFLT(0D)")/100</f>
        <v>2.0378870955162748E-2</v>
      </c>
      <c r="Y6" s="30">
        <f>_xll.FDS($A6,"FREF_MARKET_VALUE_COMPANY("&amp;Date&amp;",,,,,0)")</f>
        <v>77892.19200132601</v>
      </c>
      <c r="Z6" s="30">
        <f>_xll.FDS($A6,"FF_CASH_ONLY(QTR,0)")</f>
        <v>1321</v>
      </c>
      <c r="AA6" s="30">
        <f>_xll.FDS($A6,"FF_DEBT(QTR,0)")</f>
        <v>19703</v>
      </c>
      <c r="AB6" s="30">
        <f>+AA6+Y6-Z6</f>
        <v>96274.19200132601</v>
      </c>
      <c r="AC6" s="15">
        <f>_xll.FDS($A6,"FF_OG_RSRV_PROVED_DEV_NET(ANN_R_OIL_BOE,0)")</f>
        <v>1888</v>
      </c>
      <c r="AD6" s="15">
        <f>_xll.FDS($A6,"FF_OG_RSRV_PROVED_DEV_NET(ANN_R_NG_CFE,0)")/1000</f>
        <v>10128</v>
      </c>
      <c r="AE6" s="15">
        <f>IFERROR(_xll.FDS($A6,"FF_OG_RSRV_PROVED_DEV_NET(ANN_R_NGL_BOE,0)"),0)</f>
        <v>271</v>
      </c>
      <c r="AF6" s="15">
        <f>+AC6+AD6/6+AE6</f>
        <v>3847</v>
      </c>
      <c r="AG6" s="15">
        <f>_xll.FDS($A6,"FF_OG_RSRV_PROVED_UNDEV_NET(ANN_R_OIL_BOE,0)")</f>
        <v>767</v>
      </c>
      <c r="AH6" s="15">
        <f>_xll.FDS($A6,"FF_OG_RSRV_PROVED_UNDEV_NET(ANN_R_NG_CFE,0)")/1000</f>
        <v>1778</v>
      </c>
      <c r="AI6" s="15">
        <f>IFERROR(_xll.FDS($A6,"FF_OG_RSRV_PROVED_UNDEV_NET(ANN_R_NGL_BOE,0)"),0)</f>
        <v>128</v>
      </c>
      <c r="AJ6" s="15">
        <f>+AG6+AH6/6+AI6</f>
        <v>1191.3333333333333</v>
      </c>
      <c r="AK6" s="15">
        <f>IF((AJ6+AF6)/_xll.FDS($A6,"FF_OG_TOT_RSRV_PROVED_NET(ANN_R_BOE,0)")-1&lt;0.01,AJ6+AF6,"CHECK RESERVES")</f>
        <v>5038.333333333333</v>
      </c>
      <c r="AL6" s="26">
        <f>+AJ6/AK6</f>
        <v>0.23645385378762818</v>
      </c>
      <c r="AM6" s="39" t="e">
        <f>_xll.FDS($A6,"FE_GUIDANCE(PROD_DAY_OIL_ONLY,MIDPOINT,ANNUAL,+2,0,,,'')")</f>
        <v>#N/A</v>
      </c>
      <c r="AN6" s="39" t="e">
        <f>_xll.FDS($A6,"FE_GUIDANCE(PRODPERDAY,MIDPOINT,ANNUAL,+2,0,,,'')")</f>
        <v>#N/A</v>
      </c>
      <c r="AO6" s="39" t="e">
        <f>_xll.FDS($A6,"FE_GUIDANCE(TOTAL_PROD,MIDPOINT,ANNUAL,+2,0,,,'')")</f>
        <v>#N/A</v>
      </c>
      <c r="AP6" s="39" t="e">
        <f>_xll.FDS($A6,"FE_GUIDANCE(CAPEX,MIDPOINT,ANNUAL,+2,0,,,'')")</f>
        <v>#N/A</v>
      </c>
      <c r="AQ6" s="39" t="str">
        <f>_xll.FDS($A6,"FE_GUIDANCE_DATE(DATEN,CAPEX,ANNUAL,2018,'MM/DD/YYYY',0)")</f>
        <v>02/01/2018</v>
      </c>
    </row>
    <row r="7" spans="1:43" ht="18.75" x14ac:dyDescent="0.3">
      <c r="A7" s="12" t="s">
        <v>20</v>
      </c>
      <c r="B7" s="13" t="str">
        <f>_xll.FDS($A7,"FG_COMPANY_NAME")</f>
        <v>Callon Petroleum Company</v>
      </c>
      <c r="C7" s="14">
        <f>IFERROR(IFERROR(_xll.FDS($A7,"FF_OG_PROD_DAY(QTR_R_OIL_BOE,"&amp;Current_Quarter&amp;")"),_xll.FDS($A7,"FF_OG_PROD_TOT_NET(QTR_R_OIL_BOE,"&amp;Current_Quarter&amp;")")/Inputs!$C$20),0)</f>
        <v>20.9437</v>
      </c>
      <c r="D7" s="15">
        <f>IFERROR(IFERROR(_xll.FDS($A7,"FF_OG_PROD_DAY(QTR_R_NG_CFE,"&amp;Current_Quarter&amp;")")/1000,_xll.FDS($A7,"FF_OG_PROD_TOT_NET(QTR_R_NG_CFE,"&amp;Current_Quarter&amp;")")/1000/Inputs!$C$20),0)</f>
        <v>33.403860000000002</v>
      </c>
      <c r="E7" s="15">
        <f>IFERROR(IFERROR(_xll.FDS($A7,"FF_OG_PROD_DAY(QTR_R_NGL_BOE,"&amp;Current_Quarter&amp;")"),_xll.FDS($A7,"FF_OG_PROD_TOT_NET(QTR_R_NGL_BOE,"&amp;Current_Quarter&amp;")")/Inputs!$C$20),0)</f>
        <v>0</v>
      </c>
      <c r="F7" s="14">
        <f>+C7+D7/6+E7</f>
        <v>26.511009999999999</v>
      </c>
      <c r="G7" s="21">
        <f>(C7*Inputs!$C$15+D7*Inputs!$C$16+E7*Inputs!$C$17)*Inputs!$C$20</f>
        <v>124828.68936</v>
      </c>
      <c r="H7" s="19">
        <f>+G7/(F7*92)</f>
        <v>51.180003326919646</v>
      </c>
      <c r="I7" s="19">
        <f>_xll.FDS($A7,"FF_OG_PROD_EXP(QTR_R,"&amp;Current_Quarter&amp;")")/($F7*Inputs!$C$20/1000)</f>
        <v>7.9651074583073544</v>
      </c>
      <c r="J7" s="19">
        <f>_xll.FDS($A7,"FF_DEP_AMORT_EXP(QTR_R,"&amp;Current_Quarter&amp;")")/($F7*Inputs!$C$20/1000)</f>
        <v>15.324232066798562</v>
      </c>
      <c r="K7" s="19">
        <f>_xll.FDS($A7,"FF_SGA(QTR_R,"&amp;Current_Quarter&amp;")")/($F7*Inputs!$C$20/1000)</f>
        <v>3.3505357568995575</v>
      </c>
      <c r="L7" s="19">
        <f>+H7-I7-K7</f>
        <v>39.864360111712728</v>
      </c>
      <c r="M7" s="19">
        <f>+H7-I7-J7-K7</f>
        <v>24.540128044914169</v>
      </c>
      <c r="N7" s="14">
        <f>IFERROR(IFERROR(_xll.FDS($A7,"FF_OG_PROD_DAY(QTR_R_OIL_BOE,"&amp;Prev_Quarter&amp;")"),_xll.FDS($A7,"FF_OG_PROD_TOT_NET(QTR_R_OIL_BOE,"&amp;Prev_Quarter&amp;")")/Inputs!$C$20),0)</f>
        <v>17.3581</v>
      </c>
      <c r="O7" s="15">
        <f>IFERROR(IFERROR(_xll.FDS($A7,"FF_OG_PROD_DAY(QTR_R_NG_CFE,"&amp;Prev_Quarter&amp;")")/1000,_xll.FDS($A7,"FF_OG_PROD_TOT_NET(QTR_R_NG_CFE,"&amp;Prev_Quarter&amp;")")/1000/Inputs!$C$20),0)</f>
        <v>31.10934</v>
      </c>
      <c r="P7" s="15">
        <f>IFERROR(IFERROR(_xll.FDS($A7,"FF_OG_PROD_DAY(QTR_R_NGL_BOE,"&amp;Prev_Quarter&amp;")"),_xll.FDS($A7,"FF_OG_PROD_TOT_NET(QTR_R_NGL_BOE,"&amp;Prev_Quarter&amp;")")/Inputs!$C$20),0)</f>
        <v>0</v>
      </c>
      <c r="Q7" s="14">
        <f>+N7+O7/6+P7</f>
        <v>22.54299</v>
      </c>
      <c r="R7" s="27">
        <f>+F7/Q7-1</f>
        <v>0.1760201286519667</v>
      </c>
      <c r="S7" s="15">
        <f>_xll.FDS(A7,"FF_OG_AREA_TOT(ANN_R_GROSS_ACRE,"&amp;Current_Quarter&amp;")")/1000</f>
        <v>87.704999999999998</v>
      </c>
      <c r="T7" s="15">
        <f>_xll.FDS(A7,"FF_OG_AREA_TOT(ANN_R_NET_ACRE,"&amp;Current_Quarter&amp;")")/1000</f>
        <v>57.735999999999997</v>
      </c>
      <c r="U7" s="29">
        <f>_xll.FDS($A7,"FG_PRICE("&amp;Date&amp;")")</f>
        <v>13.55</v>
      </c>
      <c r="V7" s="29">
        <f>_xll.FDS($A7,"RTP_PRICE_HIGH_52W")</f>
        <v>13.64</v>
      </c>
      <c r="W7" s="26">
        <f>+U7/V7-1</f>
        <v>-6.5982404692082053E-3</v>
      </c>
      <c r="X7" s="31">
        <f>_xll.FDS($A7,"OS_SEC_SI_PCTFLT(0D)")/100</f>
        <v>0.2025574817462385</v>
      </c>
      <c r="Y7" s="30">
        <f>_xll.FDS($A7,"FREF_MARKET_VALUE_COMPANY("&amp;Date&amp;",,,,,0)")</f>
        <v>2736.39541205368</v>
      </c>
      <c r="Z7" s="30">
        <f>_xll.FDS($A7,"FF_CASH_ONLY(QTR,0)")</f>
        <v>27.995000000000001</v>
      </c>
      <c r="AA7" s="30">
        <f>_xll.FDS($A7,"FF_DEBT(QTR,0)")</f>
        <v>620.19600000000003</v>
      </c>
      <c r="AB7" s="30">
        <f>+AA7+Y7-Z7</f>
        <v>3328.5964120536801</v>
      </c>
      <c r="AC7" s="15">
        <f>_xll.FDS($A7,"FF_OG_RSRV_PROVED_DEV_NET(ANN_R_OIL_BOE,0)")</f>
        <v>51.92</v>
      </c>
      <c r="AD7" s="15">
        <f>_xll.FDS($A7,"FF_OG_RSRV_PROVED_DEV_NET(ANN_R_NG_CFE,0)")/1000</f>
        <v>104.389</v>
      </c>
      <c r="AE7" s="15">
        <f>IFERROR(_xll.FDS($A7,"FF_OG_RSRV_PROVED_DEV_NET(ANN_R_NGL_BOE,0)"),0)</f>
        <v>0</v>
      </c>
      <c r="AF7" s="15">
        <f>+AC7+AD7/6+AE7</f>
        <v>69.31816666666667</v>
      </c>
      <c r="AG7" s="15">
        <f>_xll.FDS($A7,"FF_OG_RSRV_PROVED_UNDEV_NET(ANN_R_OIL_BOE,0)")</f>
        <v>55.152000000000001</v>
      </c>
      <c r="AH7" s="15">
        <f>_xll.FDS($A7,"FF_OG_RSRV_PROVED_UNDEV_NET(ANN_R_NG_CFE,0)")/1000</f>
        <v>75.021000000000001</v>
      </c>
      <c r="AI7" s="15">
        <f>IFERROR(_xll.FDS($A7,"FF_OG_RSRV_PROVED_UNDEV_NET(ANN_R_NGL_BOE,0)"),0)</f>
        <v>0</v>
      </c>
      <c r="AJ7" s="15">
        <f>+AG7+AH7/6+AI7</f>
        <v>67.655500000000004</v>
      </c>
      <c r="AK7" s="15">
        <f>IF((AJ7+AF7)/_xll.FDS($A7,"FF_OG_TOT_RSRV_PROVED_NET(ANN_R_BOE,0)")-1&lt;0.01,AJ7+AF7,"CHECK RESERVES")</f>
        <v>136.97366666666667</v>
      </c>
      <c r="AL7" s="26">
        <f>+AJ7/AK7</f>
        <v>0.49393070687553081</v>
      </c>
      <c r="AM7" s="39" t="e">
        <f>_xll.FDS($A7,"FE_GUIDANCE(PROD_DAY_OIL_ONLY,MIDPOINT,ANNUAL,+2,0,,,'')")</f>
        <v>#N/A</v>
      </c>
      <c r="AN7" s="39" t="e">
        <f>_xll.FDS($A7,"FE_GUIDANCE(PRODPERDAY,MIDPOINT,ANNUAL,+2,0,,,'')")</f>
        <v>#N/A</v>
      </c>
      <c r="AO7" s="39" t="e">
        <f>_xll.FDS($A7,"FE_GUIDANCE(TOTAL_PROD,MIDPOINT,ANNUAL,+2,0,,,'')")</f>
        <v>#N/A</v>
      </c>
      <c r="AP7" s="39" t="e">
        <f>_xll.FDS($A7,"FE_GUIDANCE(CAPEX,MIDPOINT,ANNUAL,+2,0,,,'')")</f>
        <v>#N/A</v>
      </c>
      <c r="AQ7" s="39" t="str">
        <f>_xll.FDS($A7,"FE_GUIDANCE_DATE(DATEN,CAPEX,ANNUAL,2018,'MM/DD/YYYY',0)")</f>
        <v>02/28/2018</v>
      </c>
    </row>
    <row r="8" spans="1:43" ht="18.75" x14ac:dyDescent="0.3">
      <c r="A8" s="12" t="s">
        <v>17</v>
      </c>
      <c r="B8" s="13" t="str">
        <f>_xll.FDS($A8,"FG_COMPANY_NAME")</f>
        <v>Carrizo Oil &amp; Gas, Inc.</v>
      </c>
      <c r="C8" s="14">
        <f>IFERROR(IFERROR(_xll.FDS($A8,"FF_OG_PROD_DAY(QTR_R_OIL_BOE,"&amp;Current_Quarter&amp;")"),_xll.FDS($A8,"FF_OG_PROD_TOT_NET(QTR_R_OIL_BOE,"&amp;Current_Quarter&amp;")")/Inputs!$C$20),0)</f>
        <v>40.206000000000003</v>
      </c>
      <c r="D8" s="15">
        <f>IFERROR(IFERROR(_xll.FDS($A8,"FF_OG_PROD_DAY(QTR_R_NG_CFE,"&amp;Current_Quarter&amp;")")/1000,_xll.FDS($A8,"FF_OG_PROD_TOT_NET(QTR_R_NG_CFE,"&amp;Current_Quarter&amp;")")/1000/Inputs!$C$20),0)</f>
        <v>78.182000000000002</v>
      </c>
      <c r="E8" s="15">
        <f>IFERROR(IFERROR(_xll.FDS($A8,"FF_OG_PROD_DAY(QTR_R_NGL_BOE,"&amp;Current_Quarter&amp;")"),_xll.FDS($A8,"FF_OG_PROD_TOT_NET(QTR_R_NGL_BOE,"&amp;Current_Quarter&amp;")")/Inputs!$C$20),0)</f>
        <v>9.1809999999999992</v>
      </c>
      <c r="F8" s="14">
        <f>+C8+D8/6+E8</f>
        <v>62.417333333333332</v>
      </c>
      <c r="G8" s="21">
        <f>(C8*Inputs!$C$15+D8*Inputs!$C$16+E8*Inputs!$C$17)*Inputs!$C$20</f>
        <v>267165.60800000001</v>
      </c>
      <c r="H8" s="19">
        <f>+G8/(F8*92)</f>
        <v>46.525121227009599</v>
      </c>
      <c r="I8" s="19">
        <f>_xll.FDS($A8,"FF_OG_PROD_EXP(QTR_R,"&amp;Current_Quarter&amp;")")/($F8*Inputs!$C$20/1000)</f>
        <v>9.0545848932710076</v>
      </c>
      <c r="J8" s="19">
        <f>_xll.FDS($A8,"FF_DEP_AMORT_EXP(QTR_R,"&amp;Current_Quarter&amp;")")/($F8*Inputs!$C$20/1000)</f>
        <v>14.205049414924693</v>
      </c>
      <c r="K8" s="19">
        <f>_xll.FDS($A8,"FF_SGA(QTR_R,"&amp;Current_Quarter&amp;")")/($F8*Inputs!$C$20/1000)</f>
        <v>2.9431972166780134</v>
      </c>
      <c r="L8" s="19">
        <f>+H8-I8-K8</f>
        <v>34.527339117060578</v>
      </c>
      <c r="M8" s="19">
        <f>+H8-I8-J8-K8</f>
        <v>20.322289702135887</v>
      </c>
      <c r="N8" s="14">
        <f>IFERROR(IFERROR(_xll.FDS($A8,"FF_OG_PROD_DAY(QTR_R_OIL_BOE,"&amp;Prev_Quarter&amp;")"),_xll.FDS($A8,"FF_OG_PROD_TOT_NET(QTR_R_OIL_BOE,"&amp;Prev_Quarter&amp;")")/Inputs!$C$20),0)</f>
        <v>34.902999999999999</v>
      </c>
      <c r="O8" s="15">
        <f>IFERROR(IFERROR(_xll.FDS($A8,"FF_OG_PROD_DAY(QTR_R_NG_CFE,"&amp;Prev_Quarter&amp;")")/1000,_xll.FDS($A8,"FF_OG_PROD_TOT_NET(QTR_R_NG_CFE,"&amp;Prev_Quarter&amp;")")/1000/Inputs!$C$20),0)</f>
        <v>81.265000000000001</v>
      </c>
      <c r="P8" s="15">
        <f>IFERROR(IFERROR(_xll.FDS($A8,"FF_OG_PROD_DAY(QTR_R_NGL_BOE,"&amp;Prev_Quarter&amp;")"),_xll.FDS($A8,"FF_OG_PROD_TOT_NET(QTR_R_NGL_BOE,"&amp;Prev_Quarter&amp;")")/Inputs!$C$20),0)</f>
        <v>6.7770000000000001</v>
      </c>
      <c r="Q8" s="14">
        <f>+N8+O8/6+P8</f>
        <v>55.224166666666669</v>
      </c>
      <c r="R8" s="27">
        <f>+F8/Q8-1</f>
        <v>0.13025396490063224</v>
      </c>
      <c r="S8" s="15">
        <f>_xll.FDS(A8,"FF_OG_AREA_TOT(ANN_R_GROSS_ACRE,"&amp;Current_Quarter&amp;")")/1000</f>
        <v>352.67599999999999</v>
      </c>
      <c r="T8" s="15">
        <f>_xll.FDS(A8,"FF_OG_AREA_TOT(ANN_R_NET_ACRE,"&amp;Current_Quarter&amp;")")/1000</f>
        <v>221.721</v>
      </c>
      <c r="U8" s="29">
        <f>_xll.FDS($A8,"FG_PRICE("&amp;Date&amp;")")</f>
        <v>17.13</v>
      </c>
      <c r="V8" s="29">
        <f>_xll.FDS($A8,"RTP_PRICE_HIGH_52W")</f>
        <v>28.295000000000002</v>
      </c>
      <c r="W8" s="26">
        <f>+U8/V8-1</f>
        <v>-0.39459268421982685</v>
      </c>
      <c r="X8" s="31">
        <f>_xll.FDS($A8,"OS_SEC_SI_PCTFLT(0D)")/100</f>
        <v>0.20459131029332092</v>
      </c>
      <c r="Y8" s="30">
        <f>_xll.FDS($A8,"FREF_MARKET_VALUE_COMPANY("&amp;Date&amp;",,,,,0)")</f>
        <v>1405.619206953736</v>
      </c>
      <c r="Z8" s="30">
        <f>_xll.FDS($A8,"FF_CASH_ONLY(QTR,0)")</f>
        <v>9.5399999999999991</v>
      </c>
      <c r="AA8" s="30">
        <f>_xll.FDS($A8,"FF_DEBT(QTR,0)")</f>
        <v>1629.2090000000001</v>
      </c>
      <c r="AB8" s="30">
        <f>+AA8+Y8-Z8</f>
        <v>3025.2882069537363</v>
      </c>
      <c r="AC8" s="15">
        <f>_xll.FDS($A8,"FF_OG_RSRV_PROVED_DEV_NET(ANN_R_OIL_BOE,0)")</f>
        <v>69.632000000000005</v>
      </c>
      <c r="AD8" s="15">
        <f>_xll.FDS($A8,"FF_OG_RSRV_PROVED_DEV_NET(ANN_R_NG_CFE,0)")/1000</f>
        <v>131.35499999999999</v>
      </c>
      <c r="AE8" s="15">
        <f>IFERROR(_xll.FDS($A8,"FF_OG_RSRV_PROVED_DEV_NET(ANN_R_NGL_BOE,0)"),0)</f>
        <v>17.446999999999999</v>
      </c>
      <c r="AF8" s="15">
        <f>+AC8+AD8/6+AE8</f>
        <v>108.97150000000001</v>
      </c>
      <c r="AG8" s="15">
        <f>_xll.FDS($A8,"FF_OG_RSRV_PROVED_UNDEV_NET(ANN_R_OIL_BOE,0)")</f>
        <v>97.742000000000004</v>
      </c>
      <c r="AH8" s="15">
        <f>_xll.FDS($A8,"FF_OG_RSRV_PROVED_UNDEV_NET(ANN_R_NG_CFE,0)")/1000</f>
        <v>179.11500000000001</v>
      </c>
      <c r="AI8" s="15">
        <f>IFERROR(_xll.FDS($A8,"FF_OG_RSRV_PROVED_UNDEV_NET(ANN_R_NGL_BOE,0)"),0)</f>
        <v>25.151</v>
      </c>
      <c r="AJ8" s="15">
        <f>+AG8+AH8/6+AI8</f>
        <v>152.74550000000002</v>
      </c>
      <c r="AK8" s="15">
        <f>IF((AJ8+AF8)/_xll.FDS($A8,"FF_OG_TOT_RSRV_PROVED_NET(ANN_R_BOE,0)")-1&lt;0.01,AJ8+AF8,"CHECK RESERVES")</f>
        <v>261.71700000000004</v>
      </c>
      <c r="AL8" s="26">
        <f>+AJ8/AK8</f>
        <v>0.58362849948608608</v>
      </c>
      <c r="AM8" s="39" t="e">
        <f>_xll.FDS($A8,"FE_GUIDANCE(PROD_DAY_OIL_ONLY,MIDPOINT,ANNUAL,+2,0,,,'')")</f>
        <v>#N/A</v>
      </c>
      <c r="AN8" s="39" t="e">
        <f>_xll.FDS($A8,"FE_GUIDANCE(PRODPERDAY,MIDPOINT,ANNUAL,+2,0,,,'')")</f>
        <v>#N/A</v>
      </c>
      <c r="AO8" s="39" t="e">
        <f>_xll.FDS($A8,"FE_GUIDANCE(TOTAL_PROD,MIDPOINT,ANNUAL,+2,0,,,'')")</f>
        <v>#N/A</v>
      </c>
      <c r="AP8" s="39" t="e">
        <f>_xll.FDS($A8,"FE_GUIDANCE(CAPEX,MIDPOINT,ANNUAL,+2,0,,,'')")</f>
        <v>#N/A</v>
      </c>
      <c r="AQ8" s="39" t="str">
        <f>_xll.FDS($A8,"FE_GUIDANCE_DATE(DATEN,CAPEX,ANNUAL,2018,'MM/DD/YYYY',0)")</f>
        <v>02/27/2018</v>
      </c>
    </row>
    <row r="9" spans="1:43" ht="18.75" x14ac:dyDescent="0.3">
      <c r="A9" s="12" t="s">
        <v>7</v>
      </c>
      <c r="B9" s="13" t="str">
        <f>_xll.FDS($A9,"FG_COMPANY_NAME")</f>
        <v>Concho Resources Inc.</v>
      </c>
      <c r="C9" s="14">
        <f>IFERROR(IFERROR(_xll.FDS($A9,"FF_OG_PROD_DAY(QTR_R_OIL_BOE,"&amp;Current_Quarter&amp;")"),_xll.FDS($A9,"FF_OG_PROD_TOT_NET(QTR_R_OIL_BOE,"&amp;Current_Quarter&amp;")")/Inputs!$C$20),0)</f>
        <v>129.83699999999999</v>
      </c>
      <c r="D9" s="15">
        <f>IFERROR(IFERROR(_xll.FDS($A9,"FF_OG_PROD_DAY(QTR_R_NG_CFE,"&amp;Current_Quarter&amp;")")/1000,_xll.FDS($A9,"FF_OG_PROD_TOT_NET(QTR_R_NG_CFE,"&amp;Current_Quarter&amp;")")/1000/Inputs!$C$20),0)</f>
        <v>487.47800000000001</v>
      </c>
      <c r="E9" s="15">
        <f>IFERROR(IFERROR(_xll.FDS($A9,"FF_OG_PROD_DAY(QTR_R_NGL_BOE,"&amp;Current_Quarter&amp;")"),_xll.FDS($A9,"FF_OG_PROD_TOT_NET(QTR_R_NGL_BOE,"&amp;Current_Quarter&amp;")")/Inputs!$C$20),0)</f>
        <v>0</v>
      </c>
      <c r="F9" s="14">
        <f>+C9+D9/6+E9</f>
        <v>211.08333333333331</v>
      </c>
      <c r="G9" s="21">
        <f>(C9*Inputs!$C$15+D9*Inputs!$C$16+E9*Inputs!$C$17)*Inputs!$C$20</f>
        <v>851244.16799999983</v>
      </c>
      <c r="H9" s="19">
        <f>+G9/(F9*92)</f>
        <v>43.834128701144884</v>
      </c>
      <c r="I9" s="19">
        <f>_xll.FDS($A9,"FF_OG_PROD_EXP(QTR_R,"&amp;Current_Quarter&amp;")")/($F9*Inputs!$C$20/1000)</f>
        <v>8.9599890145728569</v>
      </c>
      <c r="J9" s="19">
        <f>_xll.FDS($A9,"FF_DEP_AMORT_EXP(QTR_R,"&amp;Current_Quarter&amp;")")/($F9*Inputs!$C$20/1000)</f>
        <v>15.34526854219949</v>
      </c>
      <c r="K9" s="19">
        <f>_xll.FDS($A9,"FF_SGA(QTR_R,"&amp;Current_Quarter&amp;")")/($F9*Inputs!$C$20/1000)</f>
        <v>3.2956281432911658</v>
      </c>
      <c r="L9" s="19">
        <f>+H9-I9-K9</f>
        <v>31.578511543280865</v>
      </c>
      <c r="M9" s="19">
        <f>+H9-I9-J9-K9</f>
        <v>16.233243001081373</v>
      </c>
      <c r="N9" s="14">
        <f>IFERROR(IFERROR(_xll.FDS($A9,"FF_OG_PROD_DAY(QTR_R_OIL_BOE,"&amp;Prev_Quarter&amp;")"),_xll.FDS($A9,"FF_OG_PROD_TOT_NET(QTR_R_OIL_BOE,"&amp;Prev_Quarter&amp;")")/Inputs!$C$20),0)</f>
        <v>119.565</v>
      </c>
      <c r="O9" s="15">
        <f>IFERROR(IFERROR(_xll.FDS($A9,"FF_OG_PROD_DAY(QTR_R_NG_CFE,"&amp;Prev_Quarter&amp;")")/1000,_xll.FDS($A9,"FF_OG_PROD_TOT_NET(QTR_R_NG_CFE,"&amp;Prev_Quarter&amp;")")/1000/Inputs!$C$20),0)</f>
        <v>441.58699999999999</v>
      </c>
      <c r="P9" s="15">
        <f>IFERROR(IFERROR(_xll.FDS($A9,"FF_OG_PROD_DAY(QTR_R_NGL_BOE,"&amp;Prev_Quarter&amp;")"),_xll.FDS($A9,"FF_OG_PROD_TOT_NET(QTR_R_NGL_BOE,"&amp;Prev_Quarter&amp;")")/Inputs!$C$20),0)</f>
        <v>0</v>
      </c>
      <c r="Q9" s="14">
        <f>+N9+O9/6+P9</f>
        <v>193.16283333333331</v>
      </c>
      <c r="R9" s="27">
        <f>+F9/Q9-1</f>
        <v>9.2774058501592371E-2</v>
      </c>
      <c r="S9" s="15">
        <f>_xll.FDS(A9,"FF_OG_AREA_TOT(ANN_R_GROSS_ACRE,"&amp;Current_Quarter&amp;")")/1000</f>
        <v>905</v>
      </c>
      <c r="T9" s="15">
        <f>_xll.FDS(A9,"FF_OG_AREA_TOT(ANN_R_NET_ACRE,"&amp;Current_Quarter&amp;")")/1000</f>
        <v>585</v>
      </c>
      <c r="U9" s="29">
        <f>_xll.FDS($A9,"FG_PRICE("&amp;Date&amp;")")</f>
        <v>153.47</v>
      </c>
      <c r="V9" s="29">
        <f>_xll.FDS($A9,"RTP_PRICE_HIGH_52W")</f>
        <v>162.91</v>
      </c>
      <c r="W9" s="26">
        <f>+U9/V9-1</f>
        <v>-5.7946105211466481E-2</v>
      </c>
      <c r="X9" s="31">
        <f>_xll.FDS($A9,"OS_SEC_SI_PCTFLT(0D)")/100</f>
        <v>3.5213678927919177E-2</v>
      </c>
      <c r="Y9" s="30">
        <f>_xll.FDS($A9,"FREF_MARKET_VALUE_COMPANY("&amp;Date&amp;",,,,,0)")</f>
        <v>22877.926420832518</v>
      </c>
      <c r="Z9" s="30">
        <f>_xll.FDS($A9,"FF_CASH_ONLY(QTR,0)")</f>
        <v>0</v>
      </c>
      <c r="AA9" s="30">
        <f>_xll.FDS($A9,"FF_DEBT(QTR,0)")</f>
        <v>2807</v>
      </c>
      <c r="AB9" s="30">
        <f>+AA9+Y9-Z9</f>
        <v>25684.926420832518</v>
      </c>
      <c r="AC9" s="15">
        <f>_xll.FDS($A9,"FF_OG_RSRV_PROVED_DEV_NET(ANN_R_OIL_BOE,0)")</f>
        <v>336</v>
      </c>
      <c r="AD9" s="15">
        <f>_xll.FDS($A9,"FF_OG_RSRV_PROVED_DEV_NET(ANN_R_NG_CFE,0)")/1000</f>
        <v>1512</v>
      </c>
      <c r="AE9" s="15">
        <f>IFERROR(_xll.FDS($A9,"FF_OG_RSRV_PROVED_DEV_NET(ANN_R_NGL_BOE,0)"),0)</f>
        <v>0</v>
      </c>
      <c r="AF9" s="15">
        <f>+AC9+AD9/6+AE9</f>
        <v>588</v>
      </c>
      <c r="AG9" s="15">
        <f>_xll.FDS($A9,"FF_OG_RSRV_PROVED_UNDEV_NET(ANN_R_OIL_BOE,0)")</f>
        <v>164</v>
      </c>
      <c r="AH9" s="15">
        <f>_xll.FDS($A9,"FF_OG_RSRV_PROVED_UNDEV_NET(ANN_R_NG_CFE,0)")/1000</f>
        <v>531</v>
      </c>
      <c r="AI9" s="15">
        <f>IFERROR(_xll.FDS($A9,"FF_OG_RSRV_PROVED_UNDEV_NET(ANN_R_NGL_BOE,0)"),0)</f>
        <v>0</v>
      </c>
      <c r="AJ9" s="15">
        <f>+AG9+AH9/6+AI9</f>
        <v>252.5</v>
      </c>
      <c r="AK9" s="15">
        <f>IF((AJ9+AF9)/_xll.FDS($A9,"FF_OG_TOT_RSRV_PROVED_NET(ANN_R_BOE,0)")-1&lt;0.01,AJ9+AF9,"CHECK RESERVES")</f>
        <v>840.5</v>
      </c>
      <c r="AL9" s="26">
        <f>+AJ9/AK9</f>
        <v>0.30041641879833431</v>
      </c>
      <c r="AM9" s="39" t="e">
        <f>_xll.FDS($A9,"FE_GUIDANCE(PROD_DAY_OIL_ONLY,MIDPOINT,ANNUAL,+2,0,,,'')")</f>
        <v>#N/A</v>
      </c>
      <c r="AN9" s="39" t="e">
        <f>_xll.FDS($A9,"FE_GUIDANCE(PRODPERDAY,MIDPOINT,ANNUAL,+2,0,,,'')")</f>
        <v>#N/A</v>
      </c>
      <c r="AO9" s="39" t="e">
        <f>_xll.FDS($A9,"FE_GUIDANCE(TOTAL_PROD,MIDPOINT,ANNUAL,+2,0,,,'')")</f>
        <v>#N/A</v>
      </c>
      <c r="AP9" s="39" t="e">
        <f>_xll.FDS($A9,"FE_GUIDANCE(CAPEX,MIDPOINT,ANNUAL,+2,0,,,'')")</f>
        <v>#N/A</v>
      </c>
      <c r="AQ9" s="39" t="str">
        <f>_xll.FDS($A9,"FE_GUIDANCE_DATE(DATEN,CAPEX,ANNUAL,2018,'MM/DD/YYYY',0)")</f>
        <v>02/21/2018</v>
      </c>
    </row>
    <row r="10" spans="1:43" ht="18.75" x14ac:dyDescent="0.3">
      <c r="A10" s="12" t="s">
        <v>82</v>
      </c>
      <c r="B10" s="13" t="str">
        <f>_xll.FDS($A10,"FG_COMPANY_NAME")</f>
        <v>Devon Energy Corporation</v>
      </c>
      <c r="C10" s="14">
        <f>IFERROR(IFERROR(_xll.FDS($A10,"FF_OG_PROD_DAY(QTR_R_OIL_BOE,"&amp;Current_Quarter&amp;")"),_xll.FDS($A10,"FF_OG_PROD_TOT_NET(QTR_R_OIL_BOE,"&amp;Current_Quarter&amp;")")/Inputs!$C$20),0)</f>
        <v>246</v>
      </c>
      <c r="D10" s="15">
        <f>IFERROR(IFERROR(_xll.FDS($A10,"FF_OG_PROD_DAY(QTR_R_NG_CFE,"&amp;Current_Quarter&amp;")")/1000,_xll.FDS($A10,"FF_OG_PROD_TOT_NET(QTR_R_NG_CFE,"&amp;Current_Quarter&amp;")")/1000/Inputs!$C$20),0)</f>
        <v>1175</v>
      </c>
      <c r="E10" s="15">
        <f>IFERROR(IFERROR(_xll.FDS($A10,"FF_OG_PROD_DAY(QTR_R_NGL_BOE,"&amp;Current_Quarter&amp;")"),_xll.FDS($A10,"FF_OG_PROD_TOT_NET(QTR_R_NGL_BOE,"&amp;Current_Quarter&amp;")")/Inputs!$C$20),0)</f>
        <v>106</v>
      </c>
      <c r="F10" s="14">
        <f>+C10+D10/6+E10</f>
        <v>547.83333333333337</v>
      </c>
      <c r="G10" s="21">
        <f>(C10*Inputs!$C$15+D10*Inputs!$C$16+E10*Inputs!$C$17)*Inputs!$C$20</f>
        <v>1955276</v>
      </c>
      <c r="H10" s="19">
        <f>+G10/(F10*92)</f>
        <v>38.79464557347125</v>
      </c>
      <c r="I10" s="19">
        <f>(_xll.FDS($A10,"FF_OG_PROD_EXP(QTR_R,"&amp;Current_Quarter&amp;")")+163)/($F10*Inputs!$C$20/1000)</f>
        <v>9.1863864234600054</v>
      </c>
      <c r="J10" s="19">
        <f>_xll.FDS($A10,"FF_DEP_AMORT_EXP(QTR_R,"&amp;Current_Quarter&amp;")")/($F10*Inputs!$C$20/1000)</f>
        <v>13.531567042763983</v>
      </c>
      <c r="K10" s="19">
        <f>_xll.FDS($A10,"FF_SGA(QTR_R,"&amp;Current_Quarter&amp;")")/($F10*Inputs!$C$20/1000)</f>
        <v>4.4047036414862228</v>
      </c>
      <c r="L10" s="19">
        <f>+H10-I10-K10</f>
        <v>25.203555508525021</v>
      </c>
      <c r="M10" s="19">
        <f>+H10-I10-J10-K10</f>
        <v>11.671988465761039</v>
      </c>
      <c r="N10" s="14">
        <f>IFERROR(IFERROR(_xll.FDS($A10,"FF_OG_PROD_DAY(QTR_R_OIL_BOE,"&amp;Prev_Quarter&amp;")"),_xll.FDS($A10,"FF_OG_PROD_TOT_NET(QTR_R_OIL_BOE,"&amp;Prev_Quarter&amp;")")/Inputs!$C$20),0)</f>
        <v>233</v>
      </c>
      <c r="O10" s="15">
        <f>IFERROR(IFERROR(_xll.FDS($A10,"FF_OG_PROD_DAY(QTR_R_NG_CFE,"&amp;Prev_Quarter&amp;")")/1000,_xll.FDS($A10,"FF_OG_PROD_TOT_NET(QTR_R_NG_CFE,"&amp;Prev_Quarter&amp;")")/1000/Inputs!$C$20),0)</f>
        <v>1201</v>
      </c>
      <c r="P10" s="15">
        <f>IFERROR(IFERROR(_xll.FDS($A10,"FF_OG_PROD_DAY(QTR_R_NGL_BOE,"&amp;Prev_Quarter&amp;")"),_xll.FDS($A10,"FF_OG_PROD_TOT_NET(QTR_R_NGL_BOE,"&amp;Prev_Quarter&amp;")")/Inputs!$C$20),0)</f>
        <v>94</v>
      </c>
      <c r="Q10" s="14">
        <f>+N10+O10/6+P10</f>
        <v>527.16666666666663</v>
      </c>
      <c r="R10" s="27">
        <f>+F10/Q10-1</f>
        <v>3.9203288017704896E-2</v>
      </c>
      <c r="S10" s="15">
        <f>_xll.FDS(A10,"FF_OG_AREA_TOT(ANN_R_GROSS_ACRE,"&amp;Current_Quarter&amp;")")/1000</f>
        <v>8171</v>
      </c>
      <c r="T10" s="15">
        <f>_xll.FDS(A10,"FF_OG_AREA_TOT(ANN_R_NET_ACRE,"&amp;Current_Quarter&amp;")")/1000</f>
        <v>4273</v>
      </c>
      <c r="U10" s="29">
        <f>_xll.FDS($A10,"FG_PRICE("&amp;Date&amp;")")</f>
        <v>33.69</v>
      </c>
      <c r="V10" s="29">
        <f>_xll.FDS($A10,"RTP_PRICE_HIGH_52W")</f>
        <v>45.16</v>
      </c>
      <c r="W10" s="26">
        <f>+U10/V10-1</f>
        <v>-0.25398582816651905</v>
      </c>
      <c r="X10" s="31">
        <f>_xll.FDS($A10,"OS_SEC_SI_PCTFLT(0D)")/100</f>
        <v>3.3741729784893544E-2</v>
      </c>
      <c r="Y10" s="30">
        <f>_xll.FDS($A10,"FREF_MARKET_VALUE_COMPANY("&amp;Date&amp;",,,,,0)")</f>
        <v>17724.307455001861</v>
      </c>
      <c r="Z10" s="30">
        <f>_xll.FDS($A10,"FF_CASH_ONLY(QTR,0)")</f>
        <v>2673</v>
      </c>
      <c r="AA10" s="30">
        <f>_xll.FDS($A10,"FF_DEBT(QTR,0)")</f>
        <v>10406</v>
      </c>
      <c r="AB10" s="30">
        <f>+AA10+Y10-Z10</f>
        <v>25457.307455001861</v>
      </c>
      <c r="AC10" s="15">
        <f>_xll.FDS($A10,"FF_OG_RSRV_PROVED_DEV_NET(ANN_R_OIL_BOE,0)")</f>
        <v>393</v>
      </c>
      <c r="AD10" s="15">
        <f>_xll.FDS($A10,"FF_OG_RSRV_PROVED_DEV_NET(ANN_R_NG_CFE,0)")/1000</f>
        <v>5632</v>
      </c>
      <c r="AE10" s="15">
        <f>IFERROR(_xll.FDS($A10,"FF_OG_RSRV_PROVED_DEV_NET(ANN_R_NGL_BOE,0)"),0)</f>
        <v>410</v>
      </c>
      <c r="AF10" s="15">
        <f>+AC10+AD10/6+AE10</f>
        <v>1741.6666666666665</v>
      </c>
      <c r="AG10" s="15">
        <f>_xll.FDS($A10,"FF_OG_RSRV_PROVED_UNDEV_NET(ANN_R_OIL_BOE,0)")</f>
        <v>288</v>
      </c>
      <c r="AH10" s="15">
        <f>_xll.FDS($A10,"FF_OG_RSRV_PROVED_UNDEV_NET(ANN_R_NG_CFE,0)")/1000</f>
        <v>355</v>
      </c>
      <c r="AI10" s="15">
        <f>IFERROR(_xll.FDS($A10,"FF_OG_RSRV_PROVED_UNDEV_NET(ANN_R_NGL_BOE,0)"),0)</f>
        <v>63</v>
      </c>
      <c r="AJ10" s="15">
        <f>+AG10+AH10/6+AI10</f>
        <v>410.16666666666669</v>
      </c>
      <c r="AK10" s="15">
        <f>IF((AJ10+AF10)/_xll.FDS($A10,"FF_OG_TOT_RSRV_PROVED_NET(ANN_R_BOE,0)")-1&lt;0.01,AJ10+AF10,"CHECK RESERVES")</f>
        <v>2151.833333333333</v>
      </c>
      <c r="AL10" s="26">
        <f>+AJ10/AK10</f>
        <v>0.19061265587483545</v>
      </c>
      <c r="AM10" s="39" t="e">
        <f>_xll.FDS($A10,"FE_GUIDANCE(PROD_DAY_OIL_ONLY,MIDPOINT,ANNUAL,+2,0,,,'')")</f>
        <v>#N/A</v>
      </c>
      <c r="AN10" s="39" t="e">
        <f>_xll.FDS($A10,"FE_GUIDANCE(PRODPERDAY,MIDPOINT,ANNUAL,+2,0,,,'')")</f>
        <v>#N/A</v>
      </c>
      <c r="AO10" s="39" t="e">
        <f>_xll.FDS($A10,"FE_GUIDANCE(TOTAL_PROD,MIDPOINT,ANNUAL,+2,0,,,'')")</f>
        <v>#N/A</v>
      </c>
      <c r="AP10" s="39" t="e">
        <f>_xll.FDS($A10,"FE_GUIDANCE(CAPEX,MIDPOINT,ANNUAL,+2,0,,,'')")</f>
        <v>#N/A</v>
      </c>
      <c r="AQ10" s="39" t="str">
        <f>_xll.FDS($A10,"FE_GUIDANCE_DATE(DATEN,CAPEX,ANNUAL,2018,'MM/DD/YYYY',0)")</f>
        <v>02/21/2018</v>
      </c>
    </row>
    <row r="11" spans="1:43" ht="18.75" x14ac:dyDescent="0.3">
      <c r="A11" s="12" t="s">
        <v>6</v>
      </c>
      <c r="B11" s="13" t="str">
        <f>_xll.FDS($A11,"FG_COMPANY_NAME")</f>
        <v>Encana Corporation</v>
      </c>
      <c r="C11" s="14">
        <f>IFERROR(IFERROR(_xll.FDS($A11,"FF_OG_PROD_DAY(QTR_R_OIL_BOE,"&amp;Current_Quarter&amp;")"),_xll.FDS($A11,"FF_OG_PROD_TOT_NET(QTR_R_OIL_BOE,"&amp;Current_Quarter&amp;")")/Inputs!$C$20),0)</f>
        <v>111.4</v>
      </c>
      <c r="D11" s="15">
        <f>IFERROR(IFERROR(_xll.FDS($A11,"FF_OG_PROD_DAY(QTR_R_NG_CFE,"&amp;Current_Quarter&amp;")")/1000,_xll.FDS($A11,"FF_OG_PROD_TOT_NET(QTR_R_NG_CFE,"&amp;Current_Quarter&amp;")")/1000/Inputs!$C$20),0)</f>
        <v>1188</v>
      </c>
      <c r="E11" s="15">
        <f>IFERROR(IFERROR(_xll.FDS($A11,"FF_OG_PROD_DAY(QTR_R_NGL_BOE,"&amp;Current_Quarter&amp;")"),_xll.FDS($A11,"FF_OG_PROD_TOT_NET(QTR_R_NGL_BOE,"&amp;Current_Quarter&amp;")")/Inputs!$C$20),0)</f>
        <v>79.2</v>
      </c>
      <c r="F11" s="14">
        <f>+C11+D11/6+E11</f>
        <v>388.59999999999997</v>
      </c>
      <c r="G11" s="21">
        <f>(C11*Inputs!$C$15+D11*Inputs!$C$16+E11*Inputs!$C$17)*Inputs!$C$20</f>
        <v>1146835.2</v>
      </c>
      <c r="H11" s="19">
        <f>+G11/(F11*92)</f>
        <v>32.078229541945447</v>
      </c>
      <c r="I11" s="19">
        <f>(_xll.FDS($A11,"FF_OG_PROD_EXP(QTR_R,"&amp;Current_Quarter&amp;")")+251.7)/($F11*Inputs!$C$20/1000)</f>
        <v>11.06815994987581</v>
      </c>
      <c r="J11" s="19">
        <f>_xll.FDS($A11,"FF_DEP_AMORT_EXP(QTR_R,"&amp;Current_Quarter&amp;")")/($F11*Inputs!$C$20/1000)</f>
        <v>6.9927722705811277</v>
      </c>
      <c r="K11" s="19">
        <f>_xll.FDS($A11,"FF_SGA(QTR_R,"&amp;Current_Quarter&amp;")")/($F11*Inputs!$C$20/1000)</f>
        <v>2.4055136610799082</v>
      </c>
      <c r="L11" s="19">
        <f>+H11-I11-K11</f>
        <v>18.604555930989729</v>
      </c>
      <c r="M11" s="19">
        <f>+H11-I11-J11-K11</f>
        <v>11.611783660408602</v>
      </c>
      <c r="N11" s="14">
        <f>IFERROR(IFERROR(_xll.FDS($A11,"FF_OG_PROD_DAY(QTR_R_OIL_BOE,"&amp;Prev_Quarter&amp;")"),_xll.FDS($A11,"FF_OG_PROD_TOT_NET(QTR_R_OIL_BOE,"&amp;Prev_Quarter&amp;")")/Inputs!$C$20),0)</f>
        <v>75.2</v>
      </c>
      <c r="O11" s="15">
        <f>IFERROR(IFERROR(_xll.FDS($A11,"FF_OG_PROD_DAY(QTR_R_NG_CFE,"&amp;Prev_Quarter&amp;")")/1000,_xll.FDS($A11,"FF_OG_PROD_TOT_NET(QTR_R_NG_CFE,"&amp;Prev_Quarter&amp;")")/1000/Inputs!$C$20),0)</f>
        <v>939</v>
      </c>
      <c r="P11" s="15">
        <f>IFERROR(IFERROR(_xll.FDS($A11,"FF_OG_PROD_DAY(QTR_R_NGL_BOE,"&amp;Prev_Quarter&amp;")"),_xll.FDS($A11,"FF_OG_PROD_TOT_NET(QTR_R_NGL_BOE,"&amp;Prev_Quarter&amp;")")/Inputs!$C$20),0)</f>
        <v>52.3</v>
      </c>
      <c r="Q11" s="14">
        <f>+N11+O11/6+P11</f>
        <v>284</v>
      </c>
      <c r="R11" s="27">
        <f>+F11/Q11-1</f>
        <v>0.36830985915492942</v>
      </c>
      <c r="S11" s="15">
        <f>_xll.FDS(A11,"FF_OG_AREA_TOT(ANN_R_GROSS_ACRE,"&amp;Current_Quarter&amp;")")/1000</f>
        <v>3468.986124</v>
      </c>
      <c r="T11" s="15">
        <f>_xll.FDS(A11,"FF_OG_AREA_TOT(ANN_R_NET_ACRE,"&amp;Current_Quarter&amp;")")/1000</f>
        <v>2158.991364</v>
      </c>
      <c r="U11" s="29">
        <f>_xll.FDS($A11,"FG_PRICE("&amp;Date&amp;")")</f>
        <v>12.25</v>
      </c>
      <c r="V11" s="29">
        <f>_xll.FDS($A11,"RTP_PRICE_HIGH_52W")</f>
        <v>14.31</v>
      </c>
      <c r="W11" s="26">
        <f>+U11/V11-1</f>
        <v>-0.14395527603074776</v>
      </c>
      <c r="X11" s="31">
        <f>_xll.FDS($A11,"OS_SEC_SI_PCTFLT(0D)")/100</f>
        <v>1.234122058016557E-2</v>
      </c>
      <c r="Y11" s="30">
        <f>_xll.FDS($A11,"FREF_MARKET_VALUE_COMPANY("&amp;Date&amp;",,,,,0)")</f>
        <v>11899.72394223136</v>
      </c>
      <c r="Z11" s="30">
        <f>_xll.FDS($A11,"FF_CASH_ONLY(QTR,0)")</f>
        <v>719</v>
      </c>
      <c r="AA11" s="30">
        <f>_xll.FDS($A11,"FF_DEBT(QTR,0)")</f>
        <v>5836</v>
      </c>
      <c r="AB11" s="30">
        <f>+AA11+Y11-Z11</f>
        <v>17016.723942231358</v>
      </c>
      <c r="AC11" s="15">
        <f>_xll.FDS($A11,"FF_OG_RSRV_PROVED_DEV_NET(ANN_R_OIL_BOE,0)")</f>
        <v>112.3</v>
      </c>
      <c r="AD11" s="15">
        <f>_xll.FDS($A11,"FF_OG_RSRV_PROVED_DEV_NET(ANN_R_NG_CFE,0)")/1000</f>
        <v>1677</v>
      </c>
      <c r="AE11" s="15">
        <f>IFERROR(_xll.FDS($A11,"FF_OG_RSRV_PROVED_DEV_NET(ANN_R_NGL_BOE,0)"),0)</f>
        <v>86.4</v>
      </c>
      <c r="AF11" s="15">
        <f>+AC11+AD11/6+AE11</f>
        <v>478.20000000000005</v>
      </c>
      <c r="AG11" s="15">
        <f>_xll.FDS($A11,"FF_OG_RSRV_PROVED_UNDEV_NET(ANN_R_OIL_BOE,0)")</f>
        <v>89.2</v>
      </c>
      <c r="AH11" s="15">
        <f>_xll.FDS($A11,"FF_OG_RSRV_PROVED_UNDEV_NET(ANN_R_NG_CFE,0)")/1000</f>
        <v>1171</v>
      </c>
      <c r="AI11" s="15">
        <f>IFERROR(_xll.FDS($A11,"FF_OG_RSRV_PROVED_UNDEV_NET(ANN_R_NGL_BOE,0)"),0)</f>
        <v>98.9</v>
      </c>
      <c r="AJ11" s="15">
        <f>+AG11+AH11/6+AI11</f>
        <v>383.26666666666665</v>
      </c>
      <c r="AK11" s="15">
        <f>IF((AJ11+AF11)/_xll.FDS($A11,"FF_OG_TOT_RSRV_PROVED_NET(ANN_R_BOE,0)")-1&lt;0.01,AJ11+AF11,"CHECK RESERVES")</f>
        <v>861.4666666666667</v>
      </c>
      <c r="AL11" s="26">
        <f>+AJ11/AK11</f>
        <v>0.4449001702522829</v>
      </c>
      <c r="AM11" s="39" t="e">
        <f>_xll.FDS($A11,"FE_GUIDANCE(PROD_DAY_OIL_ONLY,MIDPOINT,ANNUAL,+2,0,,,'')")</f>
        <v>#N/A</v>
      </c>
      <c r="AN11" s="39" t="e">
        <f>_xll.FDS($A11,"FE_GUIDANCE(PRODPERDAY,MIDPOINT,ANNUAL,+2,0,,,'')")</f>
        <v>#N/A</v>
      </c>
      <c r="AO11" s="39" t="e">
        <f>_xll.FDS($A11,"FE_GUIDANCE(TOTAL_PROD,MIDPOINT,ANNUAL,+2,0,,,'')")</f>
        <v>#N/A</v>
      </c>
      <c r="AP11" s="39" t="e">
        <f>_xll.FDS($A11,"FE_GUIDANCE(CAPEX,MIDPOINT,ANNUAL,+2,0,,,'')")</f>
        <v>#N/A</v>
      </c>
      <c r="AQ11" s="39" t="str">
        <f>_xll.FDS($A11,"FE_GUIDANCE_DATE(DATEN,CAPEX,ANNUAL,2018,'MM/DD/YYYY',0)")</f>
        <v>02/15/2018</v>
      </c>
    </row>
    <row r="12" spans="1:43" ht="18.75" x14ac:dyDescent="0.3">
      <c r="A12" s="12" t="s">
        <v>9</v>
      </c>
      <c r="B12" s="13" t="str">
        <f>_xll.FDS($A12,"FG_COMPANY_NAME")</f>
        <v>Energen Corporation</v>
      </c>
      <c r="C12" s="14">
        <f>IFERROR(IFERROR(_xll.FDS($A12,"FF_OG_PROD_DAY(QTR_R_OIL_BOE,"&amp;Current_Quarter&amp;")"),_xll.FDS($A12,"FF_OG_PROD_TOT_NET(QTR_R_OIL_BOE,"&amp;Current_Quarter&amp;")")/Inputs!$C$20),0)</f>
        <v>58.1</v>
      </c>
      <c r="D12" s="15">
        <f>IFERROR(IFERROR(_xll.FDS($A12,"FF_OG_PROD_DAY(QTR_R_NG_CFE,"&amp;Current_Quarter&amp;")")/1000,_xll.FDS($A12,"FF_OG_PROD_TOT_NET(QTR_R_NG_CFE,"&amp;Current_Quarter&amp;")")/1000/Inputs!$C$20),0)</f>
        <v>119.9</v>
      </c>
      <c r="E12" s="15">
        <f>IFERROR(IFERROR(_xll.FDS($A12,"FF_OG_PROD_DAY(QTR_R_NGL_BOE,"&amp;Current_Quarter&amp;")"),_xll.FDS($A12,"FF_OG_PROD_TOT_NET(QTR_R_NGL_BOE,"&amp;Current_Quarter&amp;")")/Inputs!$C$20),0)</f>
        <v>19.047599999999999</v>
      </c>
      <c r="F12" s="14">
        <f>+C12+D12/6+E12</f>
        <v>97.130933333333346</v>
      </c>
      <c r="G12" s="21">
        <f>(C12*Inputs!$C$15+D12*Inputs!$C$16+E12*Inputs!$C$17)*Inputs!$C$20</f>
        <v>402871.01760000002</v>
      </c>
      <c r="H12" s="19">
        <f>+G12/(F12*92)</f>
        <v>45.083812640531953</v>
      </c>
      <c r="I12" s="19">
        <f>_xll.FDS($A12,"FF_OG_PROD_EXP(QTR_R,"&amp;Current_Quarter&amp;")")/($F12*Inputs!$C$20/1000)</f>
        <v>8.0610597880548038</v>
      </c>
      <c r="J12" s="19">
        <f>_xll.FDS($A12,"FF_DEP_AMORT_EXP(QTR_R,"&amp;Current_Quarter&amp;")")/($F12*Inputs!$C$20/1000)</f>
        <v>14.762681612019177</v>
      </c>
      <c r="K12" s="19">
        <f>_xll.FDS($A12,"FF_SGA(QTR_R,"&amp;Current_Quarter&amp;")")/($F12*Inputs!$C$20/1000)</f>
        <v>2.5915265370765628</v>
      </c>
      <c r="L12" s="19">
        <f>+H12-I12-K12</f>
        <v>34.431226315400586</v>
      </c>
      <c r="M12" s="19">
        <f>+H12-I12-J12-K12</f>
        <v>19.668544703381407</v>
      </c>
      <c r="N12" s="14">
        <f>IFERROR(IFERROR(_xll.FDS($A12,"FF_OG_PROD_DAY(QTR_R_OIL_BOE,"&amp;Prev_Quarter&amp;")"),_xll.FDS($A12,"FF_OG_PROD_TOT_NET(QTR_R_OIL_BOE,"&amp;Prev_Quarter&amp;")")/Inputs!$C$20),0)</f>
        <v>49</v>
      </c>
      <c r="O12" s="15">
        <f>IFERROR(IFERROR(_xll.FDS($A12,"FF_OG_PROD_DAY(QTR_R_NG_CFE,"&amp;Prev_Quarter&amp;")")/1000,_xll.FDS($A12,"FF_OG_PROD_TOT_NET(QTR_R_NG_CFE,"&amp;Prev_Quarter&amp;")")/1000/Inputs!$C$20),0)</f>
        <v>99.7</v>
      </c>
      <c r="P12" s="15">
        <f>IFERROR(IFERROR(_xll.FDS($A12,"FF_OG_PROD_DAY(QTR_R_NGL_BOE,"&amp;Prev_Quarter&amp;")"),_xll.FDS($A12,"FF_OG_PROD_TOT_NET(QTR_R_NGL_BOE,"&amp;Prev_Quarter&amp;")")/Inputs!$C$20),0)</f>
        <v>16.666699999999999</v>
      </c>
      <c r="Q12" s="14">
        <f>+N12+O12/6+P12</f>
        <v>82.283366666666666</v>
      </c>
      <c r="R12" s="27">
        <f>+F12/Q12-1</f>
        <v>0.18044432633407892</v>
      </c>
      <c r="S12" s="15">
        <f>_xll.FDS(A12,"FF_OG_AREA_TOT(ANN_R_GROSS_ACRE,"&amp;Current_Quarter&amp;")")/1000</f>
        <v>401.20499999999998</v>
      </c>
      <c r="T12" s="15">
        <f>_xll.FDS(A12,"FF_OG_AREA_TOT(ANN_R_NET_ACRE,"&amp;Current_Quarter&amp;")")/1000</f>
        <v>266.25200000000001</v>
      </c>
      <c r="U12" s="29">
        <f>_xll.FDS($A12,"FG_PRICE("&amp;Date&amp;")")</f>
        <v>65.62</v>
      </c>
      <c r="V12" s="29">
        <f>_xll.FDS($A12,"RTP_PRICE_HIGH_52W")</f>
        <v>66.12</v>
      </c>
      <c r="W12" s="26">
        <f>+U12/V12-1</f>
        <v>-7.5620084694494327E-3</v>
      </c>
      <c r="X12" s="31">
        <f>_xll.FDS($A12,"OS_SEC_SI_PCTFLT(0D)")/100</f>
        <v>2.457014839029532E-2</v>
      </c>
      <c r="Y12" s="30">
        <f>_xll.FDS($A12,"FREF_MARKET_VALUE_COMPANY("&amp;Date&amp;",,,,,0)")</f>
        <v>6378.0673148416099</v>
      </c>
      <c r="Z12" s="30">
        <f>_xll.FDS($A12,"FF_CASH_ONLY(QTR,0)")</f>
        <v>0.439</v>
      </c>
      <c r="AA12" s="30">
        <f>_xll.FDS($A12,"FF_DEBT(QTR,0)")</f>
        <v>782.86099999999999</v>
      </c>
      <c r="AB12" s="30">
        <f>+AA12+Y12-Z12</f>
        <v>7160.4893148416095</v>
      </c>
      <c r="AC12" s="15">
        <f>_xll.FDS($A12,"FF_OG_RSRV_PROVED_DEV_NET(ANN_R_OIL_BOE,0)")</f>
        <v>143.90700000000001</v>
      </c>
      <c r="AD12" s="15">
        <f>_xll.FDS($A12,"FF_OG_RSRV_PROVED_DEV_NET(ANN_R_NG_CFE,0)")/1000</f>
        <v>342.61599999999999</v>
      </c>
      <c r="AE12" s="15">
        <f>IFERROR(_xll.FDS($A12,"FF_OG_RSRV_PROVED_DEV_NET(ANN_R_NGL_BOE,0)"),0)</f>
        <v>52.881999999999998</v>
      </c>
      <c r="AF12" s="15">
        <f>+AC12+AD12/6+AE12</f>
        <v>253.89166666666668</v>
      </c>
      <c r="AG12" s="15">
        <f>_xll.FDS($A12,"FF_OG_RSRV_PROVED_UNDEV_NET(ANN_R_OIL_BOE,0)")</f>
        <v>113.10299999999999</v>
      </c>
      <c r="AH12" s="15">
        <f>_xll.FDS($A12,"FF_OG_RSRV_PROVED_UNDEV_NET(ANN_R_NG_CFE,0)")/1000</f>
        <v>234.87299999999999</v>
      </c>
      <c r="AI12" s="15">
        <f>IFERROR(_xll.FDS($A12,"FF_OG_RSRV_PROVED_UNDEV_NET(ANN_R_NGL_BOE,0)"),0)</f>
        <v>37.896999999999998</v>
      </c>
      <c r="AJ12" s="15">
        <f>+AG12+AH12/6+AI12</f>
        <v>190.14549999999997</v>
      </c>
      <c r="AK12" s="15">
        <f>IF((AJ12+AF12)/_xll.FDS($A12,"FF_OG_TOT_RSRV_PROVED_NET(ANN_R_BOE,0)")-1&lt;0.01,AJ12+AF12,"CHECK RESERVES")</f>
        <v>444.03716666666662</v>
      </c>
      <c r="AL12" s="26">
        <f>+AJ12/AK12</f>
        <v>0.42821978490539264</v>
      </c>
      <c r="AM12" s="39" t="e">
        <f>_xll.FDS($A12,"FE_GUIDANCE(PROD_DAY_OIL_ONLY,MIDPOINT,ANNUAL,+2,0,,,'')")</f>
        <v>#N/A</v>
      </c>
      <c r="AN12" s="39" t="e">
        <f>_xll.FDS($A12,"FE_GUIDANCE(PRODPERDAY,MIDPOINT,ANNUAL,+2,0,,,'')")</f>
        <v>#N/A</v>
      </c>
      <c r="AO12" s="39" t="e">
        <f>_xll.FDS($A12,"FE_GUIDANCE(TOTAL_PROD,MIDPOINT,ANNUAL,+2,0,,,'')")</f>
        <v>#N/A</v>
      </c>
      <c r="AP12" s="39" t="e">
        <f>_xll.FDS($A12,"FE_GUIDANCE(CAPEX,MIDPOINT,ANNUAL,+2,0,,,'')")</f>
        <v>#N/A</v>
      </c>
      <c r="AQ12" s="39" t="str">
        <f>_xll.FDS($A12,"FE_GUIDANCE_DATE(DATEN,CAPEX,ANNUAL,2018,'MM/DD/YYYY',0)")</f>
        <v>02/20/2018</v>
      </c>
    </row>
    <row r="13" spans="1:43" ht="18.75" x14ac:dyDescent="0.3">
      <c r="A13" s="12" t="s">
        <v>38</v>
      </c>
      <c r="B13" s="13" t="str">
        <f>_xll.FDS($A13,"FG_COMPANY_NAME")</f>
        <v>EOG Resources, Inc.</v>
      </c>
      <c r="C13" s="14">
        <f>IFERROR(IFERROR(_xll.FDS($A13,"FF_OG_PROD_DAY(QTR_R_OIL_BOE,"&amp;Current_Quarter&amp;")"),_xll.FDS($A13,"FF_OG_PROD_TOT_NET(QTR_R_OIL_BOE,"&amp;Current_Quarter&amp;")")/Inputs!$C$20),0)</f>
        <v>368.1</v>
      </c>
      <c r="D13" s="15">
        <f>IFERROR(IFERROR(_xll.FDS($A13,"FF_OG_PROD_DAY(QTR_R_NG_CFE,"&amp;Current_Quarter&amp;")")/1000,_xll.FDS($A13,"FF_OG_PROD_TOT_NET(QTR_R_NG_CFE,"&amp;Current_Quarter&amp;")")/1000/Inputs!$C$20),0)</f>
        <v>1160</v>
      </c>
      <c r="E13" s="15">
        <f>IFERROR(IFERROR(_xll.FDS($A13,"FF_OG_PROD_DAY(QTR_R_NGL_BOE,"&amp;Current_Quarter&amp;")"),_xll.FDS($A13,"FF_OG_PROD_TOT_NET(QTR_R_NGL_BOE,"&amp;Current_Quarter&amp;")")/Inputs!$C$20),0)</f>
        <v>100.6</v>
      </c>
      <c r="F13" s="14">
        <f>+C13+D13/6+E13</f>
        <v>662.03333333333342</v>
      </c>
      <c r="G13" s="21">
        <f>(C13*Inputs!$C$15+D13*Inputs!$C$16+E13*Inputs!$C$17)*Inputs!$C$20</f>
        <v>2611217.6</v>
      </c>
      <c r="H13" s="19">
        <f>+G13/(F13*92)</f>
        <v>42.872161522581941</v>
      </c>
      <c r="I13" s="24">
        <f>(281941+191717+43295+158343)/1000/($F13*Inputs!$C$20/1000)</f>
        <v>11.087317727773241</v>
      </c>
      <c r="J13" s="19">
        <f>_xll.FDS($A13,"FF_DEP_AMORT_EXP(QTR_R,"&amp;Current_Quarter&amp;")")/($F13*Inputs!$C$20/1000)</f>
        <v>14.551300013353677</v>
      </c>
      <c r="K13" s="19">
        <f>_xll.FDS($A13,"FF_SGA(QTR_R,"&amp;Current_Quarter&amp;")")/($F13*Inputs!$C$20/1000)</f>
        <v>1.9210414555070783</v>
      </c>
      <c r="L13" s="19">
        <f>+H13-I13-K13</f>
        <v>29.863802339301621</v>
      </c>
      <c r="M13" s="19">
        <f>+H13-I13-J13-K13</f>
        <v>15.312502325947948</v>
      </c>
      <c r="N13" s="14">
        <f>IFERROR(IFERROR(_xll.FDS($A13,"FF_OG_PROD_DAY(QTR_R_OIL_BOE,"&amp;Prev_Quarter&amp;")"),_xll.FDS($A13,"FF_OG_PROD_TOT_NET(QTR_R_OIL_BOE,"&amp;Prev_Quarter&amp;")")/Inputs!$C$20),0)</f>
        <v>327.9</v>
      </c>
      <c r="O13" s="15">
        <f>IFERROR(IFERROR(_xll.FDS($A13,"FF_OG_PROD_DAY(QTR_R_NG_CFE,"&amp;Prev_Quarter&amp;")")/1000,_xll.FDS($A13,"FF_OG_PROD_TOT_NET(QTR_R_NG_CFE,"&amp;Prev_Quarter&amp;")")/1000/Inputs!$C$20),0)</f>
        <v>1096</v>
      </c>
      <c r="P13" s="15">
        <f>IFERROR(IFERROR(_xll.FDS($A13,"FF_OG_PROD_DAY(QTR_R_NGL_BOE,"&amp;Prev_Quarter&amp;")"),_xll.FDS($A13,"FF_OG_PROD_TOT_NET(QTR_R_NGL_BOE,"&amp;Prev_Quarter&amp;")")/Inputs!$C$20),0)</f>
        <v>87.4</v>
      </c>
      <c r="Q13" s="14">
        <f>+N13+O13/6+P13</f>
        <v>597.96666666666658</v>
      </c>
      <c r="R13" s="27">
        <f>+F13/Q13-1</f>
        <v>0.10714086626902319</v>
      </c>
      <c r="S13" s="15">
        <f>_xll.FDS(A13,"FF_OG_AREA_TOT(ANN_R_GROSS_ACRE,"&amp;Current_Quarter&amp;")")/1000</f>
        <v>6462.0060000000003</v>
      </c>
      <c r="T13" s="15">
        <f>_xll.FDS(A13,"FF_OG_AREA_TOT(ANN_R_NET_ACRE,"&amp;Current_Quarter&amp;")")/1000</f>
        <v>4658.0330000000004</v>
      </c>
      <c r="U13" s="29">
        <f>_xll.FDS($A13,"FG_PRICE("&amp;Date&amp;")")</f>
        <v>111.15</v>
      </c>
      <c r="V13" s="29">
        <f>_xll.FDS($A13,"RTP_PRICE_HIGH_52W")</f>
        <v>119</v>
      </c>
      <c r="W13" s="26">
        <f>+U13/V13-1</f>
        <v>-6.5966386554621836E-2</v>
      </c>
      <c r="X13" s="31">
        <f>_xll.FDS($A13,"OS_SEC_SI_PCTFLT(0D)")/100</f>
        <v>1.9885869444722929E-2</v>
      </c>
      <c r="Y13" s="30">
        <f>_xll.FDS($A13,"FREF_MARKET_VALUE_COMPANY("&amp;Date&amp;",,,,,0)")</f>
        <v>64315.61463720398</v>
      </c>
      <c r="Z13" s="30">
        <f>_xll.FDS($A13,"FF_CASH_ONLY(QTR,0)")</f>
        <v>834.22799999999995</v>
      </c>
      <c r="AA13" s="30">
        <f>_xll.FDS($A13,"FF_DEBT(QTR,0)")</f>
        <v>6387.0709999999999</v>
      </c>
      <c r="AB13" s="30">
        <f>+AA13+Y13-Z13</f>
        <v>69868.457637203974</v>
      </c>
      <c r="AC13" s="15">
        <f>_xll.FDS($A13,"FF_OG_RSRV_PROVED_DEV_NET(ANN_R_OIL_BOE,0)")</f>
        <v>614.23599999999999</v>
      </c>
      <c r="AD13" s="15">
        <f>_xll.FDS($A13,"FF_OG_RSRV_PROVED_DEV_NET(ANN_R_NG_CFE,0)")/1000</f>
        <v>2779.3</v>
      </c>
      <c r="AE13" s="15">
        <f>IFERROR(_xll.FDS($A13,"FF_OG_RSRV_PROVED_DEV_NET(ANN_R_NGL_BOE,0)"),0)</f>
        <v>286.87200000000001</v>
      </c>
      <c r="AF13" s="15">
        <f>+AC13+AD13/6+AE13</f>
        <v>1364.3246666666666</v>
      </c>
      <c r="AG13" s="15">
        <f>_xll.FDS($A13,"FF_OG_RSRV_PROVED_UNDEV_NET(ANN_R_OIL_BOE,0)")</f>
        <v>698.73699999999997</v>
      </c>
      <c r="AH13" s="15">
        <f>_xll.FDS($A13,"FF_OG_RSRV_PROVED_UNDEV_NET(ANN_R_NG_CFE,0)")/1000</f>
        <v>1483.8</v>
      </c>
      <c r="AI13" s="15">
        <f>IFERROR(_xll.FDS($A13,"FF_OG_RSRV_PROVED_UNDEV_NET(ANN_R_NGL_BOE,0)"),0)</f>
        <v>216.601</v>
      </c>
      <c r="AJ13" s="15">
        <f>+AG13+AH13/6+AI13</f>
        <v>1162.6379999999999</v>
      </c>
      <c r="AK13" s="15">
        <f>IF((AJ13+AF13)/_xll.FDS($A13,"FF_OG_TOT_RSRV_PROVED_NET(ANN_R_BOE,0)")-1&lt;0.01,AJ13+AF13,"CHECK RESERVES")</f>
        <v>2526.9626666666663</v>
      </c>
      <c r="AL13" s="26">
        <f>+AJ13/AK13</f>
        <v>0.46009306561447688</v>
      </c>
      <c r="AM13" s="39" t="e">
        <f>_xll.FDS($A13,"FE_GUIDANCE(PROD_DAY_OIL_ONLY,MIDPOINT,ANNUAL,+2,0,,,'')")</f>
        <v>#N/A</v>
      </c>
      <c r="AN13" s="39" t="e">
        <f>_xll.FDS($A13,"FE_GUIDANCE(PRODPERDAY,MIDPOINT,ANNUAL,+2,0,,,'')")</f>
        <v>#N/A</v>
      </c>
      <c r="AO13" s="39" t="e">
        <f>_xll.FDS($A13,"FE_GUIDANCE(TOTAL_PROD,MIDPOINT,ANNUAL,+2,0,,,'')")</f>
        <v>#N/A</v>
      </c>
      <c r="AP13" s="39" t="e">
        <f>_xll.FDS($A13,"FE_GUIDANCE(CAPEX,MIDPOINT,ANNUAL,+2,0,,,'')")</f>
        <v>#N/A</v>
      </c>
      <c r="AQ13" s="39" t="str">
        <f>_xll.FDS($A13,"FE_GUIDANCE_DATE(DATEN,CAPEX,ANNUAL,2018,'MM/DD/YYYY',0)")</f>
        <v>02/28/2018</v>
      </c>
    </row>
    <row r="14" spans="1:43" ht="18.75" x14ac:dyDescent="0.3">
      <c r="A14" s="12" t="s">
        <v>3</v>
      </c>
      <c r="B14" s="13" t="str">
        <f>_xll.FDS($A14,"FG_COMPANY_NAME")</f>
        <v>EP Energy Corp. Class A</v>
      </c>
      <c r="C14" s="14">
        <f>IFERROR(IFERROR(_xll.FDS($A14,"FF_OG_PROD_DAY(QTR_R_OIL_BOE,"&amp;Current_Quarter&amp;")"),_xll.FDS($A14,"FF_OG_PROD_TOT_NET(QTR_R_OIL_BOE,"&amp;Current_Quarter&amp;")")/Inputs!$C$20),0)</f>
        <v>43.6</v>
      </c>
      <c r="D14" s="15">
        <f>IFERROR(IFERROR(_xll.FDS($A14,"FF_OG_PROD_DAY(QTR_R_NG_CFE,"&amp;Current_Quarter&amp;")")/1000,_xll.FDS($A14,"FF_OG_PROD_TOT_NET(QTR_R_NG_CFE,"&amp;Current_Quarter&amp;")")/1000/Inputs!$C$20),0)</f>
        <v>130</v>
      </c>
      <c r="E14" s="15">
        <f>IFERROR(IFERROR(_xll.FDS($A14,"FF_OG_PROD_DAY(QTR_R_NGL_BOE,"&amp;Current_Quarter&amp;")"),_xll.FDS($A14,"FF_OG_PROD_TOT_NET(QTR_R_NGL_BOE,"&amp;Current_Quarter&amp;")")/Inputs!$C$20),0)</f>
        <v>15.3</v>
      </c>
      <c r="F14" s="14">
        <f>+C14+D14/6+E14</f>
        <v>80.566666666666663</v>
      </c>
      <c r="G14" s="21">
        <f>(C14*Inputs!$C$15+D14*Inputs!$C$16+E14*Inputs!$C$17)*Inputs!$C$20</f>
        <v>315964.79999999999</v>
      </c>
      <c r="H14" s="19">
        <f>+G14/(F14*92)</f>
        <v>42.628051303268514</v>
      </c>
      <c r="I14" s="19">
        <f>(_xll.FDS($A14,"FF_OG_PROD_EXP(QTR_R,"&amp;Current_Quarter&amp;")")+29)/($F14*Inputs!$C$20/1000)</f>
        <v>10.928027918188196</v>
      </c>
      <c r="J14" s="19">
        <f>_xll.FDS($A14,"FF_DEP_AMORT_EXP(QTR_R,"&amp;Current_Quarter&amp;")")/($F14*Inputs!$C$20/1000)</f>
        <v>16.054757064992536</v>
      </c>
      <c r="K14" s="19">
        <f>_xll.FDS($A14,"FF_SGA(QTR_R,"&amp;Current_Quarter&amp;")")/($F14*Inputs!$C$20/1000)</f>
        <v>1.3491392491590366</v>
      </c>
      <c r="L14" s="19">
        <f>+H14-I14-K14</f>
        <v>30.35088413592128</v>
      </c>
      <c r="M14" s="19">
        <f>+H14-I14-J14-K14</f>
        <v>14.296127070928744</v>
      </c>
      <c r="N14" s="14">
        <f>IFERROR(IFERROR(_xll.FDS($A14,"FF_OG_PROD_DAY(QTR_R_OIL_BOE,"&amp;Prev_Quarter&amp;")"),_xll.FDS($A14,"FF_OG_PROD_TOT_NET(QTR_R_OIL_BOE,"&amp;Prev_Quarter&amp;")")/Inputs!$C$20),0)</f>
        <v>45.1</v>
      </c>
      <c r="O14" s="15">
        <f>IFERROR(IFERROR(_xll.FDS($A14,"FF_OG_PROD_DAY(QTR_R_NG_CFE,"&amp;Prev_Quarter&amp;")")/1000,_xll.FDS($A14,"FF_OG_PROD_TOT_NET(QTR_R_NG_CFE,"&amp;Prev_Quarter&amp;")")/1000/Inputs!$C$20),0)</f>
        <v>126</v>
      </c>
      <c r="P14" s="15">
        <f>IFERROR(IFERROR(_xll.FDS($A14,"FF_OG_PROD_DAY(QTR_R_NGL_BOE,"&amp;Prev_Quarter&amp;")"),_xll.FDS($A14,"FF_OG_PROD_TOT_NET(QTR_R_NGL_BOE,"&amp;Prev_Quarter&amp;")")/Inputs!$C$20),0)</f>
        <v>14.9</v>
      </c>
      <c r="Q14" s="14">
        <f>+N14+O14/6+P14</f>
        <v>81</v>
      </c>
      <c r="R14" s="27">
        <f>+F14/Q14-1</f>
        <v>-5.3497942386832031E-3</v>
      </c>
      <c r="S14" s="15">
        <f>_xll.FDS(A14,"FF_OG_AREA_TOT(ANN_R_GROSS_ACRE,"&amp;Current_Quarter&amp;")")/1000</f>
        <v>935.00300000000004</v>
      </c>
      <c r="T14" s="15">
        <f>_xll.FDS(A14,"FF_OG_AREA_TOT(ANN_R_NET_ACRE,"&amp;Current_Quarter&amp;")")/1000</f>
        <v>572.53</v>
      </c>
      <c r="U14" s="29">
        <f>_xll.FDS($A14,"FG_PRICE("&amp;Date&amp;")")</f>
        <v>1.55</v>
      </c>
      <c r="V14" s="29">
        <f>_xll.FDS($A14,"RTP_PRICE_HIGH_52W")</f>
        <v>5.0599999999999996</v>
      </c>
      <c r="W14" s="26">
        <f>+U14/V14-1</f>
        <v>-0.69367588932806323</v>
      </c>
      <c r="X14" s="31">
        <f>_xll.FDS($A14,"OS_SEC_SI_PCTFLT(0D)")/100</f>
        <v>0.27151931352726549</v>
      </c>
      <c r="Y14" s="30">
        <f>_xll.FDS($A14,"FREF_MARKET_VALUE_COMPANY("&amp;Date&amp;",,,,,0)")</f>
        <v>389.25922951054599</v>
      </c>
      <c r="Z14" s="30">
        <f>_xll.FDS($A14,"FF_CASH_ONLY(QTR,0)")</f>
        <v>45</v>
      </c>
      <c r="AA14" s="30">
        <f>_xll.FDS($A14,"FF_DEBT(QTR,0)")</f>
        <v>4043</v>
      </c>
      <c r="AB14" s="30">
        <f>+AA14+Y14-Z14</f>
        <v>4387.259229510546</v>
      </c>
      <c r="AC14" s="15">
        <f>_xll.FDS($A14,"FF_OG_RSRV_PROVED_DEV_NET(ANN_R_OIL_BOE,0)")</f>
        <v>114.282</v>
      </c>
      <c r="AD14" s="15">
        <f>_xll.FDS($A14,"FF_OG_RSRV_PROVED_DEV_NET(ANN_R_NG_CFE,0)")/1000</f>
        <v>372</v>
      </c>
      <c r="AE14" s="15">
        <f>IFERROR(_xll.FDS($A14,"FF_OG_RSRV_PROVED_DEV_NET(ANN_R_NGL_BOE,0)"),0)</f>
        <v>41.988999999999997</v>
      </c>
      <c r="AF14" s="15">
        <f>+AC14+AD14/6+AE14</f>
        <v>218.27099999999999</v>
      </c>
      <c r="AG14" s="15">
        <f>_xll.FDS($A14,"FF_OG_RSRV_PROVED_UNDEV_NET(ANN_R_OIL_BOE,0)")</f>
        <v>89.584000000000003</v>
      </c>
      <c r="AH14" s="15">
        <f>_xll.FDS($A14,"FF_OG_RSRV_PROVED_UNDEV_NET(ANN_R_NG_CFE,0)")/1000</f>
        <v>280</v>
      </c>
      <c r="AI14" s="15">
        <f>IFERROR(_xll.FDS($A14,"FF_OG_RSRV_PROVED_UNDEV_NET(ANN_R_NGL_BOE,0)"),0)</f>
        <v>37.488999999999997</v>
      </c>
      <c r="AJ14" s="15">
        <f>+AG14+AH14/6+AI14</f>
        <v>173.73966666666666</v>
      </c>
      <c r="AK14" s="15">
        <f>IF((AJ14+AF14)/_xll.FDS($A14,"FF_OG_TOT_RSRV_PROVED_NET(ANN_R_BOE,0)")-1&lt;0.01,AJ14+AF14,"CHECK RESERVES")</f>
        <v>392.01066666666668</v>
      </c>
      <c r="AL14" s="26">
        <f>+AJ14/AK14</f>
        <v>0.44320137547277622</v>
      </c>
      <c r="AM14" s="39" t="e">
        <f>_xll.FDS($A14,"FE_GUIDANCE(PROD_DAY_OIL_ONLY,MIDPOINT,ANNUAL,+2,0,,,'')")</f>
        <v>#N/A</v>
      </c>
      <c r="AN14" s="39" t="e">
        <f>_xll.FDS($A14,"FE_GUIDANCE(PRODPERDAY,MIDPOINT,ANNUAL,+2,0,,,'')")</f>
        <v>#N/A</v>
      </c>
      <c r="AO14" s="39" t="e">
        <f>_xll.FDS($A14,"FE_GUIDANCE(TOTAL_PROD,MIDPOINT,ANNUAL,+2,0,,,'')")</f>
        <v>#N/A</v>
      </c>
      <c r="AP14" s="39" t="e">
        <f>_xll.FDS($A14,"FE_GUIDANCE(CAPEX,MIDPOINT,ANNUAL,+2,0,,,'')")</f>
        <v>#N/A</v>
      </c>
      <c r="AQ14" s="39" t="e">
        <f>_xll.FDS($A14,"FE_GUIDANCE_DATE(DATEN,CAPEX,ANNUAL,2018,'MM/DD/YYYY',0)")</f>
        <v>#N/A</v>
      </c>
    </row>
    <row r="15" spans="1:43" ht="18.75" x14ac:dyDescent="0.3">
      <c r="A15" s="12" t="s">
        <v>42</v>
      </c>
      <c r="B15" s="13" t="str">
        <f>_xll.FDS($A15,"FG_COMPANY_NAME")</f>
        <v>Earthstone Energy, Inc. Class A</v>
      </c>
      <c r="C15" s="14">
        <f>IFERROR(IFERROR(_xll.FDS($A15,"FF_OG_PROD_DAY(QTR_R_OIL_BOE,"&amp;Current_Quarter&amp;")"),_xll.FDS($A15,"FF_OG_PROD_TOT_NET(QTR_R_OIL_BOE,"&amp;Current_Quarter&amp;")")/Inputs!$C$20),0)</f>
        <v>5.7391304347826084</v>
      </c>
      <c r="D15" s="15">
        <f>IFERROR(IFERROR(_xll.FDS($A15,"FF_OG_PROD_DAY(QTR_R_NG_CFE,"&amp;Current_Quarter&amp;")")/1000,_xll.FDS($A15,"FF_OG_PROD_TOT_NET(QTR_R_NG_CFE,"&amp;Current_Quarter&amp;")")/1000/Inputs!$C$20),0)</f>
        <v>10.130434782608695</v>
      </c>
      <c r="E15" s="15">
        <f>IFERROR(IFERROR(_xll.FDS($A15,"FF_OG_PROD_DAY(QTR_R_NGL_BOE,"&amp;Current_Quarter&amp;")"),_xll.FDS($A15,"FF_OG_PROD_TOT_NET(QTR_R_NGL_BOE,"&amp;Current_Quarter&amp;")")/Inputs!$C$20),0)</f>
        <v>1.6304347826086956</v>
      </c>
      <c r="F15" s="14">
        <f>+C15+D15/6+E15</f>
        <v>9.0579710144927539</v>
      </c>
      <c r="G15" s="21">
        <f>(C15*Inputs!$C$15+D15*Inputs!$C$16+E15*Inputs!$C$17)*Inputs!$C$20</f>
        <v>38676</v>
      </c>
      <c r="H15" s="19">
        <f>+G15/(F15*92)</f>
        <v>46.411200000000001</v>
      </c>
      <c r="I15" s="19">
        <f>_xll.FDS($A15,"FF_OG_PROD_EXP(QTR_R,"&amp;Current_Quarter&amp;")")/($F15*Inputs!$C$20/1000)</f>
        <v>8.428799999999999</v>
      </c>
      <c r="J15" s="19">
        <f>_xll.FDS($A15,"FF_DEP_AMORT_EXP(QTR_R,"&amp;Current_Quarter&amp;")")/($F15*Inputs!$C$20/1000)</f>
        <v>10.455599999999999</v>
      </c>
      <c r="K15" s="19">
        <f>_xll.FDS($A15,"FF_SGA(QTR_R,"&amp;Current_Quarter&amp;")")/($F15*Inputs!$C$20/1000)</f>
        <v>9.1007999999999996</v>
      </c>
      <c r="L15" s="19">
        <f>+H15-I15-K15</f>
        <v>28.881599999999999</v>
      </c>
      <c r="M15" s="19">
        <f>+H15-I15-J15-K15</f>
        <v>18.426000000000002</v>
      </c>
      <c r="N15" s="14">
        <f>IFERROR(IFERROR(_xll.FDS($A15,"FF_OG_PROD_DAY(QTR_R_OIL_BOE,"&amp;Prev_Quarter&amp;")"),_xll.FDS($A15,"FF_OG_PROD_TOT_NET(QTR_R_OIL_BOE,"&amp;Prev_Quarter&amp;")")/Inputs!$C$20),0)</f>
        <v>6.1195652173913047</v>
      </c>
      <c r="O15" s="15">
        <f>IFERROR(IFERROR(_xll.FDS($A15,"FF_OG_PROD_DAY(QTR_R_NG_CFE,"&amp;Prev_Quarter&amp;")")/1000,_xll.FDS($A15,"FF_OG_PROD_TOT_NET(QTR_R_NG_CFE,"&amp;Prev_Quarter&amp;")")/1000/Inputs!$C$20),0)</f>
        <v>10.510869565217391</v>
      </c>
      <c r="P15" s="15">
        <f>IFERROR(IFERROR(_xll.FDS($A15,"FF_OG_PROD_DAY(QTR_R_NGL_BOE,"&amp;Prev_Quarter&amp;")"),_xll.FDS($A15,"FF_OG_PROD_TOT_NET(QTR_R_NGL_BOE,"&amp;Prev_Quarter&amp;")")/Inputs!$C$20),0)</f>
        <v>1.8043478260869565</v>
      </c>
      <c r="Q15" s="14">
        <f>+N15+O15/6+P15</f>
        <v>9.6757246376811601</v>
      </c>
      <c r="R15" s="27">
        <f>+F15/Q15-1</f>
        <v>-6.3845721774948516E-2</v>
      </c>
      <c r="S15" s="15">
        <f>_xll.FDS(A15,"FF_OG_AREA_TOT(ANN_R_GROSS_ACRE,"&amp;Current_Quarter&amp;")")/1000</f>
        <v>108.625</v>
      </c>
      <c r="T15" s="15">
        <f>_xll.FDS(A15,"FF_OG_AREA_TOT(ANN_R_NET_ACRE,"&amp;Current_Quarter&amp;")")/1000</f>
        <v>50.432000000000002</v>
      </c>
      <c r="U15" s="29">
        <f>_xll.FDS($A15,"FG_PRICE("&amp;Date&amp;")")</f>
        <v>10.57</v>
      </c>
      <c r="V15" s="29">
        <f>_xll.FDS($A15,"RTP_PRICE_HIGH_52W")</f>
        <v>14.75</v>
      </c>
      <c r="W15" s="26">
        <f>+U15/V15-1</f>
        <v>-0.28338983050847455</v>
      </c>
      <c r="X15" s="31">
        <f>_xll.FDS($A15,"OS_SEC_SI_PCTFLT(0D)")/100</f>
        <v>3.481439684898751E-2</v>
      </c>
      <c r="Y15" s="30">
        <f>_xll.FDS($A15,"FREF_MARKET_VALUE_COMPANY("&amp;Date&amp;",,,,,0)")</f>
        <v>294.15252650711051</v>
      </c>
      <c r="Z15" s="30">
        <f>_xll.FDS($A15,"FF_CASH_ONLY(QTR,0)")</f>
        <v>22.954999999999998</v>
      </c>
      <c r="AA15" s="30">
        <f>_xll.FDS($A15,"FF_DEBT(QTR,0)")</f>
        <v>25</v>
      </c>
      <c r="AB15" s="30">
        <f>+AA15+Y15-Z15</f>
        <v>296.19752650711052</v>
      </c>
      <c r="AC15" s="15">
        <f>_xll.FDS($A15,"FF_OG_RSRV_PROVED_DEV_NET(ANN_R_OIL_BOE,0)")</f>
        <v>11.949</v>
      </c>
      <c r="AD15" s="15">
        <f>_xll.FDS($A15,"FF_OG_RSRV_PROVED_DEV_NET(ANN_R_NG_CFE,0)")/1000</f>
        <v>23.335999999999999</v>
      </c>
      <c r="AE15" s="15">
        <f>IFERROR(_xll.FDS($A15,"FF_OG_RSRV_PROVED_DEV_NET(ANN_R_NGL_BOE,0)"),0)</f>
        <v>4.1230000000000002</v>
      </c>
      <c r="AF15" s="15">
        <f>+AC15+AD15/6+AE15</f>
        <v>19.961333333333332</v>
      </c>
      <c r="AG15" s="15">
        <f>_xll.FDS($A15,"FF_OG_RSRV_PROVED_UNDEV_NET(ANN_R_OIL_BOE,0)")</f>
        <v>35.378</v>
      </c>
      <c r="AH15" s="15">
        <f>_xll.FDS($A15,"FF_OG_RSRV_PROVED_UNDEV_NET(ANN_R_NG_CFE,0)")/1000</f>
        <v>67.751999999999995</v>
      </c>
      <c r="AI15" s="15">
        <f>IFERROR(_xll.FDS($A15,"FF_OG_RSRV_PROVED_UNDEV_NET(ANN_R_NGL_BOE,0)"),0)</f>
        <v>13.345000000000001</v>
      </c>
      <c r="AJ15" s="15">
        <f>+AG15+AH15/6+AI15</f>
        <v>60.015000000000001</v>
      </c>
      <c r="AK15" s="15">
        <f>IF((AJ15+AF15)/_xll.FDS($A15,"FF_OG_TOT_RSRV_PROVED_NET(ANN_R_BOE,0)")-1&lt;0.01,AJ15+AF15,"CHECK RESERVES")</f>
        <v>79.976333333333329</v>
      </c>
      <c r="AL15" s="26">
        <f>+AJ15/AK15</f>
        <v>0.75040949614260888</v>
      </c>
      <c r="AM15" s="39" t="e">
        <f>_xll.FDS($A15,"FE_GUIDANCE(PROD_DAY_OIL_ONLY,MIDPOINT,ANNUAL,+2,0,,,'')")</f>
        <v>#N/A</v>
      </c>
      <c r="AN15" s="39" t="e">
        <f>_xll.FDS($A15,"FE_GUIDANCE(PRODPERDAY,MIDPOINT,ANNUAL,+2,0,,,'')")</f>
        <v>#N/A</v>
      </c>
      <c r="AO15" s="39" t="e">
        <f>_xll.FDS($A15,"FE_GUIDANCE(TOTAL_PROD,MIDPOINT,ANNUAL,+2,0,,,'')")</f>
        <v>#N/A</v>
      </c>
      <c r="AP15" s="39" t="e">
        <f>_xll.FDS($A15,"FE_GUIDANCE(CAPEX,MIDPOINT,ANNUAL,+2,0,,,'')")</f>
        <v>#N/A</v>
      </c>
      <c r="AQ15" s="39" t="str">
        <f>_xll.FDS($A15,"FE_GUIDANCE_DATE(DATEN,CAPEX,ANNUAL,2018,'MM/DD/YYYY',0)")</f>
        <v>02/23/2018</v>
      </c>
    </row>
    <row r="16" spans="1:43" ht="18.75" x14ac:dyDescent="0.3">
      <c r="A16" s="12" t="s">
        <v>8</v>
      </c>
      <c r="B16" s="13" t="str">
        <f>_xll.FDS($A16,"FG_COMPANY_NAME")</f>
        <v>Diamondback Energy, Inc.</v>
      </c>
      <c r="C16" s="14">
        <f>IFERROR(IFERROR(_xll.FDS($A16,"FF_OG_PROD_DAY(QTR_R_OIL_BOE,"&amp;Current_Quarter&amp;")"),_xll.FDS($A16,"FF_OG_PROD_TOT_NET(QTR_R_OIL_BOE,"&amp;Current_Quarter&amp;")")/Inputs!$C$20),0)</f>
        <v>68.725300000000004</v>
      </c>
      <c r="D16" s="15">
        <f>IFERROR(IFERROR(_xll.FDS($A16,"FF_OG_PROD_DAY(QTR_R_NG_CFE,"&amp;Current_Quarter&amp;")")/1000,_xll.FDS($A16,"FF_OG_PROD_TOT_NET(QTR_R_NG_CFE,"&amp;Current_Quarter&amp;")")/1000/Inputs!$C$20),0)</f>
        <v>66.342271739130425</v>
      </c>
      <c r="E16" s="15">
        <f>IFERROR(IFERROR(_xll.FDS($A16,"FF_OG_PROD_DAY(QTR_R_NGL_BOE,"&amp;Current_Quarter&amp;")"),_xll.FDS($A16,"FF_OG_PROD_TOT_NET(QTR_R_NGL_BOE,"&amp;Current_Quarter&amp;")")/Inputs!$C$20),0)</f>
        <v>12.851891304347827</v>
      </c>
      <c r="F16" s="14">
        <f>+C16+D16/6+E16</f>
        <v>92.634236594202903</v>
      </c>
      <c r="G16" s="21">
        <f>(C16*Inputs!$C$15+D16*Inputs!$C$16+E16*Inputs!$C$17)*Inputs!$C$20</f>
        <v>430780.59500000003</v>
      </c>
      <c r="H16" s="19">
        <f>+G16/(F16*92)</f>
        <v>50.547162084910603</v>
      </c>
      <c r="I16" s="19">
        <f>(_xll.FDS($A16,"FF_OG_PROD_EXP(QTR_R,"&amp;Current_Quarter&amp;")")+3.72)/($F16*Inputs!$C$20/1000)</f>
        <v>7.704565266356334</v>
      </c>
      <c r="J16" s="19">
        <f>_xll.FDS($A16,"FF_DEP_AMORT_EXP(QTR_R,"&amp;Current_Quarter&amp;")")/($F16*Inputs!$C$20/1000)</f>
        <v>12.3720573417911</v>
      </c>
      <c r="K16" s="19">
        <f>_xll.FDS($A16,"FF_SGA(QTR_R,"&amp;Current_Quarter&amp;")")/($F16*Inputs!$C$20/1000)</f>
        <v>1.3077379250017718</v>
      </c>
      <c r="L16" s="19">
        <f>+H16-I16-K16</f>
        <v>41.534858893552496</v>
      </c>
      <c r="M16" s="19">
        <f>+H16-I16-J16-K16</f>
        <v>29.162801551761401</v>
      </c>
      <c r="N16" s="14">
        <f>IFERROR(IFERROR(_xll.FDS($A16,"FF_OG_PROD_DAY(QTR_R_OIL_BOE,"&amp;Prev_Quarter&amp;")"),_xll.FDS($A16,"FF_OG_PROD_TOT_NET(QTR_R_OIL_BOE,"&amp;Prev_Quarter&amp;")")/Inputs!$C$20),0)</f>
        <v>61.72</v>
      </c>
      <c r="O16" s="15">
        <f>IFERROR(IFERROR(_xll.FDS($A16,"FF_OG_PROD_DAY(QTR_R_NG_CFE,"&amp;Prev_Quarter&amp;")")/1000,_xll.FDS($A16,"FF_OG_PROD_TOT_NET(QTR_R_NG_CFE,"&amp;Prev_Quarter&amp;")")/1000/Inputs!$C$20),0)</f>
        <v>64.506</v>
      </c>
      <c r="P16" s="15">
        <f>IFERROR(IFERROR(_xll.FDS($A16,"FF_OG_PROD_DAY(QTR_R_NGL_BOE,"&amp;Prev_Quarter&amp;")"),_xll.FDS($A16,"FF_OG_PROD_TOT_NET(QTR_R_NGL_BOE,"&amp;Prev_Quarter&amp;")")/Inputs!$C$20),0)</f>
        <v>12.558</v>
      </c>
      <c r="Q16" s="14">
        <f>+N16+O16/6+P16</f>
        <v>85.028999999999996</v>
      </c>
      <c r="R16" s="27">
        <f>+F16/Q16-1</f>
        <v>8.9442855898610008E-2</v>
      </c>
      <c r="S16" s="15">
        <f>_xll.FDS(A16,"FF_OG_AREA_TOT(ANN_R_GROSS_ACRE,"&amp;Current_Quarter&amp;")")/1000</f>
        <v>246.012</v>
      </c>
      <c r="T16" s="15">
        <f>_xll.FDS(A16,"FF_OG_AREA_TOT(ANN_R_NET_ACRE,"&amp;Current_Quarter&amp;")")/1000</f>
        <v>206.66</v>
      </c>
      <c r="U16" s="29">
        <f>_xll.FDS($A16,"FG_PRICE("&amp;Date&amp;")")</f>
        <v>122.3</v>
      </c>
      <c r="V16" s="29">
        <f>_xll.FDS($A16,"RTP_PRICE_HIGH_52W")</f>
        <v>134.6</v>
      </c>
      <c r="W16" s="26">
        <f>+U16/V16-1</f>
        <v>-9.1381872213967319E-2</v>
      </c>
      <c r="X16" s="31">
        <f>_xll.FDS($A16,"OS_SEC_SI_PCTFLT(0D)")/100</f>
        <v>5.0191981490579456E-2</v>
      </c>
      <c r="Y16" s="30">
        <f>_xll.FDS($A16,"FREF_MARKET_VALUE_COMPANY("&amp;Date&amp;",,,,,0)")</f>
        <v>12005.82437718811</v>
      </c>
      <c r="Z16" s="30">
        <f>_xll.FDS($A16,"FF_CASH_ONLY(QTR,0)")</f>
        <v>112.446</v>
      </c>
      <c r="AA16" s="30">
        <f>_xll.FDS($A16,"FF_DEBT(QTR,0)")</f>
        <v>1477.347</v>
      </c>
      <c r="AB16" s="30">
        <f>+AA16+Y16-Z16</f>
        <v>13370.72537718811</v>
      </c>
      <c r="AC16" s="15">
        <f>_xll.FDS($A16,"FF_OG_RSRV_PROVED_DEV_NET(ANN_R_OIL_BOE,0)")</f>
        <v>141.24600000000001</v>
      </c>
      <c r="AD16" s="15">
        <f>_xll.FDS($A16,"FF_OG_RSRV_PROVED_DEV_NET(ANN_R_NG_CFE,0)")/1000</f>
        <v>190.74</v>
      </c>
      <c r="AE16" s="15">
        <f>IFERROR(_xll.FDS($A16,"FF_OG_RSRV_PROVED_DEV_NET(ANN_R_NGL_BOE,0)"),0)</f>
        <v>35.411999999999999</v>
      </c>
      <c r="AF16" s="15">
        <f>+AC16+AD16/6+AE16</f>
        <v>208.44800000000001</v>
      </c>
      <c r="AG16" s="15">
        <f>_xll.FDS($A16,"FF_OG_RSRV_PROVED_UNDEV_NET(ANN_R_OIL_BOE,0)")</f>
        <v>91.935000000000002</v>
      </c>
      <c r="AH16" s="15">
        <f>_xll.FDS($A16,"FF_OG_RSRV_PROVED_UNDEV_NET(ANN_R_NG_CFE,0)")/1000</f>
        <v>94.629000000000005</v>
      </c>
      <c r="AI16" s="15">
        <f>IFERROR(_xll.FDS($A16,"FF_OG_RSRV_PROVED_UNDEV_NET(ANN_R_NGL_BOE,0)"),0)</f>
        <v>19.198</v>
      </c>
      <c r="AJ16" s="15">
        <f>+AG16+AH16/6+AI16</f>
        <v>126.90450000000001</v>
      </c>
      <c r="AK16" s="15">
        <f>IF((AJ16+AF16)/_xll.FDS($A16,"FF_OG_TOT_RSRV_PROVED_NET(ANN_R_BOE,0)")-1&lt;0.01,AJ16+AF16,"CHECK RESERVES")</f>
        <v>335.35250000000002</v>
      </c>
      <c r="AL16" s="26">
        <f>+AJ16/AK16</f>
        <v>0.37842121349922841</v>
      </c>
      <c r="AM16" s="39" t="e">
        <f>_xll.FDS($A16,"FE_GUIDANCE(PROD_DAY_OIL_ONLY,MIDPOINT,ANNUAL,+2,0,,,'')")</f>
        <v>#N/A</v>
      </c>
      <c r="AN16" s="39" t="e">
        <f>_xll.FDS($A16,"FE_GUIDANCE(PRODPERDAY,MIDPOINT,ANNUAL,+2,0,,,'')")</f>
        <v>#N/A</v>
      </c>
      <c r="AO16" s="39" t="e">
        <f>_xll.FDS($A16,"FE_GUIDANCE(TOTAL_PROD,MIDPOINT,ANNUAL,+2,0,,,'')")</f>
        <v>#N/A</v>
      </c>
      <c r="AP16" s="39" t="e">
        <f>_xll.FDS($A16,"FE_GUIDANCE(CAPEX,MIDPOINT,ANNUAL,+2,0,,,'')")</f>
        <v>#N/A</v>
      </c>
      <c r="AQ16" s="39" t="str">
        <f>_xll.FDS($A16,"FE_GUIDANCE_DATE(DATEN,CAPEX,ANNUAL,2018,'MM/DD/YYYY',0)")</f>
        <v>02/14/2018</v>
      </c>
    </row>
    <row r="17" spans="1:43" ht="18.75" x14ac:dyDescent="0.3">
      <c r="A17" s="12" t="s">
        <v>21</v>
      </c>
      <c r="B17" s="13" t="str">
        <f>_xll.FDS($A17,"FG_COMPANY_NAME")</f>
        <v>Halcon Resources Corp</v>
      </c>
      <c r="C17" s="47">
        <f>IFERROR(IFERROR(_xll.FDS($A17,"FF_OG_PROD_DAY(QTR_R_OIL_BOE,"&amp;Current_Quarter&amp;")"),_xll.FDS($A17,"FF_OG_PROD_TOT_NET(QTR_R_OIL_BOE,"&amp;Current_Quarter&amp;")")/Inputs!$C$20),0)</f>
        <v>4.3804347826086953</v>
      </c>
      <c r="D17" s="15">
        <f>IFERROR(IFERROR(_xll.FDS($A17,"FF_OG_PROD_DAY(QTR_R_NG_CFE,"&amp;Current_Quarter&amp;")")/1000,_xll.FDS($A17,"FF_OG_PROD_TOT_NET(QTR_R_NG_CFE,"&amp;Current_Quarter&amp;")")/1000/Inputs!$C$20),0)</f>
        <v>5.9456521739130439</v>
      </c>
      <c r="E17" s="15">
        <f>IFERROR(IFERROR(_xll.FDS($A17,"FF_OG_PROD_DAY(QTR_R_NGL_BOE,"&amp;Current_Quarter&amp;")"),_xll.FDS($A17,"FF_OG_PROD_TOT_NET(QTR_R_NGL_BOE,"&amp;Current_Quarter&amp;")")/Inputs!$C$20),0)</f>
        <v>0.91304347826086951</v>
      </c>
      <c r="F17" s="14">
        <f>+C17+D17/6+E17</f>
        <v>6.2844202898550723</v>
      </c>
      <c r="G17" s="21">
        <f>(C17*Inputs!$C$15+D17*Inputs!$C$16+E17*Inputs!$C$17)*Inputs!$C$20</f>
        <v>28173.000000000004</v>
      </c>
      <c r="H17" s="19">
        <f>+G17/(F17*92)</f>
        <v>48.728163735946971</v>
      </c>
      <c r="I17" s="19">
        <f>(_xll.FDS($A17,"FF_OG_PROD_EXP(QTR_R,"&amp;Current_Quarter&amp;")")+((30757+40783-29149-34640)/1000))/($F17*Inputs!$C$20/1000)</f>
        <v>20.419717497837997</v>
      </c>
      <c r="J17" s="19">
        <f>_xll.FDS($A17,"FF_DEP_AMORT_EXP(QTR_R,"&amp;Current_Quarter&amp;")")/($F17*Inputs!$C$20/1000)</f>
        <v>16.291150187373887</v>
      </c>
      <c r="K17" s="19">
        <f>_xll.FDS($A17,"FF_SGA(QTR_R,"&amp;Current_Quarter&amp;")")/($F17*Inputs!$C$20/1000)</f>
        <v>42.176419717497843</v>
      </c>
      <c r="L17" s="19">
        <f>+H17-I17-K17</f>
        <v>-13.867973479388869</v>
      </c>
      <c r="M17" s="19">
        <f>+H17-I17-J17-K17</f>
        <v>-30.159123666762756</v>
      </c>
      <c r="N17" s="14">
        <f>IFERROR(IFERROR(_xll.FDS($A17,"FF_OG_PROD_DAY(QTR_R_OIL_BOE,"&amp;Prev_Quarter&amp;")"),_xll.FDS($A17,"FF_OG_PROD_TOT_NET(QTR_R_OIL_BOE,"&amp;Prev_Quarter&amp;")")/Inputs!$C$20),0)</f>
        <v>21.9328</v>
      </c>
      <c r="O17" s="15">
        <f>IFERROR(IFERROR(_xll.FDS($A17,"FF_OG_PROD_DAY(QTR_R_NG_CFE,"&amp;Prev_Quarter&amp;")")/1000,_xll.FDS($A17,"FF_OG_PROD_TOT_NET(QTR_R_NG_CFE,"&amp;Prev_Quarter&amp;")")/1000/Inputs!$C$20),0)</f>
        <v>20.778479999999998</v>
      </c>
      <c r="P17" s="15">
        <f>IFERROR(IFERROR(_xll.FDS($A17,"FF_OG_PROD_DAY(QTR_R_NGL_BOE,"&amp;Prev_Quarter&amp;")"),_xll.FDS($A17,"FF_OG_PROD_TOT_NET(QTR_R_NGL_BOE,"&amp;Prev_Quarter&amp;")")/Inputs!$C$20),0)</f>
        <v>3.4630999999999998</v>
      </c>
      <c r="Q17" s="14">
        <f>+N17+O17/6+P17</f>
        <v>28.858979999999999</v>
      </c>
      <c r="R17" s="27">
        <f>+F17/Q17-1</f>
        <v>-0.78223692279300683</v>
      </c>
      <c r="S17" s="15">
        <f>_xll.FDS(A17,"FF_OG_AREA_TOT(ANN_R_GROSS_ACRE,"&amp;Current_Quarter&amp;")")/1000</f>
        <v>214.559</v>
      </c>
      <c r="T17" s="15">
        <f>_xll.FDS(A17,"FF_OG_AREA_TOT(ANN_R_NET_ACRE,"&amp;Current_Quarter&amp;")")/1000</f>
        <v>141.82499999999999</v>
      </c>
      <c r="U17" s="29">
        <f>_xll.FDS($A17,"FG_PRICE("&amp;Date&amp;")")</f>
        <v>5.15</v>
      </c>
      <c r="V17" s="29">
        <f>_xll.FDS($A17,"RTP_PRICE_HIGH_52W")</f>
        <v>9.07</v>
      </c>
      <c r="W17" s="26">
        <f>+U17/V17-1</f>
        <v>-0.43219404630650493</v>
      </c>
      <c r="X17" s="31">
        <f>_xll.FDS($A17,"OS_SEC_SI_PCTFLT(0D)")/100</f>
        <v>0.1169300337942971</v>
      </c>
      <c r="Y17" s="30">
        <f>_xll.FDS($A17,"FREF_MARKET_VALUE_COMPANY("&amp;Date&amp;",,,,,0)")</f>
        <v>826.43081593246461</v>
      </c>
      <c r="Z17" s="30">
        <f>_xll.FDS($A17,"FF_CASH_ONLY(QTR,0)")</f>
        <v>424.07100000000003</v>
      </c>
      <c r="AA17" s="30">
        <f>_xll.FDS($A17,"FF_DEBT(QTR,0)")</f>
        <v>409.16800000000001</v>
      </c>
      <c r="AB17" s="30">
        <f>+AA17+Y17-Z17</f>
        <v>811.5278159324647</v>
      </c>
      <c r="AC17" s="15">
        <f>_xll.FDS($A17,"FF_OG_RSRV_PROVED_DEV_NET(ANN_R_OIL_BOE,0)")</f>
        <v>10.15</v>
      </c>
      <c r="AD17" s="15">
        <f>_xll.FDS($A17,"FF_OG_RSRV_PROVED_DEV_NET(ANN_R_NG_CFE,0)")/1000</f>
        <v>16.303000000000001</v>
      </c>
      <c r="AE17" s="15">
        <f>IFERROR(_xll.FDS($A17,"FF_OG_RSRV_PROVED_DEV_NET(ANN_R_NGL_BOE,0)"),0)</f>
        <v>3.1509999999999998</v>
      </c>
      <c r="AF17" s="15">
        <f>+AC17+AD17/6+AE17</f>
        <v>16.018166666666666</v>
      </c>
      <c r="AG17" s="15">
        <f>_xll.FDS($A17,"FF_OG_RSRV_PROVED_UNDEV_NET(ANN_R_OIL_BOE,0)")</f>
        <v>23.983000000000001</v>
      </c>
      <c r="AH17" s="15">
        <f>_xll.FDS($A17,"FF_OG_RSRV_PROVED_UNDEV_NET(ANN_R_NG_CFE,0)")/1000</f>
        <v>30.434999999999999</v>
      </c>
      <c r="AI17" s="15">
        <f>IFERROR(_xll.FDS($A17,"FF_OG_RSRV_PROVED_UNDEV_NET(ANN_R_NGL_BOE,0)"),0)</f>
        <v>6.0449999999999999</v>
      </c>
      <c r="AJ17" s="15">
        <f>+AG17+AH17/6+AI17</f>
        <v>35.100500000000004</v>
      </c>
      <c r="AK17" s="15">
        <f>IF((AJ17+AF17)/_xll.FDS($A17,"FF_OG_TOT_RSRV_PROVED_NET(ANN_R_BOE,0)")-1&lt;0.01,AJ17+AF17,"CHECK RESERVES")</f>
        <v>51.11866666666667</v>
      </c>
      <c r="AL17" s="26">
        <f>+AJ17/AK17</f>
        <v>0.68664740864393958</v>
      </c>
      <c r="AM17" s="39" t="e">
        <f>_xll.FDS($A17,"FE_GUIDANCE(PROD_DAY_OIL_ONLY,MIDPOINT,ANNUAL,+2,0,,,'')")</f>
        <v>#N/A</v>
      </c>
      <c r="AN17" s="39" t="e">
        <f>_xll.FDS($A17,"FE_GUIDANCE(PRODPERDAY,MIDPOINT,ANNUAL,+2,0,,,'')")</f>
        <v>#N/A</v>
      </c>
      <c r="AO17" s="39" t="e">
        <f>_xll.FDS($A17,"FE_GUIDANCE(TOTAL_PROD,MIDPOINT,ANNUAL,+2,0,,,'')")</f>
        <v>#N/A</v>
      </c>
      <c r="AP17" s="39" t="e">
        <f>_xll.FDS($A17,"FE_GUIDANCE(CAPEX,MIDPOINT,ANNUAL,+2,0,,,'')")</f>
        <v>#N/A</v>
      </c>
      <c r="AQ17" s="39" t="str">
        <f>_xll.FDS($A17,"FE_GUIDANCE_DATE(DATEN,CAPEX,ANNUAL,2018,'MM/DD/YYYY',0)")</f>
        <v>11/10/2017</v>
      </c>
    </row>
    <row r="18" spans="1:43" ht="18.75" x14ac:dyDescent="0.3">
      <c r="A18" s="12" t="s">
        <v>36</v>
      </c>
      <c r="B18" s="13" t="str">
        <f>_xll.FDS($A18,"FG_COMPANY_NAME")</f>
        <v>Jagged Peak Energy, Inc.</v>
      </c>
      <c r="C18" s="14">
        <f>IFERROR(IFERROR(_xll.FDS($A18,"FF_OG_PROD_DAY(QTR_R_OIL_BOE,"&amp;Current_Quarter&amp;")"),_xll.FDS($A18,"FF_OG_PROD_TOT_NET(QTR_R_OIL_BOE,"&amp;Current_Quarter&amp;")")/Inputs!$C$20),0)</f>
        <v>19.229600000000001</v>
      </c>
      <c r="D18" s="15">
        <f>IFERROR(IFERROR(_xll.FDS($A18,"FF_OG_PROD_DAY(QTR_R_NG_CFE,"&amp;Current_Quarter&amp;")")/1000,_xll.FDS($A18,"FF_OG_PROD_TOT_NET(QTR_R_NG_CFE,"&amp;Current_Quarter&amp;")")/1000/Inputs!$C$20),0)</f>
        <v>14.967391304347826</v>
      </c>
      <c r="E18" s="15">
        <f>IFERROR(IFERROR(_xll.FDS($A18,"FF_OG_PROD_DAY(QTR_R_NGL_BOE,"&amp;Current_Quarter&amp;")"),_xll.FDS($A18,"FF_OG_PROD_TOT_NET(QTR_R_NGL_BOE,"&amp;Current_Quarter&amp;")")/Inputs!$C$20),0)</f>
        <v>2.2934782608695654</v>
      </c>
      <c r="F18" s="14">
        <f>+C18+D18/6+E18</f>
        <v>24.017643478260872</v>
      </c>
      <c r="G18" s="21">
        <f>(C18*Inputs!$C$15+D18*Inputs!$C$16+E18*Inputs!$C$17)*Inputs!$C$20</f>
        <v>116186.39200000001</v>
      </c>
      <c r="H18" s="19">
        <f>+G18/(F18*92)</f>
        <v>52.581993165169514</v>
      </c>
      <c r="I18" s="19">
        <f>(_xll.FDS($A18,"FF_OG_PROD_EXP(QTR_R,"&amp;Current_Quarter&amp;")")+2.02)/($F18*Inputs!$C$20/1000)</f>
        <v>6.5232841508905217</v>
      </c>
      <c r="J18" s="19">
        <f>_xll.FDS($A18,"FF_DEP_AMORT_EXP(QTR_R,"&amp;Current_Quarter&amp;")")/($F18*Inputs!$C$20/1000)</f>
        <v>19.845012489007175</v>
      </c>
      <c r="K18" s="19">
        <f>_xll.FDS($A18,"FF_SGA(QTR_R,"&amp;Current_Quarter&amp;")")/($F18*Inputs!$C$20/1000)</f>
        <v>7.4958481608991061</v>
      </c>
      <c r="L18" s="19">
        <f>+H18-I18-K18</f>
        <v>38.562860853379881</v>
      </c>
      <c r="M18" s="19">
        <f>+H18-I18-J18-K18</f>
        <v>18.717848364372706</v>
      </c>
      <c r="N18" s="14">
        <f>IFERROR(IFERROR(_xll.FDS($A18,"FF_OG_PROD_DAY(QTR_R_OIL_BOE,"&amp;Prev_Quarter&amp;")"),_xll.FDS($A18,"FF_OG_PROD_TOT_NET(QTR_R_OIL_BOE,"&amp;Prev_Quarter&amp;")")/Inputs!$C$20),0)</f>
        <v>15.036</v>
      </c>
      <c r="O18" s="15">
        <f>IFERROR(IFERROR(_xll.FDS($A18,"FF_OG_PROD_DAY(QTR_R_NG_CFE,"&amp;Prev_Quarter&amp;")")/1000,_xll.FDS($A18,"FF_OG_PROD_TOT_NET(QTR_R_NG_CFE,"&amp;Prev_Quarter&amp;")")/1000/Inputs!$C$20),0)</f>
        <v>12.346</v>
      </c>
      <c r="P18" s="15">
        <f>IFERROR(IFERROR(_xll.FDS($A18,"FF_OG_PROD_DAY(QTR_R_NGL_BOE,"&amp;Prev_Quarter&amp;")"),_xll.FDS($A18,"FF_OG_PROD_TOT_NET(QTR_R_NGL_BOE,"&amp;Prev_Quarter&amp;")")/Inputs!$C$20),0)</f>
        <v>2.0870000000000002</v>
      </c>
      <c r="Q18" s="14">
        <f>+N18+O18/6+P18</f>
        <v>19.180666666666667</v>
      </c>
      <c r="R18" s="27">
        <f>+F18/Q18-1</f>
        <v>0.25217980665918138</v>
      </c>
      <c r="S18" s="15">
        <f>_xll.FDS(A18,"FF_OG_AREA_TOT(ANN_R_GROSS_ACRE,"&amp;Current_Quarter&amp;")")/1000</f>
        <v>87.6</v>
      </c>
      <c r="T18" s="15">
        <f>_xll.FDS(A18,"FF_OG_AREA_TOT(ANN_R_NET_ACRE,"&amp;Current_Quarter&amp;")")/1000</f>
        <v>75.2</v>
      </c>
      <c r="U18" s="29">
        <f>_xll.FDS($A18,"FG_PRICE("&amp;Date&amp;")")</f>
        <v>14.39</v>
      </c>
      <c r="V18" s="29">
        <f>_xll.FDS($A18,"RTP_PRICE_HIGH_52W")</f>
        <v>16.55</v>
      </c>
      <c r="W18" s="26">
        <f>+U18/V18-1</f>
        <v>-0.13051359516616312</v>
      </c>
      <c r="X18" s="31">
        <f>_xll.FDS($A18,"OS_SEC_SI_PCTFLT(0D)")/100</f>
        <v>0.15314208272258989</v>
      </c>
      <c r="Y18" s="30">
        <f>_xll.FDS($A18,"FREF_MARKET_VALUE_COMPANY("&amp;Date&amp;",,,,,0)")</f>
        <v>3064.1779440476239</v>
      </c>
      <c r="Z18" s="30">
        <f>_xll.FDS($A18,"FF_CASH_ONLY(QTR,0)")</f>
        <v>9.5229999999999997</v>
      </c>
      <c r="AA18" s="30">
        <f>_xll.FDS($A18,"FF_DEBT(QTR,0)")</f>
        <v>155</v>
      </c>
      <c r="AB18" s="30">
        <f>+AA18+Y18-Z18</f>
        <v>3209.6549440476238</v>
      </c>
      <c r="AC18" s="15">
        <f>_xll.FDS($A18,"FF_OG_RSRV_PROVED_DEV_NET(ANN_R_OIL_BOE,0)")</f>
        <v>29.324999999999999</v>
      </c>
      <c r="AD18" s="15">
        <f>_xll.FDS($A18,"FF_OG_RSRV_PROVED_DEV_NET(ANN_R_NG_CFE,0)")/1000</f>
        <v>25.495999999999999</v>
      </c>
      <c r="AE18" s="15">
        <f>IFERROR(_xll.FDS($A18,"FF_OG_RSRV_PROVED_DEV_NET(ANN_R_NGL_BOE,0)"),0)</f>
        <v>4.1660000000000004</v>
      </c>
      <c r="AF18" s="15">
        <f>+AC18+AD18/6+AE18</f>
        <v>37.740333333333339</v>
      </c>
      <c r="AG18" s="15">
        <f>_xll.FDS($A18,"FF_OG_RSRV_PROVED_UNDEV_NET(ANN_R_OIL_BOE,0)")</f>
        <v>35.731999999999999</v>
      </c>
      <c r="AH18" s="15">
        <f>_xll.FDS($A18,"FF_OG_RSRV_PROVED_UNDEV_NET(ANN_R_NG_CFE,0)")/1000</f>
        <v>27.757999999999999</v>
      </c>
      <c r="AI18" s="15">
        <f>IFERROR(_xll.FDS($A18,"FF_OG_RSRV_PROVED_UNDEV_NET(ANN_R_NGL_BOE,0)"),0)</f>
        <v>4.26</v>
      </c>
      <c r="AJ18" s="15">
        <f>+AG18+AH18/6+AI18</f>
        <v>44.618333333333332</v>
      </c>
      <c r="AK18" s="15">
        <f>IF((AJ18+AF18)/_xll.FDS($A18,"FF_OG_TOT_RSRV_PROVED_NET(ANN_R_BOE,0)")-1&lt;0.01,AJ18+AF18,"CHECK RESERVES")</f>
        <v>82.358666666666664</v>
      </c>
      <c r="AL18" s="26">
        <f>+AJ18/AK18</f>
        <v>0.54175638265149184</v>
      </c>
      <c r="AM18" s="39" t="e">
        <f>_xll.FDS($A18,"FE_GUIDANCE(PROD_DAY_OIL_ONLY,MIDPOINT,ANNUAL,+2,0,,,'')")</f>
        <v>#N/A</v>
      </c>
      <c r="AN18" s="39" t="e">
        <f>_xll.FDS($A18,"FE_GUIDANCE(PRODPERDAY,MIDPOINT,ANNUAL,+2,0,,,'')")</f>
        <v>#N/A</v>
      </c>
      <c r="AO18" s="39" t="e">
        <f>_xll.FDS($A18,"FE_GUIDANCE(TOTAL_PROD,MIDPOINT,ANNUAL,+2,0,,,'')")</f>
        <v>#N/A</v>
      </c>
      <c r="AP18" s="39" t="e">
        <f>_xll.FDS($A18,"FE_GUIDANCE(CAPEX,MIDPOINT,ANNUAL,+2,0,,,'')")</f>
        <v>#N/A</v>
      </c>
      <c r="AQ18" s="39" t="str">
        <f>_xll.FDS($A18,"FE_GUIDANCE_DATE(DATEN,CAPEX,ANNUAL,2018,'MM/DD/YYYY',0)")</f>
        <v>03/23/2018</v>
      </c>
    </row>
    <row r="19" spans="1:43" ht="18.75" x14ac:dyDescent="0.3">
      <c r="A19" s="12" t="s">
        <v>10</v>
      </c>
      <c r="B19" s="13" t="str">
        <f>_xll.FDS($A19,"FG_COMPANY_NAME")</f>
        <v>Laredo Petroleum, Inc.</v>
      </c>
      <c r="C19" s="14">
        <f>IFERROR(IFERROR(_xll.FDS($A19,"FF_OG_PROD_DAY(QTR_R_OIL_BOE,"&amp;Current_Quarter&amp;")"),_xll.FDS($A19,"FF_OG_PROD_TOT_NET(QTR_R_OIL_BOE,"&amp;Current_Quarter&amp;")")/Inputs!$C$20),0)</f>
        <v>26.6265</v>
      </c>
      <c r="D19" s="15">
        <f>IFERROR(IFERROR(_xll.FDS($A19,"FF_OG_PROD_DAY(QTR_R_NG_CFE,"&amp;Current_Quarter&amp;")")/1000,_xll.FDS($A19,"FF_OG_PROD_TOT_NET(QTR_R_NG_CFE,"&amp;Current_Quarter&amp;")")/1000/Inputs!$C$20),0)</f>
        <v>211.77323999999999</v>
      </c>
      <c r="E19" s="15">
        <f>IFERROR(IFERROR(_xll.FDS($A19,"FF_OG_PROD_DAY(QTR_R_NGL_BOE,"&amp;Current_Quarter&amp;")"),_xll.FDS($A19,"FF_OG_PROD_TOT_NET(QTR_R_NGL_BOE,"&amp;Current_Quarter&amp;")")/Inputs!$C$20),0)</f>
        <v>17.338200000000001</v>
      </c>
      <c r="F19" s="14">
        <f>+C19+D19/6+E19</f>
        <v>79.260239999999996</v>
      </c>
      <c r="G19" s="21">
        <f>(C19*Inputs!$C$15+D19*Inputs!$C$16+E19*Inputs!$C$17)*Inputs!$C$20</f>
        <v>250090.89743999997</v>
      </c>
      <c r="H19" s="19">
        <f>+G19/(F19*92)</f>
        <v>34.296884793687219</v>
      </c>
      <c r="I19" s="19">
        <f>_xll.FDS($A19,"FF_OG_PROD_EXP(QTR_R,"&amp;Current_Quarter&amp;")")/($F19*Inputs!$C$20/1000)</f>
        <v>4.0249908293292425</v>
      </c>
      <c r="J19" s="19">
        <f>_xll.FDS($A19,"FF_DEP_AMORT_EXP(QTR_R,"&amp;Current_Quarter&amp;")")/($F19*Inputs!$C$20/1000)</f>
        <v>6.3125844246969116</v>
      </c>
      <c r="K19" s="19">
        <f>_xll.FDS($A19,"FF_SGA(QTR_R,"&amp;Current_Quarter&amp;")")/($F19*Inputs!$C$20/1000)</f>
        <v>3.2511229162149351</v>
      </c>
      <c r="L19" s="19">
        <f>+H19-I19-K19</f>
        <v>27.020771048143043</v>
      </c>
      <c r="M19" s="19">
        <f>+H19-I19-J19-K19</f>
        <v>20.708186623446132</v>
      </c>
      <c r="N19" s="14">
        <f>IFERROR(IFERROR(_xll.FDS($A19,"FF_OG_PROD_DAY(QTR_R_OIL_BOE,"&amp;Prev_Quarter&amp;")"),_xll.FDS($A19,"FF_OG_PROD_TOT_NET(QTR_R_OIL_BOE,"&amp;Prev_Quarter&amp;")")/Inputs!$C$20),0)</f>
        <v>26.404800000000002</v>
      </c>
      <c r="O19" s="15">
        <f>IFERROR(IFERROR(_xll.FDS($A19,"FF_OG_PROD_DAY(QTR_R_NG_CFE,"&amp;Prev_Quarter&amp;")")/1000,_xll.FDS($A19,"FF_OG_PROD_TOT_NET(QTR_R_NG_CFE,"&amp;Prev_Quarter&amp;")")/1000/Inputs!$C$20),0)</f>
        <v>201.63695999999999</v>
      </c>
      <c r="P19" s="15">
        <f>IFERROR(IFERROR(_xll.FDS($A19,"FF_OG_PROD_DAY(QTR_R_NGL_BOE,"&amp;Prev_Quarter&amp;")"),_xll.FDS($A19,"FF_OG_PROD_TOT_NET(QTR_R_NGL_BOE,"&amp;Prev_Quarter&amp;")")/Inputs!$C$20),0)</f>
        <v>16.206521739130434</v>
      </c>
      <c r="Q19" s="14">
        <f>+N19+O19/6+P19</f>
        <v>76.217481739130434</v>
      </c>
      <c r="R19" s="27">
        <f>+F19/Q19-1</f>
        <v>3.9922051889407895E-2</v>
      </c>
      <c r="S19" s="15">
        <f>_xll.FDS(A19,"FF_OG_AREA_TOT(ANN_R_GROSS_ACRE,"&amp;Current_Quarter&amp;")")/1000</f>
        <v>152.31</v>
      </c>
      <c r="T19" s="15">
        <f>_xll.FDS(A19,"FF_OG_AREA_TOT(ANN_R_NET_ACRE,"&amp;Current_Quarter&amp;")")/1000</f>
        <v>129.13499999999999</v>
      </c>
      <c r="U19" s="29">
        <f>_xll.FDS($A19,"FG_PRICE("&amp;Date&amp;")")</f>
        <v>9.64</v>
      </c>
      <c r="V19" s="29">
        <f>_xll.FDS($A19,"RTP_PRICE_HIGH_52W")</f>
        <v>14.36</v>
      </c>
      <c r="W19" s="26">
        <f>+U19/V19-1</f>
        <v>-0.32869080779944282</v>
      </c>
      <c r="X19" s="31">
        <f>_xll.FDS($A19,"OS_SEC_SI_PCTFLT(0D)")/100</f>
        <v>0.14514769904093991</v>
      </c>
      <c r="Y19" s="30">
        <f>_xll.FDS($A19,"FREF_MARKET_VALUE_COMPANY("&amp;Date&amp;",,,,,0)")</f>
        <v>2324.7728098461521</v>
      </c>
      <c r="Z19" s="30">
        <f>_xll.FDS($A19,"FF_CASH_ONLY(QTR,0)")</f>
        <v>112.15900000000001</v>
      </c>
      <c r="AA19" s="30">
        <f>_xll.FDS($A19,"FF_DEBT(QTR,0)")</f>
        <v>791.85500000000002</v>
      </c>
      <c r="AB19" s="30">
        <f>+AA19+Y19-Z19</f>
        <v>3004.468809846152</v>
      </c>
      <c r="AC19" s="15">
        <f>_xll.FDS($A19,"FF_OG_RSRV_PROVED_DEV_NET(ANN_R_OIL_BOE,0)")</f>
        <v>68.876999999999995</v>
      </c>
      <c r="AD19" s="15">
        <f>_xll.FDS($A19,"FF_OG_RSRV_PROVED_DEV_NET(ANN_R_NG_CFE,0)")/1000</f>
        <v>371.94600000000003</v>
      </c>
      <c r="AE19" s="15">
        <f>IFERROR(_xll.FDS($A19,"FF_OG_RSRV_PROVED_DEV_NET(ANN_R_NGL_BOE,0)"),0)</f>
        <v>60.441000000000003</v>
      </c>
      <c r="AF19" s="15">
        <f>+AC19+AD19/6+AE19</f>
        <v>191.309</v>
      </c>
      <c r="AG19" s="15">
        <f>_xll.FDS($A19,"FF_OG_RSRV_PROVED_UNDEV_NET(ANN_R_OIL_BOE,0)")</f>
        <v>10.536</v>
      </c>
      <c r="AH19" s="15">
        <f>_xll.FDS($A19,"FF_OG_RSRV_PROVED_UNDEV_NET(ANN_R_NG_CFE,0)")/1000</f>
        <v>42.646000000000001</v>
      </c>
      <c r="AI19" s="15">
        <f>IFERROR(_xll.FDS($A19,"FF_OG_RSRV_PROVED_UNDEV_NET(ANN_R_NGL_BOE,0)"),0)</f>
        <v>6.93</v>
      </c>
      <c r="AJ19" s="15">
        <f>+AG19+AH19/6+AI19</f>
        <v>24.573666666666668</v>
      </c>
      <c r="AK19" s="15">
        <f>IF((AJ19+AF19)/_xll.FDS($A19,"FF_OG_TOT_RSRV_PROVED_NET(ANN_R_BOE,0)")-1&lt;0.01,AJ19+AF19,"CHECK RESERVES")</f>
        <v>215.88266666666667</v>
      </c>
      <c r="AL19" s="26">
        <f>+AJ19/AK19</f>
        <v>0.11382880824151391</v>
      </c>
      <c r="AM19" s="39" t="e">
        <f>_xll.FDS($A19,"FE_GUIDANCE(PROD_DAY_OIL_ONLY,MIDPOINT,ANNUAL,+2,0,,,'')")</f>
        <v>#N/A</v>
      </c>
      <c r="AN19" s="39" t="e">
        <f>_xll.FDS($A19,"FE_GUIDANCE(PRODPERDAY,MIDPOINT,ANNUAL,+2,0,,,'')")</f>
        <v>#N/A</v>
      </c>
      <c r="AO19" s="39" t="e">
        <f>_xll.FDS($A19,"FE_GUIDANCE(TOTAL_PROD,MIDPOINT,ANNUAL,+2,0,,,'')")</f>
        <v>#N/A</v>
      </c>
      <c r="AP19" s="39" t="e">
        <f>_xll.FDS($A19,"FE_GUIDANCE(CAPEX,MIDPOINT,ANNUAL,+2,0,,,'')")</f>
        <v>#N/A</v>
      </c>
      <c r="AQ19" s="39" t="str">
        <f>_xll.FDS($A19,"FE_GUIDANCE_DATE(DATEN,CAPEX,ANNUAL,2018,'MM/DD/YYYY',0)")</f>
        <v>01/25/2018</v>
      </c>
    </row>
    <row r="20" spans="1:43" ht="18.75" x14ac:dyDescent="0.3">
      <c r="A20" s="12" t="s">
        <v>2</v>
      </c>
      <c r="B20" s="13" t="str">
        <f>_xll.FDS($A20,"FG_COMPANY_NAME")</f>
        <v>Marathon Oil Corporation</v>
      </c>
      <c r="C20" s="14">
        <f>IFERROR(IFERROR(_xll.FDS($A20,"FF_OG_PROD_DAY(QTR_R_OIL_BOE,"&amp;Current_Quarter&amp;")"),_xll.FDS($A20,"FF_OG_PROD_TOT_NET(QTR_R_OIL_BOE,"&amp;Current_Quarter&amp;")")/Inputs!$C$20),0)</f>
        <v>208</v>
      </c>
      <c r="D20" s="15">
        <f>IFERROR(IFERROR(_xll.FDS($A20,"FF_OG_PROD_DAY(QTR_R_NG_CFE,"&amp;Current_Quarter&amp;")")/1000,_xll.FDS($A20,"FF_OG_PROD_TOT_NET(QTR_R_NG_CFE,"&amp;Current_Quarter&amp;")")/1000/Inputs!$C$20),0)</f>
        <v>869</v>
      </c>
      <c r="E20" s="15">
        <f>IFERROR(IFERROR(_xll.FDS($A20,"FF_OG_PROD_DAY(QTR_R_NGL_BOE,"&amp;Current_Quarter&amp;")"),_xll.FDS($A20,"FF_OG_PROD_TOT_NET(QTR_R_NGL_BOE,"&amp;Current_Quarter&amp;")")/Inputs!$C$20),0)</f>
        <v>62</v>
      </c>
      <c r="F20" s="14">
        <f>+C20+D20/6+E20</f>
        <v>414.83333333333337</v>
      </c>
      <c r="G20" s="21">
        <f>(C20*Inputs!$C$15+D20*Inputs!$C$16+E20*Inputs!$C$17)*Inputs!$C$20</f>
        <v>1547716</v>
      </c>
      <c r="H20" s="19">
        <f>+G20/(F20*92)</f>
        <v>40.55363599839292</v>
      </c>
      <c r="I20" s="19">
        <f>_xll.FDS($A20,"FF_OG_PROD_EXP(QTR_R,"&amp;Current_Quarter&amp;")")/($F20*Inputs!$C$20/1000)</f>
        <v>6.3147413838279736</v>
      </c>
      <c r="J20" s="19">
        <f>_xll.FDS($A20,"FF_DEP_AMORT_EXP(QTR_R,"&amp;Current_Quarter&amp;")")/($F20*Inputs!$C$20/1000)</f>
        <v>16.035774800426221</v>
      </c>
      <c r="K20" s="19">
        <f>_xll.FDS($A20,"FF_SGA(QTR_R,"&amp;Current_Quarter&amp;")")/($F20*Inputs!$C$20/1000)</f>
        <v>2.6464268869984453</v>
      </c>
      <c r="L20" s="19">
        <f>+H20-I20-K20</f>
        <v>31.592467727566504</v>
      </c>
      <c r="M20" s="19">
        <f>+H20-I20-J20-K20</f>
        <v>15.556692927140283</v>
      </c>
      <c r="N20" s="14">
        <f>IFERROR(IFERROR(_xll.FDS($A20,"FF_OG_PROD_DAY(QTR_R_OIL_BOE,"&amp;Prev_Quarter&amp;")"),_xll.FDS($A20,"FF_OG_PROD_TOT_NET(QTR_R_OIL_BOE,"&amp;Prev_Quarter&amp;")")/Inputs!$C$20),0)</f>
        <v>207</v>
      </c>
      <c r="O20" s="15">
        <f>IFERROR(IFERROR(_xll.FDS($A20,"FF_OG_PROD_DAY(QTR_R_NG_CFE,"&amp;Prev_Quarter&amp;")")/1000,_xll.FDS($A20,"FF_OG_PROD_TOT_NET(QTR_R_NG_CFE,"&amp;Prev_Quarter&amp;")")/1000/Inputs!$C$20),0)</f>
        <v>876</v>
      </c>
      <c r="P20" s="15">
        <f>IFERROR(IFERROR(_xll.FDS($A20,"FF_OG_PROD_DAY(QTR_R_NGL_BOE,"&amp;Prev_Quarter&amp;")"),_xll.FDS($A20,"FF_OG_PROD_TOT_NET(QTR_R_NGL_BOE,"&amp;Prev_Quarter&amp;")")/Inputs!$C$20),0)</f>
        <v>57</v>
      </c>
      <c r="Q20" s="14">
        <f>+N20+O20/6+P20</f>
        <v>410</v>
      </c>
      <c r="R20" s="27">
        <f>+F20/Q20-1</f>
        <v>1.178861788617902E-2</v>
      </c>
      <c r="S20" s="15">
        <f>_xll.FDS(A20,"FF_OG_AREA_TOT(ANN_R_GROSS_ACRE,"&amp;Current_Quarter&amp;")")/1000</f>
        <v>15496</v>
      </c>
      <c r="T20" s="15">
        <f>_xll.FDS(A20,"FF_OG_AREA_TOT(ANN_R_NET_ACRE,"&amp;Current_Quarter&amp;")")/1000</f>
        <v>3881</v>
      </c>
      <c r="U20" s="29">
        <f>_xll.FDS($A20,"FG_PRICE("&amp;Date&amp;")")</f>
        <v>18.149999999999999</v>
      </c>
      <c r="V20" s="29">
        <f>_xll.FDS($A20,"RTP_PRICE_HIGH_52W")</f>
        <v>19.52</v>
      </c>
      <c r="W20" s="26">
        <f>+U20/V20-1</f>
        <v>-7.0184426229508268E-2</v>
      </c>
      <c r="X20" s="31">
        <f>_xll.FDS($A20,"OS_SEC_SI_PCTFLT(0D)")/100</f>
        <v>1.7889078576594091E-2</v>
      </c>
      <c r="Y20" s="30">
        <f>_xll.FDS($A20,"FREF_MARKET_VALUE_COMPANY("&amp;Date&amp;",,,,,0)")</f>
        <v>15486.57801313209</v>
      </c>
      <c r="Z20" s="30">
        <f>_xll.FDS($A20,"FF_CASH_ONLY(QTR,0)")</f>
        <v>563</v>
      </c>
      <c r="AA20" s="30">
        <f>_xll.FDS($A20,"FF_DEBT(QTR,0)")</f>
        <v>5494</v>
      </c>
      <c r="AB20" s="30">
        <f>+AA20+Y20-Z20</f>
        <v>20417.57801313209</v>
      </c>
      <c r="AC20" s="15">
        <f>_xll.FDS($A20,"FF_OG_RSRV_PROVED_DEV_NET(ANN_R_OIL_BOE,0)")</f>
        <v>484</v>
      </c>
      <c r="AD20" s="15">
        <f>_xll.FDS($A20,"FF_OG_RSRV_PROVED_DEV_NET(ANN_R_NG_CFE,0)")/1000</f>
        <v>1655</v>
      </c>
      <c r="AE20" s="15">
        <f>IFERROR(_xll.FDS($A20,"FF_OG_RSRV_PROVED_DEV_NET(ANN_R_NGL_BOE,0)"),0)</f>
        <v>143</v>
      </c>
      <c r="AF20" s="15">
        <f>+AC20+AD20/6+AE20</f>
        <v>902.83333333333326</v>
      </c>
      <c r="AG20" s="15">
        <f>_xll.FDS($A20,"FF_OG_RSRV_PROVED_UNDEV_NET(ANN_R_OIL_BOE,0)")</f>
        <v>316</v>
      </c>
      <c r="AH20" s="15">
        <f>_xll.FDS($A20,"FF_OG_RSRV_PROVED_UNDEV_NET(ANN_R_NG_CFE,0)")/1000</f>
        <v>714</v>
      </c>
      <c r="AI20" s="15">
        <f>IFERROR(_xll.FDS($A20,"FF_OG_RSRV_PROVED_UNDEV_NET(ANN_R_NGL_BOE,0)"),0)</f>
        <v>111</v>
      </c>
      <c r="AJ20" s="15">
        <f>+AG20+AH20/6+AI20</f>
        <v>546</v>
      </c>
      <c r="AK20" s="15">
        <f>IF((AJ20+AF20)/_xll.FDS($A20,"FF_OG_TOT_RSRV_PROVED_NET(ANN_R_BOE,0)")-1&lt;0.01,AJ20+AF20,"CHECK RESERVES")</f>
        <v>1448.8333333333333</v>
      </c>
      <c r="AL20" s="26">
        <f>+AJ20/AK20</f>
        <v>0.37685494075693088</v>
      </c>
      <c r="AM20" s="39" t="e">
        <f>_xll.FDS($A20,"FE_GUIDANCE(PROD_DAY_OIL_ONLY,MIDPOINT,ANNUAL,+2,0,,,'')")</f>
        <v>#N/A</v>
      </c>
      <c r="AN20" s="39" t="e">
        <f>_xll.FDS($A20,"FE_GUIDANCE(PRODPERDAY,MIDPOINT,ANNUAL,+2,0,,,'')")</f>
        <v>#N/A</v>
      </c>
      <c r="AO20" s="39" t="e">
        <f>_xll.FDS($A20,"FE_GUIDANCE(TOTAL_PROD,MIDPOINT,ANNUAL,+2,0,,,'')")</f>
        <v>#N/A</v>
      </c>
      <c r="AP20" s="39" t="e">
        <f>_xll.FDS($A20,"FE_GUIDANCE(CAPEX,MIDPOINT,ANNUAL,+2,0,,,'')")</f>
        <v>#N/A</v>
      </c>
      <c r="AQ20" s="39" t="e">
        <f>_xll.FDS($A20,"FE_GUIDANCE_DATE(DATEN,CAPEX,ANNUAL,2018,'MM/DD/YYYY',0)")</f>
        <v>#N/A</v>
      </c>
    </row>
    <row r="21" spans="1:43" ht="18.75" x14ac:dyDescent="0.3">
      <c r="A21" s="12" t="s">
        <v>16</v>
      </c>
      <c r="B21" s="13" t="str">
        <f>_xll.FDS($A21,"FG_COMPANY_NAME")</f>
        <v>Matador Resources Company</v>
      </c>
      <c r="C21" s="14">
        <f>IFERROR(IFERROR(_xll.FDS($A21,"FF_OG_PROD_DAY(QTR_R_OIL_BOE,"&amp;Current_Quarter&amp;")"),_xll.FDS($A21,"FF_OG_PROD_TOT_NET(QTR_R_OIL_BOE,"&amp;Current_Quarter&amp;")")/Inputs!$C$20),0)</f>
        <v>24.664999999999999</v>
      </c>
      <c r="D21" s="15">
        <f>IFERROR(IFERROR(_xll.FDS($A21,"FF_OG_PROD_DAY(QTR_R_NG_CFE,"&amp;Current_Quarter&amp;")")/1000,_xll.FDS($A21,"FF_OG_PROD_TOT_NET(QTR_R_NG_CFE,"&amp;Current_Quarter&amp;")")/1000/Inputs!$C$20),0)</f>
        <v>114.3</v>
      </c>
      <c r="E21" s="15">
        <f>IFERROR(IFERROR(_xll.FDS($A21,"FF_OG_PROD_DAY(QTR_R_NGL_BOE,"&amp;Current_Quarter&amp;")"),_xll.FDS($A21,"FF_OG_PROD_TOT_NET(QTR_R_NGL_BOE,"&amp;Current_Quarter&amp;")")/Inputs!$C$20),0)</f>
        <v>0</v>
      </c>
      <c r="F21" s="14">
        <f>+C21+D21/6+E21</f>
        <v>43.715000000000003</v>
      </c>
      <c r="G21" s="21">
        <f>(C21*Inputs!$C$15+D21*Inputs!$C$16+E21*Inputs!$C$17)*Inputs!$C$20</f>
        <v>167697.59999999998</v>
      </c>
      <c r="H21" s="19">
        <f>+G21/(F21*92)</f>
        <v>41.697357886309042</v>
      </c>
      <c r="I21" s="19">
        <f>_xll.FDS($A21,"FF_OG_PROD_EXP(QTR_R,"&amp;Current_Quarter&amp;")")/($F21*Inputs!$C$20/1000)</f>
        <v>9.1387395630790333</v>
      </c>
      <c r="J21" s="19">
        <f>_xll.FDS($A21,"FF_DEP_AMORT_EXP(QTR_R,"&amp;Current_Quarter&amp;")")/($F21*Inputs!$C$20/1000)</f>
        <v>13.623072370940228</v>
      </c>
      <c r="K21" s="19">
        <f>_xll.FDS($A21,"FF_SGA(QTR_R,"&amp;Current_Quarter&amp;")")/($F21*Inputs!$C$20/1000)</f>
        <v>4.0641208619069156</v>
      </c>
      <c r="L21" s="19">
        <f>+H21-I21-K21</f>
        <v>28.494497461323093</v>
      </c>
      <c r="M21" s="19">
        <f>+H21-I21-J21-K21</f>
        <v>14.871425090382864</v>
      </c>
      <c r="N21" s="14">
        <f>IFERROR(IFERROR(_xll.FDS($A21,"FF_OG_PROD_DAY(QTR_R_OIL_BOE,"&amp;Prev_Quarter&amp;")"),_xll.FDS($A21,"FF_OG_PROD_TOT_NET(QTR_R_OIL_BOE,"&amp;Prev_Quarter&amp;")")/Inputs!$C$20),0)</f>
        <v>23.538</v>
      </c>
      <c r="O21" s="15">
        <f>IFERROR(IFERROR(_xll.FDS($A21,"FF_OG_PROD_DAY(QTR_R_NG_CFE,"&amp;Prev_Quarter&amp;")")/1000,_xll.FDS($A21,"FF_OG_PROD_TOT_NET(QTR_R_NG_CFE,"&amp;Prev_Quarter&amp;")")/1000/Inputs!$C$20),0)</f>
        <v>110.5</v>
      </c>
      <c r="P21" s="15">
        <f>IFERROR(IFERROR(_xll.FDS($A21,"FF_OG_PROD_DAY(QTR_R_NGL_BOE,"&amp;Prev_Quarter&amp;")"),_xll.FDS($A21,"FF_OG_PROD_TOT_NET(QTR_R_NGL_BOE,"&amp;Prev_Quarter&amp;")")/Inputs!$C$20),0)</f>
        <v>0</v>
      </c>
      <c r="Q21" s="14">
        <f>+N21+O21/6+P21</f>
        <v>41.954666666666668</v>
      </c>
      <c r="R21" s="27">
        <f>+F21/Q21-1</f>
        <v>4.1957986398016844E-2</v>
      </c>
      <c r="S21" s="15">
        <f>_xll.FDS(A21,"FF_OG_AREA_TOT(ANN_R_GROSS_ACRE,"&amp;Current_Quarter&amp;")")/1000</f>
        <v>256.89999999999998</v>
      </c>
      <c r="T21" s="15">
        <f>_xll.FDS(A21,"FF_OG_AREA_TOT(ANN_R_NET_ACRE,"&amp;Current_Quarter&amp;")")/1000</f>
        <v>165.8</v>
      </c>
      <c r="U21" s="29">
        <f>_xll.FDS($A21,"FG_PRICE("&amp;Date&amp;")")</f>
        <v>32.08</v>
      </c>
      <c r="V21" s="29">
        <f>_xll.FDS($A21,"RTP_PRICE_HIGH_52W")</f>
        <v>33.96</v>
      </c>
      <c r="W21" s="26">
        <f>+U21/V21-1</f>
        <v>-5.535924617196708E-2</v>
      </c>
      <c r="X21" s="31">
        <f>_xll.FDS($A21,"OS_SEC_SI_PCTFLT(0D)")/100</f>
        <v>9.6472399248626162E-2</v>
      </c>
      <c r="Y21" s="30">
        <f>_xll.FDS($A21,"FREF_MARKET_VALUE_COMPANY("&amp;Date&amp;",,,,,0)")</f>
        <v>3504.7081376629649</v>
      </c>
      <c r="Z21" s="30">
        <f>_xll.FDS($A21,"FF_CASH_ONLY(QTR,0)")</f>
        <v>102.482</v>
      </c>
      <c r="AA21" s="30">
        <f>_xll.FDS($A21,"FF_DEBT(QTR,0)")</f>
        <v>574.07299999999998</v>
      </c>
      <c r="AB21" s="30">
        <f>+AA21+Y21-Z21</f>
        <v>3976.2991376629648</v>
      </c>
      <c r="AC21" s="15">
        <f>_xll.FDS($A21,"FF_OG_RSRV_PROVED_DEV_NET(ANN_R_OIL_BOE,0)")</f>
        <v>36.966000000000001</v>
      </c>
      <c r="AD21" s="15">
        <f>_xll.FDS($A21,"FF_OG_RSRV_PROVED_DEV_NET(ANN_R_NG_CFE,0)")/1000</f>
        <v>190.10900000000001</v>
      </c>
      <c r="AE21" s="15">
        <f>IFERROR(_xll.FDS($A21,"FF_OG_RSRV_PROVED_DEV_NET(ANN_R_NGL_BOE,0)"),0)</f>
        <v>0</v>
      </c>
      <c r="AF21" s="15">
        <f>+AC21+AD21/6+AE21</f>
        <v>68.650833333333338</v>
      </c>
      <c r="AG21" s="15">
        <f>_xll.FDS($A21,"FF_OG_RSRV_PROVED_UNDEV_NET(ANN_R_OIL_BOE,0)")</f>
        <v>49.777000000000001</v>
      </c>
      <c r="AH21" s="15">
        <f>_xll.FDS($A21,"FF_OG_RSRV_PROVED_UNDEV_NET(ANN_R_NG_CFE,0)")/1000</f>
        <v>206.05500000000001</v>
      </c>
      <c r="AI21" s="15">
        <f>IFERROR(_xll.FDS($A21,"FF_OG_RSRV_PROVED_UNDEV_NET(ANN_R_NGL_BOE,0)"),0)</f>
        <v>0</v>
      </c>
      <c r="AJ21" s="15">
        <f>+AG21+AH21/6+AI21</f>
        <v>84.119500000000002</v>
      </c>
      <c r="AK21" s="15">
        <f>IF((AJ21+AF21)/_xll.FDS($A21,"FF_OG_TOT_RSRV_PROVED_NET(ANN_R_BOE,0)")-1&lt;0.01,AJ21+AF21,"CHECK RESERVES")</f>
        <v>152.77033333333333</v>
      </c>
      <c r="AL21" s="26">
        <f>+AJ21/AK21</f>
        <v>0.55062719419782635</v>
      </c>
      <c r="AM21" s="39" t="e">
        <f>_xll.FDS($A21,"FE_GUIDANCE(PROD_DAY_OIL_ONLY,MIDPOINT,ANNUAL,+2,0,,,'')")</f>
        <v>#N/A</v>
      </c>
      <c r="AN21" s="39" t="e">
        <f>_xll.FDS($A21,"FE_GUIDANCE(PRODPERDAY,MIDPOINT,ANNUAL,+2,0,,,'')")</f>
        <v>#N/A</v>
      </c>
      <c r="AO21" s="39" t="e">
        <f>_xll.FDS($A21,"FE_GUIDANCE(TOTAL_PROD,MIDPOINT,ANNUAL,+2,0,,,'')")</f>
        <v>#N/A</v>
      </c>
      <c r="AP21" s="39" t="e">
        <f>_xll.FDS($A21,"FE_GUIDANCE(CAPEX,MIDPOINT,ANNUAL,+2,0,,,'')")</f>
        <v>#N/A</v>
      </c>
      <c r="AQ21" s="39" t="str">
        <f>_xll.FDS($A21,"FE_GUIDANCE_DATE(DATEN,CAPEX,ANNUAL,2018,'MM/DD/YYYY',0)")</f>
        <v>02/22/2018</v>
      </c>
    </row>
    <row r="22" spans="1:43" ht="18.75" x14ac:dyDescent="0.3">
      <c r="A22" s="12" t="s">
        <v>13</v>
      </c>
      <c r="B22" s="13" t="str">
        <f>_xll.FDS($A22,"FG_COMPANY_NAME")</f>
        <v>Noble Energy, Inc.</v>
      </c>
      <c r="C22" s="14">
        <f>IFERROR(IFERROR(_xll.FDS($A22,"FF_OG_PROD_DAY(QTR_R_OIL_BOE,"&amp;Current_Quarter&amp;")"),_xll.FDS($A22,"FF_OG_PROD_TOT_NET(QTR_R_OIL_BOE,"&amp;Current_Quarter&amp;")")/Inputs!$C$20),0)</f>
        <v>141</v>
      </c>
      <c r="D22" s="15">
        <f>IFERROR(IFERROR(_xll.FDS($A22,"FF_OG_PROD_DAY(QTR_R_NG_CFE,"&amp;Current_Quarter&amp;")")/1000,_xll.FDS($A22,"FF_OG_PROD_TOT_NET(QTR_R_NG_CFE,"&amp;Current_Quarter&amp;")")/1000/Inputs!$C$20),0)</f>
        <v>1012</v>
      </c>
      <c r="E22" s="15">
        <f>IFERROR(IFERROR(_xll.FDS($A22,"FF_OG_PROD_DAY(QTR_R_NGL_BOE,"&amp;Current_Quarter&amp;")"),_xll.FDS($A22,"FF_OG_PROD_TOT_NET(QTR_R_NGL_BOE,"&amp;Current_Quarter&amp;")")/Inputs!$C$20),0)</f>
        <v>70</v>
      </c>
      <c r="F22" s="14">
        <f>+C22+D22/6+E22</f>
        <v>379.66666666666663</v>
      </c>
      <c r="G22" s="21">
        <f>(C22*Inputs!$C$15+D22*Inputs!$C$16+E22*Inputs!$C$17)*Inputs!$C$20</f>
        <v>1237952</v>
      </c>
      <c r="H22" s="19">
        <f>+G22/(F22*92)</f>
        <v>35.441615452151012</v>
      </c>
      <c r="I22" s="19">
        <f>(_xll.FDS($A22,"FF_OG_PROD_EXP(QTR_R,"&amp;Current_Quarter&amp;")")+99)/($F22*Inputs!$C$20/1000)</f>
        <v>7.8730388975836947</v>
      </c>
      <c r="J22" s="19">
        <f>_xll.FDS($A22,"FF_DEP_AMORT_EXP(QTR_R,"&amp;Current_Quarter&amp;")")/($F22*Inputs!$C$20/1000)</f>
        <v>14.486391571553998</v>
      </c>
      <c r="K22" s="19">
        <f>_xll.FDS($A22,"FF_SGA(QTR_R,"&amp;Current_Quarter&amp;")")/($F22*Inputs!$C$20/1000)</f>
        <v>4.5234187120662686</v>
      </c>
      <c r="L22" s="19">
        <f>+H22-I22-K22</f>
        <v>23.045157842501048</v>
      </c>
      <c r="M22" s="19">
        <f>+H22-I22-J22-K22</f>
        <v>8.5587662709470518</v>
      </c>
      <c r="N22" s="14">
        <f>IFERROR(IFERROR(_xll.FDS($A22,"FF_OG_PROD_DAY(QTR_R_OIL_BOE,"&amp;Prev_Quarter&amp;")"),_xll.FDS($A22,"FF_OG_PROD_TOT_NET(QTR_R_OIL_BOE,"&amp;Prev_Quarter&amp;")")/Inputs!$C$20),0)</f>
        <v>129</v>
      </c>
      <c r="O22" s="15">
        <f>IFERROR(IFERROR(_xll.FDS($A22,"FF_OG_PROD_DAY(QTR_R_NG_CFE,"&amp;Prev_Quarter&amp;")")/1000,_xll.FDS($A22,"FF_OG_PROD_TOT_NET(QTR_R_NG_CFE,"&amp;Prev_Quarter&amp;")")/1000/Inputs!$C$20),0)</f>
        <v>978</v>
      </c>
      <c r="P22" s="15">
        <f>IFERROR(IFERROR(_xll.FDS($A22,"FF_OG_PROD_DAY(QTR_R_NGL_BOE,"&amp;Prev_Quarter&amp;")"),_xll.FDS($A22,"FF_OG_PROD_TOT_NET(QTR_R_NGL_BOE,"&amp;Prev_Quarter&amp;")")/Inputs!$C$20),0)</f>
        <v>63</v>
      </c>
      <c r="Q22" s="14">
        <f>+N22+O22/6+P22</f>
        <v>355</v>
      </c>
      <c r="R22" s="27">
        <f>+F22/Q22-1</f>
        <v>6.9483568075117352E-2</v>
      </c>
      <c r="S22" s="15">
        <f>_xll.FDS(A22,"FF_OG_AREA_TOT(ANN_R_GROSS_ACRE,"&amp;Current_Quarter&amp;")")/1000</f>
        <v>8138</v>
      </c>
      <c r="T22" s="15">
        <f>_xll.FDS(A22,"FF_OG_AREA_TOT(ANN_R_NET_ACRE,"&amp;Current_Quarter&amp;")")/1000</f>
        <v>3342</v>
      </c>
      <c r="U22" s="29">
        <f>_xll.FDS($A22,"FG_PRICE("&amp;Date&amp;")")</f>
        <v>32.33</v>
      </c>
      <c r="V22" s="29">
        <f>_xll.FDS($A22,"RTP_PRICE_HIGH_52W")</f>
        <v>35.18</v>
      </c>
      <c r="W22" s="26">
        <f>+U22/V22-1</f>
        <v>-8.1011938601478151E-2</v>
      </c>
      <c r="X22" s="31">
        <f>_xll.FDS($A22,"OS_SEC_SI_PCTFLT(0D)")/100</f>
        <v>3.6289310678883871E-2</v>
      </c>
      <c r="Y22" s="30">
        <f>_xll.FDS($A22,"FREF_MARKET_VALUE_COMPANY("&amp;Date&amp;",,,,,0)")</f>
        <v>15912.56781132566</v>
      </c>
      <c r="Z22" s="30">
        <f>_xll.FDS($A22,"FF_CASH_ONLY(QTR,0)")</f>
        <v>713</v>
      </c>
      <c r="AA22" s="30">
        <f>_xll.FDS($A22,"FF_DEBT(QTR,0)")</f>
        <v>6807</v>
      </c>
      <c r="AB22" s="30">
        <f>+AA22+Y22-Z22</f>
        <v>22006.567811325658</v>
      </c>
      <c r="AC22" s="15">
        <f>_xll.FDS($A22,"FF_OG_RSRV_PROVED_DEV_NET(ANN_R_OIL_BOE,0)")</f>
        <v>208</v>
      </c>
      <c r="AD22" s="15">
        <f>_xll.FDS($A22,"FF_OG_RSRV_PROVED_DEV_NET(ANN_R_NG_CFE,0)")/1000</f>
        <v>3187</v>
      </c>
      <c r="AE22" s="15">
        <f>IFERROR(_xll.FDS($A22,"FF_OG_RSRV_PROVED_DEV_NET(ANN_R_NGL_BOE,0)"),0)</f>
        <v>130</v>
      </c>
      <c r="AF22" s="15">
        <f>+AC22+AD22/6+AE22</f>
        <v>869.16666666666663</v>
      </c>
      <c r="AG22" s="15">
        <f>_xll.FDS($A22,"FF_OG_RSRV_PROVED_UNDEV_NET(ANN_R_OIL_BOE,0)")</f>
        <v>249</v>
      </c>
      <c r="AH22" s="15">
        <f>_xll.FDS($A22,"FF_OG_RSRV_PROVED_UNDEV_NET(ANN_R_NG_CFE,0)")/1000</f>
        <v>4493</v>
      </c>
      <c r="AI22" s="15">
        <f>IFERROR(_xll.FDS($A22,"FF_OG_RSRV_PROVED_UNDEV_NET(ANN_R_NGL_BOE,0)"),0)</f>
        <v>99</v>
      </c>
      <c r="AJ22" s="15">
        <f>+AG22+AH22/6+AI22</f>
        <v>1096.8333333333335</v>
      </c>
      <c r="AK22" s="15">
        <f>IF((AJ22+AF22)/_xll.FDS($A22,"FF_OG_TOT_RSRV_PROVED_NET(ANN_R_BOE,0)")-1&lt;0.01,AJ22+AF22,"CHECK RESERVES")</f>
        <v>1966</v>
      </c>
      <c r="AL22" s="26">
        <f>+AJ22/AK22</f>
        <v>0.55790098338419813</v>
      </c>
      <c r="AM22" s="39" t="e">
        <f>_xll.FDS($A22,"FE_GUIDANCE(PROD_DAY_OIL_ONLY,MIDPOINT,ANNUAL,+2,0,,,'')")</f>
        <v>#N/A</v>
      </c>
      <c r="AN22" s="39" t="e">
        <f>_xll.FDS($A22,"FE_GUIDANCE(PRODPERDAY,MIDPOINT,ANNUAL,+2,0,,,'')")</f>
        <v>#N/A</v>
      </c>
      <c r="AO22" s="39" t="e">
        <f>_xll.FDS($A22,"FE_GUIDANCE(TOTAL_PROD,MIDPOINT,ANNUAL,+2,0,,,'')")</f>
        <v>#N/A</v>
      </c>
      <c r="AP22" s="39" t="e">
        <f>_xll.FDS($A22,"FE_GUIDANCE(CAPEX,MIDPOINT,ANNUAL,+2,0,,,'')")</f>
        <v>#N/A</v>
      </c>
      <c r="AQ22" s="39" t="e">
        <f>_xll.FDS($A22,"FE_GUIDANCE_DATE(DATEN,CAPEX,ANNUAL,2018,'MM/DD/YYYY',0)")</f>
        <v>#N/A</v>
      </c>
    </row>
    <row r="23" spans="1:43" ht="18.75" x14ac:dyDescent="0.3">
      <c r="A23" s="12" t="s">
        <v>97</v>
      </c>
      <c r="B23" s="13" t="str">
        <f>_xll.FDS($A23,"FG_COMPANY_NAME")</f>
        <v>Oasis Petroleum Inc.</v>
      </c>
      <c r="C23" s="14">
        <f>IFERROR(IFERROR(_xll.FDS($A23,"FF_OG_PROD_DAY(QTR_R_OIL_BOE,"&amp;Current_Quarter&amp;")"),_xll.FDS($A23,"FF_OG_PROD_TOT_NET(QTR_R_OIL_BOE,"&amp;Current_Quarter&amp;")")/Inputs!$C$20),0)</f>
        <v>57.238</v>
      </c>
      <c r="D23" s="15">
        <f>IFERROR(IFERROR(_xll.FDS($A23,"FF_OG_PROD_DAY(QTR_R_NG_CFE,"&amp;Current_Quarter&amp;")")/1000,_xll.FDS($A23,"FF_OG_PROD_TOT_NET(QTR_R_NG_CFE,"&amp;Current_Quarter&amp;")")/1000/Inputs!$C$20),0)</f>
        <v>95.811999999999998</v>
      </c>
      <c r="E23" s="15">
        <f>IFERROR(IFERROR(_xll.FDS($A23,"FF_OG_PROD_DAY(QTR_R_NGL_BOE,"&amp;Current_Quarter&amp;")"),_xll.FDS($A23,"FF_OG_PROD_TOT_NET(QTR_R_NGL_BOE,"&amp;Current_Quarter&amp;")")/Inputs!$C$20),0)</f>
        <v>0</v>
      </c>
      <c r="F23" s="14">
        <f>+C23+D23/6+E23</f>
        <v>73.206666666666663</v>
      </c>
      <c r="G23" s="21">
        <f>(C23*Inputs!$C$15+D23*Inputs!$C$16+E23*Inputs!$C$17)*Inputs!$C$20</f>
        <v>342397.87199999997</v>
      </c>
      <c r="H23" s="19">
        <f>+G23/(F23*92)</f>
        <v>50.838484655313721</v>
      </c>
      <c r="I23" s="19">
        <f>(_xll.FDS($A23,"FF_OG_PROD_EXP(QTR_R,"&amp;Current_Quarter&amp;")")+17.72)/($F23*Inputs!$C$20/1000)</f>
        <v>13.183938264908161</v>
      </c>
      <c r="J23" s="19">
        <f>_xll.FDS($A23,"FF_DEP_AMORT_EXP(QTR_R,"&amp;Current_Quarter&amp;")")/($F23*Inputs!$C$20/1000)</f>
        <v>21.760313268372645</v>
      </c>
      <c r="K23" s="19">
        <f>_xll.FDS($A23,"FF_SGA(QTR_R,"&amp;Current_Quarter&amp;")")/($F23*Inputs!$C$20/1000)</f>
        <v>3.6565629169751701</v>
      </c>
      <c r="L23" s="19">
        <f>+H23-I23-K23</f>
        <v>33.997983473430388</v>
      </c>
      <c r="M23" s="19">
        <f>+H23-I23-J23-K23</f>
        <v>12.237670205057741</v>
      </c>
      <c r="N23" s="14">
        <f>IFERROR(IFERROR(_xll.FDS($A23,"FF_OG_PROD_DAY(QTR_R_OIL_BOE,"&amp;Prev_Quarter&amp;")"),_xll.FDS($A23,"FF_OG_PROD_TOT_NET(QTR_R_OIL_BOE,"&amp;Prev_Quarter&amp;")")/Inputs!$C$20),0)</f>
        <v>51.825000000000003</v>
      </c>
      <c r="O23" s="15">
        <f>IFERROR(IFERROR(_xll.FDS($A23,"FF_OG_PROD_DAY(QTR_R_NG_CFE,"&amp;Prev_Quarter&amp;")")/1000,_xll.FDS($A23,"FF_OG_PROD_TOT_NET(QTR_R_NG_CFE,"&amp;Prev_Quarter&amp;")")/1000/Inputs!$C$20),0)</f>
        <v>85.8</v>
      </c>
      <c r="P23" s="15">
        <f>IFERROR(IFERROR(_xll.FDS($A23,"FF_OG_PROD_DAY(QTR_R_NGL_BOE,"&amp;Prev_Quarter&amp;")"),_xll.FDS($A23,"FF_OG_PROD_TOT_NET(QTR_R_NGL_BOE,"&amp;Prev_Quarter&amp;")")/Inputs!$C$20),0)</f>
        <v>0</v>
      </c>
      <c r="Q23" s="14">
        <f>+N23+O23/6+P23</f>
        <v>66.125</v>
      </c>
      <c r="R23" s="27">
        <f>+F23/Q23-1</f>
        <v>0.10709514807813481</v>
      </c>
      <c r="S23" s="15">
        <f>_xll.FDS(A23,"FF_OG_AREA_TOT(ANN_R_GROSS_ACRE,"&amp;Current_Quarter&amp;")")/1000</f>
        <v>702.39400000000001</v>
      </c>
      <c r="T23" s="15">
        <f>_xll.FDS(A23,"FF_OG_AREA_TOT(ANN_R_NET_ACRE,"&amp;Current_Quarter&amp;")")/1000</f>
        <v>502.66</v>
      </c>
      <c r="U23" s="29">
        <f>_xll.FDS($A23,"FG_PRICE("&amp;Date&amp;")")</f>
        <v>9.2200000000000006</v>
      </c>
      <c r="V23" s="29">
        <f>_xll.FDS($A23,"RTP_PRICE_HIGH_52W")</f>
        <v>13.37</v>
      </c>
      <c r="W23" s="26">
        <f>+U23/V23-1</f>
        <v>-0.31039640987284955</v>
      </c>
      <c r="X23" s="31">
        <f>_xll.FDS($A23,"OS_SEC_SI_PCTFLT(0D)")/100</f>
        <v>0.1434493994092175</v>
      </c>
      <c r="Y23" s="30">
        <f>_xll.FDS($A23,"FREF_MARKET_VALUE_COMPANY("&amp;Date&amp;",,,,,0)")</f>
        <v>2926.0870055214332</v>
      </c>
      <c r="Z23" s="30">
        <f>_xll.FDS($A23,"FF_CASH_ONLY(QTR,0)")</f>
        <v>16.72</v>
      </c>
      <c r="AA23" s="30">
        <f>_xll.FDS($A23,"FF_DEBT(QTR,0)")</f>
        <v>2097.6060000000002</v>
      </c>
      <c r="AB23" s="30">
        <f>+AA23+Y23-Z23</f>
        <v>5006.9730055214332</v>
      </c>
      <c r="AC23" s="15">
        <f>_xll.FDS($A23,"FF_OG_RSRV_PROVED_DEV_NET(ANN_R_OIL_BOE,0)")</f>
        <v>150.62799999999999</v>
      </c>
      <c r="AD23" s="15">
        <f>_xll.FDS($A23,"FF_OG_RSRV_PROVED_DEV_NET(ANN_R_NG_CFE,0)")/1000</f>
        <v>301.101</v>
      </c>
      <c r="AE23" s="15">
        <f>IFERROR(_xll.FDS($A23,"FF_OG_RSRV_PROVED_DEV_NET(ANN_R_NGL_BOE,0)"),0)</f>
        <v>0</v>
      </c>
      <c r="AF23" s="15">
        <f>+AC23+AD23/6+AE23</f>
        <v>200.8115</v>
      </c>
      <c r="AG23" s="15">
        <f>_xll.FDS($A23,"FF_OG_RSRV_PROVED_UNDEV_NET(ANN_R_OIL_BOE,0)")</f>
        <v>74.331999999999994</v>
      </c>
      <c r="AH23" s="15">
        <f>_xll.FDS($A23,"FF_OG_RSRV_PROVED_UNDEV_NET(ANN_R_NG_CFE,0)")/1000</f>
        <v>222.35499999999999</v>
      </c>
      <c r="AI23" s="15">
        <f>IFERROR(_xll.FDS($A23,"FF_OG_RSRV_PROVED_UNDEV_NET(ANN_R_NGL_BOE,0)"),0)</f>
        <v>0</v>
      </c>
      <c r="AJ23" s="15">
        <f>+AG23+AH23/6+AI23</f>
        <v>111.39116666666666</v>
      </c>
      <c r="AK23" s="15">
        <f>IF((AJ23+AF23)/_xll.FDS($A23,"FF_OG_TOT_RSRV_PROVED_NET(ANN_R_BOE,0)")-1&lt;0.01,AJ23+AF23,"CHECK RESERVES")</f>
        <v>312.20266666666669</v>
      </c>
      <c r="AL23" s="26">
        <f>+AJ23/AK23</f>
        <v>0.35679120827496663</v>
      </c>
      <c r="AM23" s="39" t="e">
        <f>_xll.FDS($A23,"FE_GUIDANCE(PROD_DAY_OIL_ONLY,MIDPOINT,ANNUAL,+2,0,,,'')")</f>
        <v>#N/A</v>
      </c>
      <c r="AN23" s="39" t="e">
        <f>_xll.FDS($A23,"FE_GUIDANCE(PRODPERDAY,MIDPOINT,ANNUAL,+2,0,,,'')")</f>
        <v>#N/A</v>
      </c>
      <c r="AO23" s="39" t="e">
        <f>_xll.FDS($A23,"FE_GUIDANCE(TOTAL_PROD,MIDPOINT,ANNUAL,+2,0,,,'')")</f>
        <v>#N/A</v>
      </c>
      <c r="AP23" s="39" t="e">
        <f>_xll.FDS($A23,"FE_GUIDANCE(CAPEX,MIDPOINT,ANNUAL,+2,0,,,'')")</f>
        <v>#N/A</v>
      </c>
      <c r="AQ23" s="39" t="str">
        <f>_xll.FDS($A23,"FE_GUIDANCE_DATE(DATEN,CAPEX,ANNUAL,2018,'MM/DD/YYYY',0)")</f>
        <v>02/28/2018</v>
      </c>
    </row>
    <row r="24" spans="1:43" ht="18.75" x14ac:dyDescent="0.3">
      <c r="A24" s="12" t="s">
        <v>43</v>
      </c>
      <c r="B24" s="13" t="str">
        <f>_xll.FDS($A24,"FG_COMPANY_NAME")</f>
        <v>Occidental Petroleum Corporation</v>
      </c>
      <c r="C24" s="14">
        <f>IFERROR(IFERROR(_xll.FDS($A24,"FF_OG_PROD_DAY(QTR_R_OIL_BOE,"&amp;Current_Quarter&amp;")"),_xll.FDS($A24,"FF_OG_PROD_TOT_NET(QTR_R_OIL_BOE,"&amp;Current_Quarter&amp;")")/Inputs!$C$20),0)</f>
        <v>396</v>
      </c>
      <c r="D24" s="15">
        <f>IFERROR(IFERROR(_xll.FDS($A24,"FF_OG_PROD_DAY(QTR_R_NG_CFE,"&amp;Current_Quarter&amp;")")/1000,_xll.FDS($A24,"FF_OG_PROD_TOT_NET(QTR_R_NG_CFE,"&amp;Current_Quarter&amp;")")/1000/Inputs!$C$20),0)</f>
        <v>810</v>
      </c>
      <c r="E24" s="15">
        <f>IFERROR(IFERROR(_xll.FDS($A24,"FF_OG_PROD_DAY(QTR_R_NGL_BOE,"&amp;Current_Quarter&amp;")"),_xll.FDS($A24,"FF_OG_PROD_TOT_NET(QTR_R_NGL_BOE,"&amp;Current_Quarter&amp;")")/Inputs!$C$20),0)</f>
        <v>90</v>
      </c>
      <c r="F24" s="14">
        <f>+C24+D24/6+E24</f>
        <v>621</v>
      </c>
      <c r="G24" s="21">
        <f>(C24*Inputs!$C$15+D24*Inputs!$C$16+E24*Inputs!$C$17)*Inputs!$C$20</f>
        <v>2641320</v>
      </c>
      <c r="H24" s="19">
        <f>+G24/(F24*92)</f>
        <v>46.231884057971016</v>
      </c>
      <c r="I24" s="24">
        <v>10</v>
      </c>
      <c r="J24" s="19">
        <f>_xll.FDS($A24,"FF_DEP_AMORT_EXP(QTR_R,"&amp;Current_Quarter&amp;")")/($F24*Inputs!$C$20/1000)</f>
        <v>19.586221382062593</v>
      </c>
      <c r="K24" s="19">
        <f>_xll.FDS($A24,"FF_SGA(QTR_R,"&amp;Current_Quarter&amp;")")/($F24*Inputs!$C$20/1000)</f>
        <v>7.8414898830777853</v>
      </c>
      <c r="L24" s="19">
        <f>+H24-I24-K24</f>
        <v>28.390394174893231</v>
      </c>
      <c r="M24" s="19">
        <f>+H24-I24-J24-K24</f>
        <v>8.8041727928306379</v>
      </c>
      <c r="N24" s="14">
        <f>IFERROR(IFERROR(_xll.FDS($A24,"FF_OG_PROD_DAY(QTR_R_OIL_BOE,"&amp;Prev_Quarter&amp;")"),_xll.FDS($A24,"FF_OG_PROD_TOT_NET(QTR_R_OIL_BOE,"&amp;Prev_Quarter&amp;")")/Inputs!$C$20),0)</f>
        <v>379</v>
      </c>
      <c r="O24" s="15">
        <f>IFERROR(IFERROR(_xll.FDS($A24,"FF_OG_PROD_DAY(QTR_R_NG_CFE,"&amp;Prev_Quarter&amp;")")/1000,_xll.FDS($A24,"FF_OG_PROD_TOT_NET(QTR_R_NG_CFE,"&amp;Prev_Quarter&amp;")")/1000/Inputs!$C$20),0)</f>
        <v>801</v>
      </c>
      <c r="P24" s="15">
        <f>IFERROR(IFERROR(_xll.FDS($A24,"FF_OG_PROD_DAY(QTR_R_NGL_BOE,"&amp;Prev_Quarter&amp;")"),_xll.FDS($A24,"FF_OG_PROD_TOT_NET(QTR_R_NGL_BOE,"&amp;Prev_Quarter&amp;")")/Inputs!$C$20),0)</f>
        <v>87</v>
      </c>
      <c r="Q24" s="14">
        <f>+N24+O24/6+P24</f>
        <v>599.5</v>
      </c>
      <c r="R24" s="27">
        <f>+F24/Q24-1</f>
        <v>3.5863219349457909E-2</v>
      </c>
      <c r="S24" s="15">
        <f>_xll.FDS(A24,"FF_OG_AREA_TOT(ANN_R_GROSS_ACRE,"&amp;Current_Quarter&amp;")")/1000</f>
        <v>11060</v>
      </c>
      <c r="T24" s="15">
        <f>_xll.FDS(A24,"FF_OG_AREA_TOT(ANN_R_NET_ACRE,"&amp;Current_Quarter&amp;")")/1000</f>
        <v>5198</v>
      </c>
      <c r="U24" s="29">
        <f>_xll.FDS($A24,"FG_PRICE("&amp;Date&amp;")")</f>
        <v>75.22</v>
      </c>
      <c r="V24" s="29">
        <f>_xll.FDS($A24,"RTP_PRICE_HIGH_52W")</f>
        <v>78.09</v>
      </c>
      <c r="W24" s="26">
        <f>+U24/V24-1</f>
        <v>-3.6752465104366805E-2</v>
      </c>
      <c r="X24" s="31">
        <f>_xll.FDS($A24,"OS_SEC_SI_PCTFLT(0D)")/100</f>
        <v>1.2982257236053681E-2</v>
      </c>
      <c r="Y24" s="30">
        <f>_xll.FDS($A24,"FREF_MARKET_VALUE_COMPANY("&amp;Date&amp;",,,,,0)")</f>
        <v>57593.623592125252</v>
      </c>
      <c r="Z24" s="30">
        <f>_xll.FDS($A24,"FF_CASH_ONLY(QTR,0)")</f>
        <v>1672</v>
      </c>
      <c r="AA24" s="30">
        <f>_xll.FDS($A24,"FF_DEBT(QTR,0)")</f>
        <v>9828</v>
      </c>
      <c r="AB24" s="30">
        <f>+AA24+Y24-Z24</f>
        <v>65749.623592125252</v>
      </c>
      <c r="AC24" s="15">
        <f>_xll.FDS($A24,"FF_OG_RSRV_PROVED_DEV_NET(ANN_R_OIL_BOE,0)")</f>
        <v>1128</v>
      </c>
      <c r="AD24" s="15">
        <f>_xll.FDS($A24,"FF_OG_RSRV_PROVED_DEV_NET(ANN_R_NG_CFE,0)")/1000</f>
        <v>2924</v>
      </c>
      <c r="AE24" s="15">
        <f>IFERROR(_xll.FDS($A24,"FF_OG_RSRV_PROVED_DEV_NET(ANN_R_NGL_BOE,0)"),0)</f>
        <v>314</v>
      </c>
      <c r="AF24" s="15">
        <f>+AC24+AD24/6+AE24</f>
        <v>1929.3333333333333</v>
      </c>
      <c r="AG24" s="15">
        <f>_xll.FDS($A24,"FF_OG_RSRV_PROVED_UNDEV_NET(ANN_R_OIL_BOE,0)")</f>
        <v>387</v>
      </c>
      <c r="AH24" s="15">
        <f>_xll.FDS($A24,"FF_OG_RSRV_PROVED_UNDEV_NET(ANN_R_NG_CFE,0)")/1000</f>
        <v>907</v>
      </c>
      <c r="AI24" s="15">
        <f>IFERROR(_xll.FDS($A24,"FF_OG_RSRV_PROVED_UNDEV_NET(ANN_R_NGL_BOE,0)"),0)</f>
        <v>131</v>
      </c>
      <c r="AJ24" s="15">
        <f>+AG24+AH24/6+AI24</f>
        <v>669.16666666666663</v>
      </c>
      <c r="AK24" s="15">
        <f>IF((AJ24+AF24)/_xll.FDS($A24,"FF_OG_TOT_RSRV_PROVED_NET(ANN_R_BOE,0)")-1&lt;0.01,AJ24+AF24,"CHECK RESERVES")</f>
        <v>2598.5</v>
      </c>
      <c r="AL24" s="26">
        <f>+AJ24/AK24</f>
        <v>0.2575203643127445</v>
      </c>
      <c r="AM24" s="39" t="e">
        <f>_xll.FDS($A24,"FE_GUIDANCE(PROD_DAY_OIL_ONLY,MIDPOINT,ANNUAL,+2,0,,,'')")</f>
        <v>#N/A</v>
      </c>
      <c r="AN24" s="39" t="e">
        <f>_xll.FDS($A24,"FE_GUIDANCE(PRODPERDAY,MIDPOINT,ANNUAL,+2,0,,,'')")</f>
        <v>#N/A</v>
      </c>
      <c r="AO24" s="39" t="e">
        <f>_xll.FDS($A24,"FE_GUIDANCE(TOTAL_PROD,MIDPOINT,ANNUAL,+2,0,,,'')")</f>
        <v>#N/A</v>
      </c>
      <c r="AP24" s="39" t="e">
        <f>_xll.FDS($A24,"FE_GUIDANCE(CAPEX,MIDPOINT,ANNUAL,+2,0,,,'')")</f>
        <v>#N/A</v>
      </c>
      <c r="AQ24" s="39" t="str">
        <f>_xll.FDS($A24,"FE_GUIDANCE_DATE(DATEN,CAPEX,ANNUAL,2018,'MM/DD/YYYY',0)")</f>
        <v>02/14/2018</v>
      </c>
    </row>
    <row r="25" spans="1:43" ht="18.75" x14ac:dyDescent="0.3">
      <c r="A25" s="12" t="s">
        <v>19</v>
      </c>
      <c r="B25" s="13" t="str">
        <f>_xll.FDS($A25,"FG_COMPANY_NAME")</f>
        <v>PDC Energy Inc</v>
      </c>
      <c r="C25" s="14">
        <f>IFERROR(IFERROR(_xll.FDS($A25,"FF_OG_PROD_DAY(QTR_R_OIL_BOE,"&amp;Current_Quarter&amp;")"),_xll.FDS($A25,"FF_OG_PROD_TOT_NET(QTR_R_OIL_BOE,"&amp;Current_Quarter&amp;")")/Inputs!$C$20),0)</f>
        <v>40.413043478260867</v>
      </c>
      <c r="D25" s="15">
        <f>IFERROR(IFERROR(_xll.FDS($A25,"FF_OG_PROD_DAY(QTR_R_NG_CFE,"&amp;Current_Quarter&amp;")")/1000,_xll.FDS($A25,"FF_OG_PROD_TOT_NET(QTR_R_NG_CFE,"&amp;Current_Quarter&amp;")")/1000/Inputs!$C$20),0)</f>
        <v>209.2608695652174</v>
      </c>
      <c r="E25" s="15">
        <f>IFERROR(IFERROR(_xll.FDS($A25,"FF_OG_PROD_DAY(QTR_R_NGL_BOE,"&amp;Current_Quarter&amp;")"),_xll.FDS($A25,"FF_OG_PROD_TOT_NET(QTR_R_NGL_BOE,"&amp;Current_Quarter&amp;")")/Inputs!$C$20),0)</f>
        <v>18.826086956521738</v>
      </c>
      <c r="F25" s="14">
        <f>+C25+D25/6+E25</f>
        <v>94.115942028985501</v>
      </c>
      <c r="G25" s="21">
        <f>(C25*Inputs!$C$15+D25*Inputs!$C$16+E25*Inputs!$C$17)*Inputs!$C$20</f>
        <v>329331.99999999994</v>
      </c>
      <c r="H25" s="19">
        <f>+G25/(F25*92)</f>
        <v>38.034955343393896</v>
      </c>
      <c r="I25" s="19">
        <f>(_xll.FDS($A25,"FF_OG_PROD_EXP(QTR_R,"&amp;Current_Quarter&amp;")")+11.036)/($F25*Inputs!$C$20/1000)</f>
        <v>6.1518709578072084</v>
      </c>
      <c r="J25" s="19">
        <f>_xll.FDS($A25,"FF_DEP_AMORT_EXP(QTR_R,"&amp;Current_Quarter&amp;")")/($F25*Inputs!$C$20/1000)</f>
        <v>13.098437018786575</v>
      </c>
      <c r="K25" s="19">
        <f>_xll.FDS($A25,"FF_SGA(QTR_R,"&amp;Current_Quarter&amp;")")/($F25*Inputs!$C$20/1000)</f>
        <v>4.0681783184477984</v>
      </c>
      <c r="L25" s="19">
        <f>+H25-I25-K25</f>
        <v>27.814906067138889</v>
      </c>
      <c r="M25" s="19">
        <f>+H25-I25-J25-K25</f>
        <v>14.716469048352316</v>
      </c>
      <c r="N25" s="14">
        <f>IFERROR(IFERROR(_xll.FDS($A25,"FF_OG_PROD_DAY(QTR_R_OIL_BOE,"&amp;Prev_Quarter&amp;")"),_xll.FDS($A25,"FF_OG_PROD_TOT_NET(QTR_R_OIL_BOE,"&amp;Prev_Quarter&amp;")")/Inputs!$C$20),0)</f>
        <v>36.996400000000001</v>
      </c>
      <c r="O25" s="15">
        <f>IFERROR(IFERROR(_xll.FDS($A25,"FF_OG_PROD_DAY(QTR_R_NG_CFE,"&amp;Prev_Quarter&amp;")")/1000,_xll.FDS($A25,"FF_OG_PROD_TOT_NET(QTR_R_NG_CFE,"&amp;Prev_Quarter&amp;")")/1000/Inputs!$C$20),0)</f>
        <v>207.28260869565219</v>
      </c>
      <c r="P25" s="15">
        <f>IFERROR(IFERROR(_xll.FDS($A25,"FF_OG_PROD_DAY(QTR_R_NGL_BOE,"&amp;Prev_Quarter&amp;")"),_xll.FDS($A25,"FF_OG_PROD_TOT_NET(QTR_R_NGL_BOE,"&amp;Prev_Quarter&amp;")")/Inputs!$C$20),0)</f>
        <v>20.565217391304348</v>
      </c>
      <c r="Q25" s="14">
        <f>+N25+O25/6+P25</f>
        <v>92.108718840579712</v>
      </c>
      <c r="R25" s="27">
        <f>+F25/Q25-1</f>
        <v>2.1791891296195853E-2</v>
      </c>
      <c r="S25" s="15">
        <f>_xll.FDS(A25,"FF_OG_AREA_TOT(ANN_R_GROSS_ACRE,"&amp;Current_Quarter&amp;")")/1000</f>
        <v>241.4</v>
      </c>
      <c r="T25" s="15">
        <f>_xll.FDS(A25,"FF_OG_AREA_TOT(ANN_R_NET_ACRE,"&amp;Current_Quarter&amp;")")/1000</f>
        <v>222.3</v>
      </c>
      <c r="U25" s="29">
        <f>_xll.FDS($A25,"FG_PRICE("&amp;Date&amp;")")</f>
        <v>55.31</v>
      </c>
      <c r="V25" s="29">
        <f>_xll.FDS($A25,"RTP_PRICE_HIGH_52W")</f>
        <v>63.8</v>
      </c>
      <c r="W25" s="26">
        <f>+U25/V25-1</f>
        <v>-0.1330721003134796</v>
      </c>
      <c r="X25" s="31">
        <f>_xll.FDS($A25,"OS_SEC_SI_PCTFLT(0D)")/100</f>
        <v>9.5947574776538674E-2</v>
      </c>
      <c r="Y25" s="30">
        <f>_xll.FDS($A25,"FREF_MARKET_VALUE_COMPANY("&amp;Date&amp;",,,,,0)")</f>
        <v>3643.7957317223481</v>
      </c>
      <c r="Z25" s="30">
        <f>_xll.FDS($A25,"FF_CASH_ONLY(QTR,0)")</f>
        <v>180.67500000000001</v>
      </c>
      <c r="AA25" s="30">
        <f>_xll.FDS($A25,"FF_DEBT(QTR,0)")</f>
        <v>1156.365</v>
      </c>
      <c r="AB25" s="30">
        <f>+AA25+Y25-Z25</f>
        <v>4619.4857317223477</v>
      </c>
      <c r="AC25" s="15">
        <f>_xll.FDS($A25,"FF_OG_RSRV_PROVED_DEV_NET(ANN_R_OIL_BOE,0)")</f>
        <v>46.862000000000002</v>
      </c>
      <c r="AD25" s="15">
        <f>_xll.FDS($A25,"FF_OG_RSRV_PROVED_DEV_NET(ANN_R_NG_CFE,0)")/1000</f>
        <v>365.33199999999999</v>
      </c>
      <c r="AE25" s="15">
        <f>IFERROR(_xll.FDS($A25,"FF_OG_RSRV_PROVED_DEV_NET(ANN_R_NGL_BOE,0)"),0)</f>
        <v>35.22</v>
      </c>
      <c r="AF25" s="15">
        <f>+AC25+AD25/6+AE25</f>
        <v>142.97066666666666</v>
      </c>
      <c r="AG25" s="15">
        <f>_xll.FDS($A25,"FF_OG_RSRV_PROVED_UNDEV_NET(ANN_R_OIL_BOE,0)")</f>
        <v>107.98</v>
      </c>
      <c r="AH25" s="15">
        <f>_xll.FDS($A25,"FF_OG_RSRV_PROVED_UNDEV_NET(ANN_R_NG_CFE,0)")/1000</f>
        <v>788.96199999999999</v>
      </c>
      <c r="AI25" s="15">
        <f>IFERROR(_xll.FDS($A25,"FF_OG_RSRV_PROVED_UNDEV_NET(ANN_R_NGL_BOE,0)"),0)</f>
        <v>70.471999999999994</v>
      </c>
      <c r="AJ25" s="15">
        <f>+AG25+AH25/6+AI25</f>
        <v>309.94566666666663</v>
      </c>
      <c r="AK25" s="15">
        <f>IF((AJ25+AF25)/_xll.FDS($A25,"FF_OG_TOT_RSRV_PROVED_NET(ANN_R_BOE,0)")-1&lt;0.01,AJ25+AF25,"CHECK RESERVES")</f>
        <v>452.91633333333328</v>
      </c>
      <c r="AL25" s="26">
        <f>+AJ25/AK25</f>
        <v>0.6843331623427138</v>
      </c>
      <c r="AM25" s="39" t="e">
        <f>_xll.FDS($A25,"FE_GUIDANCE(PROD_DAY_OIL_ONLY,MIDPOINT,ANNUAL,+2,0,,,'')")</f>
        <v>#N/A</v>
      </c>
      <c r="AN25" s="39" t="e">
        <f>_xll.FDS($A25,"FE_GUIDANCE(PRODPERDAY,MIDPOINT,ANNUAL,+2,0,,,'')")</f>
        <v>#N/A</v>
      </c>
      <c r="AO25" s="39" t="e">
        <f>_xll.FDS($A25,"FE_GUIDANCE(TOTAL_PROD,MIDPOINT,ANNUAL,+2,0,,,'')")</f>
        <v>#N/A</v>
      </c>
      <c r="AP25" s="39" t="e">
        <f>_xll.FDS($A25,"FE_GUIDANCE(CAPEX,MIDPOINT,ANNUAL,+2,0,,,'')")</f>
        <v>#N/A</v>
      </c>
      <c r="AQ25" s="39" t="str">
        <f>_xll.FDS($A25,"FE_GUIDANCE_DATE(DATEN,CAPEX,ANNUAL,2018,'MM/DD/YYYY',0)")</f>
        <v>02/27/2018</v>
      </c>
    </row>
    <row r="26" spans="1:43" ht="18.75" x14ac:dyDescent="0.3">
      <c r="A26" s="12" t="s">
        <v>11</v>
      </c>
      <c r="B26" s="13" t="str">
        <f>_xll.FDS($A26,"FG_COMPANY_NAME")</f>
        <v>Parsley Energy, Inc. Class A</v>
      </c>
      <c r="C26" s="14">
        <f>IFERROR(IFERROR(_xll.FDS($A26,"FF_OG_PROD_DAY(QTR_R_OIL_BOE,"&amp;Current_Quarter&amp;")"),_xll.FDS($A26,"FF_OG_PROD_TOT_NET(QTR_R_OIL_BOE,"&amp;Current_Quarter&amp;")")/Inputs!$C$20),0)</f>
        <v>51.489130434782609</v>
      </c>
      <c r="D26" s="15">
        <f>IFERROR(IFERROR(_xll.FDS($A26,"FF_OG_PROD_DAY(QTR_R_NG_CFE,"&amp;Current_Quarter&amp;")")/1000,_xll.FDS($A26,"FF_OG_PROD_TOT_NET(QTR_R_NG_CFE,"&amp;Current_Quarter&amp;")")/1000/Inputs!$C$20),0)</f>
        <v>78.489130434782609</v>
      </c>
      <c r="E26" s="15">
        <f>IFERROR(IFERROR(_xll.FDS($A26,"FF_OG_PROD_DAY(QTR_R_NGL_BOE,"&amp;Current_Quarter&amp;")"),_xll.FDS($A26,"FF_OG_PROD_TOT_NET(QTR_R_NGL_BOE,"&amp;Current_Quarter&amp;")")/Inputs!$C$20),0)</f>
        <v>15.75</v>
      </c>
      <c r="F26" s="14">
        <f>+C26+D26/6+E26</f>
        <v>80.320652173913047</v>
      </c>
      <c r="G26" s="21">
        <f>(C26*Inputs!$C$15+D26*Inputs!$C$16+E26*Inputs!$C$17)*Inputs!$C$20</f>
        <v>346455</v>
      </c>
      <c r="H26" s="19">
        <f>+G26/(F26*92)</f>
        <v>46.884768928885578</v>
      </c>
      <c r="I26" s="19">
        <f>_xll.FDS($A26,"FF_OG_PROD_EXP(QTR_R,"&amp;Current_Quarter&amp;")")/($F26*Inputs!$C$20/1000)</f>
        <v>6.4496921307260298</v>
      </c>
      <c r="J26" s="19">
        <f>_xll.FDS($A26,"FF_DEP_AMORT_EXP(QTR_R,"&amp;Current_Quarter&amp;")")/($F26*Inputs!$C$20/1000)</f>
        <v>14.279315244603829</v>
      </c>
      <c r="K26" s="19">
        <f>_xll.FDS($A26,"FF_SGA(QTR_R,"&amp;Current_Quarter&amp;")")/($F26*Inputs!$C$20/1000)</f>
        <v>4.7200757832058997</v>
      </c>
      <c r="L26" s="19">
        <f>+H26-I26-K26</f>
        <v>35.71500101495365</v>
      </c>
      <c r="M26" s="19">
        <f>+H26-I26-J26-K26</f>
        <v>21.435685770349821</v>
      </c>
      <c r="N26" s="14">
        <f>IFERROR(IFERROR(_xll.FDS($A26,"FF_OG_PROD_DAY(QTR_R_OIL_BOE,"&amp;Prev_Quarter&amp;")"),_xll.FDS($A26,"FF_OG_PROD_TOT_NET(QTR_R_OIL_BOE,"&amp;Prev_Quarter&amp;")")/Inputs!$C$20),0)</f>
        <v>47.195999999999998</v>
      </c>
      <c r="O26" s="15">
        <f>IFERROR(IFERROR(_xll.FDS($A26,"FF_OG_PROD_DAY(QTR_R_NG_CFE,"&amp;Prev_Quarter&amp;")")/1000,_xll.FDS($A26,"FF_OG_PROD_TOT_NET(QTR_R_NG_CFE,"&amp;Prev_Quarter&amp;")")/1000/Inputs!$C$20),0)</f>
        <v>68.097999999999999</v>
      </c>
      <c r="P26" s="15">
        <f>IFERROR(IFERROR(_xll.FDS($A26,"FF_OG_PROD_DAY(QTR_R_NGL_BOE,"&amp;Prev_Quarter&amp;")"),_xll.FDS($A26,"FF_OG_PROD_TOT_NET(QTR_R_NGL_BOE,"&amp;Prev_Quarter&amp;")")/Inputs!$C$20),0)</f>
        <v>12.978</v>
      </c>
      <c r="Q26" s="14">
        <f>+N26+O26/6+P26</f>
        <v>71.523666666666657</v>
      </c>
      <c r="R26" s="27">
        <f>+F26/Q26-1</f>
        <v>0.12299405102152283</v>
      </c>
      <c r="S26" s="15">
        <f>_xll.FDS(A26,"FF_OG_AREA_TOT(ANN_R_GROSS_ACRE,"&amp;Current_Quarter&amp;")")/1000</f>
        <v>351.85700000000003</v>
      </c>
      <c r="T26" s="15">
        <f>_xll.FDS(A26,"FF_OG_AREA_TOT(ANN_R_NET_ACRE,"&amp;Current_Quarter&amp;")")/1000</f>
        <v>219.74700000000001</v>
      </c>
      <c r="U26" s="29">
        <f>_xll.FDS($A26,"FG_PRICE("&amp;Date&amp;")")</f>
        <v>29.86</v>
      </c>
      <c r="V26" s="29">
        <f>_xll.FDS($A26,"RTP_PRICE_HIGH_52W")</f>
        <v>32.9</v>
      </c>
      <c r="W26" s="26">
        <f>+U26/V26-1</f>
        <v>-9.2401215805471115E-2</v>
      </c>
      <c r="X26" s="31">
        <f>_xll.FDS($A26,"OS_SEC_SI_PCTFLT(0D)")/100</f>
        <v>8.149496305660589E-2</v>
      </c>
      <c r="Y26" s="30">
        <f>_xll.FDS($A26,"FREF_MARKET_VALUE_COMPANY("&amp;Date&amp;",,,,,0)")</f>
        <v>7950.7026600744584</v>
      </c>
      <c r="Z26" s="30">
        <f>_xll.FDS($A26,"FF_CASH_ONLY(QTR,0)")</f>
        <v>554.18899999999996</v>
      </c>
      <c r="AA26" s="30">
        <f>_xll.FDS($A26,"FF_DEBT(QTR,0)")</f>
        <v>2181.877</v>
      </c>
      <c r="AB26" s="30">
        <f>+AA26+Y26-Z26</f>
        <v>9578.3906600744576</v>
      </c>
      <c r="AC26" s="15">
        <f>_xll.FDS($A26,"FF_OG_RSRV_PROVED_DEV_NET(ANN_R_OIL_BOE,0)")</f>
        <v>119.59099999999999</v>
      </c>
      <c r="AD26" s="15">
        <f>_xll.FDS($A26,"FF_OG_RSRV_PROVED_DEV_NET(ANN_R_NG_CFE,0)")/1000</f>
        <v>240.33699999999999</v>
      </c>
      <c r="AE26" s="15">
        <f>IFERROR(_xll.FDS($A26,"FF_OG_RSRV_PROVED_DEV_NET(ANN_R_NGL_BOE,0)"),0)</f>
        <v>49.750999999999998</v>
      </c>
      <c r="AF26" s="15">
        <f>+AC26+AD26/6+AE26</f>
        <v>209.39816666666667</v>
      </c>
      <c r="AG26" s="15">
        <f>_xll.FDS($A26,"FF_OG_RSRV_PROVED_UNDEV_NET(ANN_R_OIL_BOE,0)")</f>
        <v>128.94</v>
      </c>
      <c r="AH26" s="15">
        <f>_xll.FDS($A26,"FF_OG_RSRV_PROVED_UNDEV_NET(ANN_R_NG_CFE,0)")/1000</f>
        <v>211.36600000000001</v>
      </c>
      <c r="AI26" s="15">
        <f>IFERROR(_xll.FDS($A26,"FF_OG_RSRV_PROVED_UNDEV_NET(ANN_R_NGL_BOE,0)"),0)</f>
        <v>42.881</v>
      </c>
      <c r="AJ26" s="15">
        <f>+AG26+AH26/6+AI26</f>
        <v>207.04866666666666</v>
      </c>
      <c r="AK26" s="15">
        <f>IF((AJ26+AF26)/_xll.FDS($A26,"FF_OG_TOT_RSRV_PROVED_NET(ANN_R_BOE,0)")-1&lt;0.01,AJ26+AF26,"CHECK RESERVES")</f>
        <v>416.4468333333333</v>
      </c>
      <c r="AL26" s="26">
        <f>+AJ26/AK26</f>
        <v>0.4971791116993326</v>
      </c>
      <c r="AM26" s="39" t="e">
        <f>_xll.FDS($A26,"FE_GUIDANCE(PROD_DAY_OIL_ONLY,MIDPOINT,ANNUAL,+2,0,,,'')")</f>
        <v>#N/A</v>
      </c>
      <c r="AN26" s="39" t="e">
        <f>_xll.FDS($A26,"FE_GUIDANCE(PRODPERDAY,MIDPOINT,ANNUAL,+2,0,,,'')")</f>
        <v>#N/A</v>
      </c>
      <c r="AO26" s="39" t="e">
        <f>_xll.FDS($A26,"FE_GUIDANCE(TOTAL_PROD,MIDPOINT,ANNUAL,+2,0,,,'')")</f>
        <v>#N/A</v>
      </c>
      <c r="AP26" s="39" t="e">
        <f>_xll.FDS($A26,"FE_GUIDANCE(CAPEX,MIDPOINT,ANNUAL,+2,0,,,'')")</f>
        <v>#N/A</v>
      </c>
      <c r="AQ26" s="39" t="str">
        <f>_xll.FDS($A26,"FE_GUIDANCE_DATE(DATEN,CAPEX,ANNUAL,2018,'MM/DD/YYYY',0)")</f>
        <v>11/08/2017</v>
      </c>
    </row>
    <row r="27" spans="1:43" ht="18.75" x14ac:dyDescent="0.3">
      <c r="A27" s="12" t="s">
        <v>15</v>
      </c>
      <c r="B27" s="13" t="str">
        <f>_xll.FDS($A27,"FG_COMPANY_NAME")</f>
        <v>Pioneer Natural Resources Company</v>
      </c>
      <c r="C27" s="47">
        <f>IFERROR(IFERROR(_xll.FDS($A27,"FF_OG_PROD_DAY(QTR_R_OIL_BOE,"&amp;Current_Quarter&amp;")"),_xll.FDS($A27,"FF_OG_PROD_TOT_NET(QTR_R_OIL_BOE,"&amp;Current_Quarter&amp;")")/Inputs!$C$20),0)</f>
        <v>179.73699999999999</v>
      </c>
      <c r="D27" s="15">
        <f>IFERROR(IFERROR(_xll.FDS($A27,"FF_OG_PROD_DAY(QTR_R_NG_CFE,"&amp;Current_Quarter&amp;")")/1000,_xll.FDS($A27,"FF_OG_PROD_TOT_NET(QTR_R_NG_CFE,"&amp;Current_Quarter&amp;")")/1000/Inputs!$C$20),0)</f>
        <v>377.14100000000002</v>
      </c>
      <c r="E27" s="15">
        <f>IFERROR(IFERROR(_xll.FDS($A27,"FF_OG_PROD_DAY(QTR_R_NGL_BOE,"&amp;Current_Quarter&amp;")"),_xll.FDS($A27,"FF_OG_PROD_TOT_NET(QTR_R_NGL_BOE,"&amp;Current_Quarter&amp;")")/Inputs!$C$20),0)</f>
        <v>62.395000000000003</v>
      </c>
      <c r="F27" s="14">
        <f>+C27+D27/6+E27</f>
        <v>304.98883333333333</v>
      </c>
      <c r="G27" s="21">
        <f>(C27*Inputs!$C$15+D27*Inputs!$C$16+E27*Inputs!$C$17)*Inputs!$C$20</f>
        <v>1256968.676</v>
      </c>
      <c r="H27" s="19">
        <f>+G27/(F27*92)</f>
        <v>44.797387663919935</v>
      </c>
      <c r="I27" s="19">
        <f>_xll.FDS($A27,"FF_OG_PROD_EXP(QTR_R,"&amp;Current_Quarter&amp;")")/($F27*Inputs!$C$20/1000)</f>
        <v>7.6267938438896037</v>
      </c>
      <c r="J27" s="19">
        <f>_xll.FDS($A27,"FF_DEP_AMORT_EXP(QTR_R,"&amp;Current_Quarter&amp;")")/($F27*Inputs!$C$20/1000)</f>
        <v>13.257791167882862</v>
      </c>
      <c r="K27" s="19">
        <f>_xll.FDS($A27,"FF_SGA(QTR_R,"&amp;Current_Quarter&amp;")")/($F27*Inputs!$C$20/1000)</f>
        <v>2.8511378855662071</v>
      </c>
      <c r="L27" s="19">
        <f>+H27-I27-K27</f>
        <v>34.319455934464123</v>
      </c>
      <c r="M27" s="19">
        <f>+H27-I27-J27-K27</f>
        <v>21.061664766581263</v>
      </c>
      <c r="N27" s="14">
        <f>IFERROR(IFERROR(_xll.FDS($A27,"FF_OG_PROD_DAY(QTR_R_OIL_BOE,"&amp;Prev_Quarter&amp;")"),_xll.FDS($A27,"FF_OG_PROD_TOT_NET(QTR_R_OIL_BOE,"&amp;Prev_Quarter&amp;")")/Inputs!$C$20),0)</f>
        <v>161.63399999999999</v>
      </c>
      <c r="O27" s="15">
        <f>IFERROR(IFERROR(_xll.FDS($A27,"FF_OG_PROD_DAY(QTR_R_NG_CFE,"&amp;Prev_Quarter&amp;")")/1000,_xll.FDS($A27,"FF_OG_PROD_TOT_NET(QTR_R_NG_CFE,"&amp;Prev_Quarter&amp;")")/1000/Inputs!$C$20),0)</f>
        <v>340.38400000000001</v>
      </c>
      <c r="P27" s="15">
        <f>IFERROR(IFERROR(_xll.FDS($A27,"FF_OG_PROD_DAY(QTR_R_NGL_BOE,"&amp;Prev_Quarter&amp;")"),_xll.FDS($A27,"FF_OG_PROD_TOT_NET(QTR_R_NGL_BOE,"&amp;Prev_Quarter&amp;")")/Inputs!$C$20),0)</f>
        <v>57.345999999999997</v>
      </c>
      <c r="Q27" s="14">
        <f>+N27+O27/6+P27</f>
        <v>275.71066666666667</v>
      </c>
      <c r="R27" s="27">
        <f>+F27/Q27-1</f>
        <v>0.10619163567604684</v>
      </c>
      <c r="S27" s="15">
        <f>_xll.FDS(A27,"FF_OG_AREA_TOT(ANN_R_GROSS_ACRE,"&amp;Current_Quarter&amp;")")/1000</f>
        <v>1427.3340000000001</v>
      </c>
      <c r="T27" s="15">
        <f>_xll.FDS(A27,"FF_OG_AREA_TOT(ANN_R_NET_ACRE,"&amp;Current_Quarter&amp;")")/1000</f>
        <v>1237.605</v>
      </c>
      <c r="U27" s="29">
        <f>_xll.FDS($A27,"FG_PRICE("&amp;Date&amp;")")</f>
        <v>193.18</v>
      </c>
      <c r="V27" s="29">
        <f>_xll.FDS($A27,"RTP_PRICE_HIGH_52W")</f>
        <v>194.73</v>
      </c>
      <c r="W27" s="26">
        <f>+U27/V27-1</f>
        <v>-7.9597391259692563E-3</v>
      </c>
      <c r="X27" s="31">
        <f>_xll.FDS($A27,"OS_SEC_SI_PCTFLT(0D)")/100</f>
        <v>2.276410424664848E-2</v>
      </c>
      <c r="Y27" s="30">
        <f>_xll.FDS($A27,"FREF_MARKET_VALUE_COMPANY("&amp;Date&amp;",,,,,0)")</f>
        <v>32942.597767434083</v>
      </c>
      <c r="Z27" s="30">
        <f>_xll.FDS($A27,"FF_CASH_ONLY(QTR,0)")</f>
        <v>846</v>
      </c>
      <c r="AA27" s="30">
        <f>_xll.FDS($A27,"FF_DEBT(QTR,0)")</f>
        <v>2732</v>
      </c>
      <c r="AB27" s="30">
        <f>+AA27+Y27-Z27</f>
        <v>34828.597767434083</v>
      </c>
      <c r="AC27" s="15">
        <f>_xll.FDS($A27,"FF_OG_RSRV_PROVED_DEV_NET(ANN_R_OIL_BOE,0)")</f>
        <v>442.36399999999998</v>
      </c>
      <c r="AD27" s="15">
        <f>_xll.FDS($A27,"FF_OG_RSRV_PROVED_DEV_NET(ANN_R_NG_CFE,0)")/1000</f>
        <v>1629.451</v>
      </c>
      <c r="AE27" s="15">
        <f>IFERROR(_xll.FDS($A27,"FF_OG_RSRV_PROVED_DEV_NET(ANN_R_NGL_BOE,0)"),0)</f>
        <v>189.434</v>
      </c>
      <c r="AF27" s="15">
        <f>+AC27+AD27/6+AE27</f>
        <v>903.37316666666663</v>
      </c>
      <c r="AG27" s="15">
        <f>_xll.FDS($A27,"FF_OG_RSRV_PROVED_UNDEV_NET(ANN_R_OIL_BOE,0)")</f>
        <v>40.524999999999999</v>
      </c>
      <c r="AH27" s="15">
        <f>_xll.FDS($A27,"FF_OG_RSRV_PROVED_UNDEV_NET(ANN_R_NG_CFE,0)")/1000</f>
        <v>122.429</v>
      </c>
      <c r="AI27" s="15">
        <f>IFERROR(_xll.FDS($A27,"FF_OG_RSRV_PROVED_UNDEV_NET(ANN_R_NGL_BOE,0)"),0)</f>
        <v>21.062999999999999</v>
      </c>
      <c r="AJ27" s="15">
        <f>+AG27+AH27/6+AI27</f>
        <v>81.992833333333337</v>
      </c>
      <c r="AK27" s="15">
        <f>IF((AJ27+AF27)/_xll.FDS($A27,"FF_OG_TOT_RSRV_PROVED_NET(ANN_R_BOE,0)")-1&lt;0.01,AJ27+AF27,"CHECK RESERVES")</f>
        <v>985.36599999999999</v>
      </c>
      <c r="AL27" s="26">
        <f>+AJ27/AK27</f>
        <v>8.3210536321867548E-2</v>
      </c>
      <c r="AM27" s="39" t="e">
        <f>_xll.FDS($A27,"FE_GUIDANCE(PROD_DAY_OIL_ONLY,MIDPOINT,ANNUAL,+2,0,,,'')")</f>
        <v>#N/A</v>
      </c>
      <c r="AN27" s="39" t="e">
        <f>_xll.FDS($A27,"FE_GUIDANCE(PRODPERDAY,MIDPOINT,ANNUAL,+2,0,,,'')")</f>
        <v>#N/A</v>
      </c>
      <c r="AO27" s="39" t="e">
        <f>_xll.FDS($A27,"FE_GUIDANCE(TOTAL_PROD,MIDPOINT,ANNUAL,+2,0,,,'')")</f>
        <v>#N/A</v>
      </c>
      <c r="AP27" s="39" t="e">
        <f>_xll.FDS($A27,"FE_GUIDANCE(CAPEX,MIDPOINT,ANNUAL,+2,0,,,'')")</f>
        <v>#N/A</v>
      </c>
      <c r="AQ27" s="39" t="e">
        <f>_xll.FDS($A27,"FE_GUIDANCE_DATE(DATEN,PRODPERDAY,ANNUAL,2018,'MM/DD/YYYY',0)")</f>
        <v>#N/A</v>
      </c>
    </row>
    <row r="28" spans="1:43" ht="18.75" x14ac:dyDescent="0.3">
      <c r="A28" s="12" t="s">
        <v>5</v>
      </c>
      <c r="B28" s="13" t="str">
        <f>_xll.FDS($A28,"FG_COMPANY_NAME")</f>
        <v>QEP Resources, Inc.</v>
      </c>
      <c r="C28" s="14">
        <f>IFERROR(IFERROR(_xll.FDS($A28,"FF_OG_PROD_DAY(QTR_R_OIL_BOE,"&amp;Current_Quarter&amp;")"),_xll.FDS($A28,"FF_OG_PROD_TOT_NET(QTR_R_OIL_BOE,"&amp;Current_Quarter&amp;")")/Inputs!$C$20),0)</f>
        <v>56.963043478260872</v>
      </c>
      <c r="D28" s="15">
        <f>IFERROR(IFERROR(_xll.FDS($A28,"FF_OG_PROD_DAY(QTR_R_NG_CFE,"&amp;Current_Quarter&amp;")")/1000,_xll.FDS($A28,"FF_OG_PROD_TOT_NET(QTR_R_NG_CFE,"&amp;Current_Quarter&amp;")")/1000/Inputs!$C$20),0)</f>
        <v>370.6521739130435</v>
      </c>
      <c r="E28" s="15">
        <f>IFERROR(IFERROR(_xll.FDS($A28,"FF_OG_PROD_DAY(QTR_R_NGL_BOE,"&amp;Current_Quarter&amp;")"),_xll.FDS($A28,"FF_OG_PROD_TOT_NET(QTR_R_NGL_BOE,"&amp;Current_Quarter&amp;")")/Inputs!$C$20),0)</f>
        <v>12.401086956521739</v>
      </c>
      <c r="F28" s="14">
        <f>+C28+D28/6+E28</f>
        <v>131.13949275362319</v>
      </c>
      <c r="G28" s="21">
        <f>(C28*Inputs!$C$15+D28*Inputs!$C$16+E28*Inputs!$C$17)*Inputs!$C$20</f>
        <v>448681.2</v>
      </c>
      <c r="H28" s="19">
        <f>+G28/(F28*92)</f>
        <v>37.189175150920718</v>
      </c>
      <c r="I28" s="19">
        <f>(_xll.FDS($A28,"FF_OG_PROD_EXP(QTR_R,"&amp;Current_Quarter&amp;")")+(245.3-202.6)+(7.3-5))/($F28*Inputs!$C$20/1000)</f>
        <v>12.648330547458869</v>
      </c>
      <c r="J28" s="19">
        <f>_xll.FDS($A28,"FF_DEP_AMORT_EXP(QTR_R,"&amp;Current_Quarter&amp;")")/($F28*Inputs!$C$20/1000)</f>
        <v>16.162676649767228</v>
      </c>
      <c r="K28" s="19">
        <f>_xll.FDS($A28,"FF_SGA(QTR_R,"&amp;Current_Quarter&amp;")")/($F28*Inputs!$C$20/1000)</f>
        <v>3.7464255618947631</v>
      </c>
      <c r="L28" s="19">
        <f>+H28-I28-K28</f>
        <v>20.794419041567085</v>
      </c>
      <c r="M28" s="19">
        <f>+H28-I28-J28-K28</f>
        <v>4.6317423917998584</v>
      </c>
      <c r="N28" s="14">
        <f>IFERROR(IFERROR(_xll.FDS($A28,"FF_OG_PROD_DAY(QTR_R_OIL_BOE,"&amp;Prev_Quarter&amp;")"),_xll.FDS($A28,"FF_OG_PROD_TOT_NET(QTR_R_OIL_BOE,"&amp;Prev_Quarter&amp;")")/Inputs!$C$20),0)</f>
        <v>52.468478260869567</v>
      </c>
      <c r="O28" s="15">
        <f>IFERROR(IFERROR(_xll.FDS($A28,"FF_OG_PROD_DAY(QTR_R_NG_CFE,"&amp;Prev_Quarter&amp;")")/1000,_xll.FDS($A28,"FF_OG_PROD_TOT_NET(QTR_R_NG_CFE,"&amp;Prev_Quarter&amp;")")/1000/Inputs!$C$20),0)</f>
        <v>507.60869565217394</v>
      </c>
      <c r="P28" s="15">
        <f>IFERROR(IFERROR(_xll.FDS($A28,"FF_OG_PROD_DAY(QTR_R_NGL_BOE,"&amp;Prev_Quarter&amp;")"),_xll.FDS($A28,"FF_OG_PROD_TOT_NET(QTR_R_NGL_BOE,"&amp;Prev_Quarter&amp;")")/Inputs!$C$20),0)</f>
        <v>16.479347826086954</v>
      </c>
      <c r="Q28" s="14">
        <f>+N28+O28/6+P28</f>
        <v>153.54927536231884</v>
      </c>
      <c r="R28" s="27">
        <f>+F28/Q28-1</f>
        <v>-0.14594521892608703</v>
      </c>
      <c r="S28" s="15">
        <f>_xll.FDS(A28,"FF_OG_AREA_TOT(ANN_R_GROSS_ACRE,"&amp;Current_Quarter&amp;")")/1000</f>
        <v>2164.241</v>
      </c>
      <c r="T28" s="15">
        <f>_xll.FDS(A28,"FF_OG_AREA_TOT(ANN_R_NET_ACRE,"&amp;Current_Quarter&amp;")")/1000</f>
        <v>993.59799999999996</v>
      </c>
      <c r="U28" s="29">
        <f>_xll.FDS($A28,"FG_PRICE("&amp;Date&amp;")")</f>
        <v>11.55</v>
      </c>
      <c r="V28" s="29">
        <f>_xll.FDS($A28,"RTP_PRICE_HIGH_52W")</f>
        <v>12.9</v>
      </c>
      <c r="W28" s="26">
        <f>+U28/V28-1</f>
        <v>-0.10465116279069764</v>
      </c>
      <c r="X28" s="31">
        <f>_xll.FDS($A28,"OS_SEC_SI_PCTFLT(0D)")/100</f>
        <v>8.3838291158340614E-2</v>
      </c>
      <c r="Y28" s="30">
        <f>_xll.FDS($A28,"FREF_MARKET_VALUE_COMPANY("&amp;Date&amp;",,,,,0)")</f>
        <v>2747.6873447217949</v>
      </c>
      <c r="Z28" s="30">
        <f>_xll.FDS($A28,"FF_CASH_ONLY(QTR,0)")</f>
        <v>0</v>
      </c>
      <c r="AA28" s="30">
        <f>_xll.FDS($A28,"FF_DEBT(QTR,0)")</f>
        <v>2204.8000000000002</v>
      </c>
      <c r="AB28" s="30">
        <f>+AA28+Y28-Z28</f>
        <v>4952.4873447217951</v>
      </c>
      <c r="AC28" s="15">
        <f>_xll.FDS($A28,"FF_OG_RSRV_PROVED_DEV_NET(ANN_R_OIL_BOE,0)")</f>
        <v>116</v>
      </c>
      <c r="AD28" s="15">
        <f>_xll.FDS($A28,"FF_OG_RSRV_PROVED_DEV_NET(ANN_R_NG_CFE,0)")/1000</f>
        <v>655.5</v>
      </c>
      <c r="AE28" s="15">
        <f>IFERROR(_xll.FDS($A28,"FF_OG_RSRV_PROVED_DEV_NET(ANN_R_NGL_BOE,0)"),0)</f>
        <v>27.9</v>
      </c>
      <c r="AF28" s="15">
        <f>+AC28+AD28/6+AE28</f>
        <v>253.15</v>
      </c>
      <c r="AG28" s="15">
        <f>_xll.FDS($A28,"FF_OG_RSRV_PROVED_UNDEV_NET(ANN_R_OIL_BOE,0)")</f>
        <v>204.5</v>
      </c>
      <c r="AH28" s="15">
        <f>_xll.FDS($A28,"FF_OG_RSRV_PROVED_UNDEV_NET(ANN_R_NG_CFE,0)")/1000</f>
        <v>1138.0999999999999</v>
      </c>
      <c r="AI28" s="15">
        <f>IFERROR(_xll.FDS($A28,"FF_OG_RSRV_PROVED_UNDEV_NET(ANN_R_NGL_BOE,0)"),0)</f>
        <v>37.299999999999997</v>
      </c>
      <c r="AJ28" s="15">
        <f>+AG28+AH28/6+AI28</f>
        <v>431.48333333333329</v>
      </c>
      <c r="AK28" s="15">
        <f>IF((AJ28+AF28)/_xll.FDS($A28,"FF_OG_TOT_RSRV_PROVED_NET(ANN_R_BOE,0)")-1&lt;0.01,AJ28+AF28,"CHECK RESERVES")</f>
        <v>684.63333333333333</v>
      </c>
      <c r="AL28" s="26">
        <f>+AJ28/AK28</f>
        <v>0.63024003116023175</v>
      </c>
      <c r="AM28" s="39" t="e">
        <f>_xll.FDS($A28,"FE_GUIDANCE(PROD_DAY_OIL_ONLY,MIDPOINT,ANNUAL,+2,0,,,'')")</f>
        <v>#N/A</v>
      </c>
      <c r="AN28" s="39" t="e">
        <f>_xll.FDS($A28,"FE_GUIDANCE(PRODPERDAY,MIDPOINT,ANNUAL,+2,0,,,'')")</f>
        <v>#N/A</v>
      </c>
      <c r="AO28" s="39" t="e">
        <f>_xll.FDS($A28,"FE_GUIDANCE(TOTAL_PROD,MIDPOINT,ANNUAL,+2,0,,,'')")</f>
        <v>#N/A</v>
      </c>
      <c r="AP28" s="39" t="e">
        <f>_xll.FDS($A28,"FE_GUIDANCE(CAPEX,MIDPOINT,ANNUAL,+2,0,,,'')")</f>
        <v>#N/A</v>
      </c>
      <c r="AQ28" s="39" t="str">
        <f>_xll.FDS($A28,"FE_GUIDANCE_DATE(DATEN,CAPEX,ANNUAL,2018,'MM/DD/YYYY',0)")</f>
        <v>03/01/2018</v>
      </c>
    </row>
    <row r="29" spans="1:43" ht="18.75" x14ac:dyDescent="0.3">
      <c r="A29" s="12" t="s">
        <v>41</v>
      </c>
      <c r="B29" s="13" t="str">
        <f>_xll.FDS($A29,"FG_COMPANY_NAME")</f>
        <v>Resolute Energy Corporation</v>
      </c>
      <c r="C29" s="14">
        <f>IFERROR(IFERROR(_xll.FDS($A29,"FF_OG_PROD_DAY(QTR_R_OIL_BOE,"&amp;Current_Quarter&amp;")"),_xll.FDS($A29,"FF_OG_PROD_TOT_NET(QTR_R_OIL_BOE,"&amp;Current_Quarter&amp;")")/Inputs!$C$20),0)</f>
        <v>14.467391304347826</v>
      </c>
      <c r="D29" s="15">
        <f>IFERROR(IFERROR(_xll.FDS($A29,"FF_OG_PROD_DAY(QTR_R_NG_CFE,"&amp;Current_Quarter&amp;")")/1000,_xll.FDS($A29,"FF_OG_PROD_TOT_NET(QTR_R_NG_CFE,"&amp;Current_Quarter&amp;")")/1000/Inputs!$C$20),0)</f>
        <v>40.597826086956523</v>
      </c>
      <c r="E29" s="15">
        <f>IFERROR(IFERROR(_xll.FDS($A29,"FF_OG_PROD_DAY(QTR_R_NGL_BOE,"&amp;Current_Quarter&amp;")"),_xll.FDS($A29,"FF_OG_PROD_TOT_NET(QTR_R_NGL_BOE,"&amp;Current_Quarter&amp;")")/Inputs!$C$20),0)</f>
        <v>6.3586956521739131</v>
      </c>
      <c r="F29" s="14">
        <f>+C29+D29/6+E29</f>
        <v>27.592391304347828</v>
      </c>
      <c r="G29" s="21">
        <f>(C29*Inputs!$C$15+D29*Inputs!$C$16+E29*Inputs!$C$17)*Inputs!$C$20</f>
        <v>107445</v>
      </c>
      <c r="H29" s="19">
        <f>+G29/(F29*92)</f>
        <v>42.326176876107937</v>
      </c>
      <c r="I29" s="19">
        <f>_xll.FDS($A29,"FF_OG_PROD_EXP(QTR_R,"&amp;Current_Quarter&amp;")")/($F29*Inputs!$C$20/1000)</f>
        <v>6.9407130194997047</v>
      </c>
      <c r="J29" s="19">
        <f>_xll.FDS($A29,"FF_DEP_AMORT_EXP(QTR_R,"&amp;Current_Quarter&amp;")")/($F29*Inputs!$C$20/1000)</f>
        <v>11.108922592081939</v>
      </c>
      <c r="K29" s="19">
        <f>_xll.FDS($A29,"FF_SGA(QTR_R,"&amp;Current_Quarter&amp;")")/($F29*Inputs!$C$20/1000)</f>
        <v>10.34784321449675</v>
      </c>
      <c r="L29" s="19">
        <f>+H29-I29-K29</f>
        <v>25.037620642111484</v>
      </c>
      <c r="M29" s="19">
        <f>+H29-I29-J29-K29</f>
        <v>13.928698050029544</v>
      </c>
      <c r="N29" s="14">
        <f>IFERROR(IFERROR(_xll.FDS($A29,"FF_OG_PROD_DAY(QTR_R_OIL_BOE,"&amp;Prev_Quarter&amp;")"),_xll.FDS($A29,"FF_OG_PROD_TOT_NET(QTR_R_OIL_BOE,"&amp;Prev_Quarter&amp;")")/Inputs!$C$20),0)</f>
        <v>16.891304347826086</v>
      </c>
      <c r="O29" s="15">
        <f>IFERROR(IFERROR(_xll.FDS($A29,"FF_OG_PROD_DAY(QTR_R_NG_CFE,"&amp;Prev_Quarter&amp;")")/1000,_xll.FDS($A29,"FF_OG_PROD_TOT_NET(QTR_R_NG_CFE,"&amp;Prev_Quarter&amp;")")/1000/Inputs!$C$20),0)</f>
        <v>38.728260869565219</v>
      </c>
      <c r="P29" s="15">
        <f>IFERROR(IFERROR(_xll.FDS($A29,"FF_OG_PROD_DAY(QTR_R_NGL_BOE,"&amp;Prev_Quarter&amp;")"),_xll.FDS($A29,"FF_OG_PROD_TOT_NET(QTR_R_NGL_BOE,"&amp;Prev_Quarter&amp;")")/Inputs!$C$20),0)</f>
        <v>5.2173913043478262</v>
      </c>
      <c r="Q29" s="14">
        <f>+N29+O29/6+P29</f>
        <v>28.563405797101446</v>
      </c>
      <c r="R29" s="27">
        <f>+F29/Q29-1</f>
        <v>-3.3995052958711081E-2</v>
      </c>
      <c r="S29" s="15">
        <f>_xll.FDS(A29,"FF_OG_AREA_TOT(ANN_R_GROSS_ACRE,"&amp;Current_Quarter&amp;")")/1000</f>
        <v>27.574000000000002</v>
      </c>
      <c r="T29" s="15">
        <f>_xll.FDS(A29,"FF_OG_AREA_TOT(ANN_R_NET_ACRE,"&amp;Current_Quarter&amp;")")/1000</f>
        <v>21.178999999999998</v>
      </c>
      <c r="U29" s="29">
        <f>_xll.FDS($A29,"FG_PRICE("&amp;Date&amp;")")</f>
        <v>33.979999999999997</v>
      </c>
      <c r="V29" s="29">
        <f>_xll.FDS($A29,"RTP_PRICE_HIGH_52W")</f>
        <v>44.44</v>
      </c>
      <c r="W29" s="26">
        <f>+U29/V29-1</f>
        <v>-0.23537353735373545</v>
      </c>
      <c r="X29" s="31">
        <f>_xll.FDS($A29,"OS_SEC_SI_PCTFLT(0D)")/100</f>
        <v>0.35740754751439607</v>
      </c>
      <c r="Y29" s="30">
        <f>_xll.FDS($A29,"FREF_MARKET_VALUE_COMPANY("&amp;Date&amp;",,,,,0)")</f>
        <v>783.8166302565005</v>
      </c>
      <c r="Z29" s="30">
        <f>_xll.FDS($A29,"FF_CASH_ONLY(QTR,0)")</f>
        <v>3.762</v>
      </c>
      <c r="AA29" s="30">
        <f>_xll.FDS($A29,"FF_DEBT(QTR,0)")</f>
        <v>550.72699999999998</v>
      </c>
      <c r="AB29" s="30">
        <f>+AA29+Y29-Z29</f>
        <v>1330.7816302565004</v>
      </c>
      <c r="AC29" s="15">
        <f>_xll.FDS($A29,"FF_OG_RSRV_PROVED_DEV_NET(ANN_R_OIL_BOE,0)")</f>
        <v>12.273999999999999</v>
      </c>
      <c r="AD29" s="15">
        <f>_xll.FDS($A29,"FF_OG_RSRV_PROVED_DEV_NET(ANN_R_NG_CFE,0)")/1000</f>
        <v>46.826999999999998</v>
      </c>
      <c r="AE29" s="15">
        <f>IFERROR(_xll.FDS($A29,"FF_OG_RSRV_PROVED_DEV_NET(ANN_R_NGL_BOE,0)"),0)</f>
        <v>6.1360000000000001</v>
      </c>
      <c r="AF29" s="15">
        <f>+AC29+AD29/6+AE29</f>
        <v>26.214499999999997</v>
      </c>
      <c r="AG29" s="15">
        <f>_xll.FDS($A29,"FF_OG_RSRV_PROVED_UNDEV_NET(ANN_R_OIL_BOE,0)")</f>
        <v>13.045</v>
      </c>
      <c r="AH29" s="15">
        <f>_xll.FDS($A29,"FF_OG_RSRV_PROVED_UNDEV_NET(ANN_R_NG_CFE,0)")/1000</f>
        <v>47.987000000000002</v>
      </c>
      <c r="AI29" s="15">
        <f>IFERROR(_xll.FDS($A29,"FF_OG_RSRV_PROVED_UNDEV_NET(ANN_R_NGL_BOE,0)"),0)</f>
        <v>6.173</v>
      </c>
      <c r="AJ29" s="15">
        <f>+AG29+AH29/6+AI29</f>
        <v>27.215833333333336</v>
      </c>
      <c r="AK29" s="15">
        <f>IF((AJ29+AF29)/_xll.FDS($A29,"FF_OG_TOT_RSRV_PROVED_NET(ANN_R_BOE,0)")-1&lt;0.01,AJ29+AF29,"CHECK RESERVES")</f>
        <v>53.430333333333337</v>
      </c>
      <c r="AL29" s="26">
        <f>+AJ29/AK29</f>
        <v>0.50937045748045739</v>
      </c>
      <c r="AM29" s="39" t="e">
        <f>_xll.FDS($A29,"FE_GUIDANCE(PROD_DAY_OIL_ONLY,MIDPOINT,ANNUAL,+2,0,,,'')")</f>
        <v>#N/A</v>
      </c>
      <c r="AN29" s="39" t="e">
        <f>_xll.FDS($A29,"FE_GUIDANCE(PRODPERDAY,MIDPOINT,ANNUAL,+2,0,,,'')")</f>
        <v>#N/A</v>
      </c>
      <c r="AO29" s="39" t="e">
        <f>_xll.FDS($A29,"FE_GUIDANCE(TOTAL_PROD,MIDPOINT,ANNUAL,+2,0,,,'')")</f>
        <v>#N/A</v>
      </c>
      <c r="AP29" s="39" t="e">
        <f>_xll.FDS($A29,"FE_GUIDANCE(CAPEX,MIDPOINT,ANNUAL,+2,0,,,'')")</f>
        <v>#N/A</v>
      </c>
      <c r="AQ29" s="39" t="e">
        <f>_xll.FDS($A29,"FE_GUIDANCE_DATE(DATEN,CAPEX,ANNUAL,2018,'MM/DD/YYYY',0)")</f>
        <v>#N/A</v>
      </c>
    </row>
    <row r="30" spans="1:43" ht="18.75" x14ac:dyDescent="0.3">
      <c r="A30" s="12" t="s">
        <v>96</v>
      </c>
      <c r="B30" s="13" t="str">
        <f>_xll.FDS($A30,"FG_COMPANY_NAME")</f>
        <v>Rosehill Resources Inc. Class A</v>
      </c>
      <c r="C30" s="14">
        <f>IFERROR(IFERROR(_xll.FDS($A30,"FF_OG_PROD_DAY(QTR_R_OIL_BOE,"&amp;Current_Quarter&amp;")"),_xll.FDS($A30,"FF_OG_PROD_TOT_NET(QTR_R_OIL_BOE,"&amp;Current_Quarter&amp;")")/Inputs!$C$20),0)</f>
        <v>0</v>
      </c>
      <c r="D30" s="15">
        <f>IFERROR(IFERROR(_xll.FDS($A30,"FF_OG_PROD_DAY(QTR_R_NG_CFE,"&amp;Current_Quarter&amp;")")/1000,_xll.FDS($A30,"FF_OG_PROD_TOT_NET(QTR_R_NG_CFE,"&amp;Current_Quarter&amp;")")/1000/Inputs!$C$20),0)</f>
        <v>0</v>
      </c>
      <c r="E30" s="15">
        <f>IFERROR(IFERROR(_xll.FDS($A30,"FF_OG_PROD_DAY(QTR_R_NGL_BOE,"&amp;Current_Quarter&amp;")"),_xll.FDS($A30,"FF_OG_PROD_TOT_NET(QTR_R_NGL_BOE,"&amp;Current_Quarter&amp;")")/Inputs!$C$20),0)</f>
        <v>0</v>
      </c>
      <c r="F30" s="14">
        <f>+C30+D30/6+E30</f>
        <v>0</v>
      </c>
      <c r="G30" s="21">
        <f>(C30*Inputs!$C$15+D30*Inputs!$C$16+E30*Inputs!$C$17)*Inputs!$C$20</f>
        <v>0</v>
      </c>
      <c r="H30" s="19" t="e">
        <f>+G30/(F30*92)</f>
        <v>#DIV/0!</v>
      </c>
      <c r="I30" s="19" t="e">
        <f>_xll.FDS($A30,"FF_OG_PROD_EXP(QTR_R,"&amp;Current_Quarter&amp;")")/($F30*Inputs!$C$20/1000)</f>
        <v>#N/A</v>
      </c>
      <c r="J30" s="19" t="e">
        <f>_xll.FDS($A30,"FF_DEP_AMORT_EXP(QTR_R,"&amp;Current_Quarter&amp;")")/($F30*Inputs!$C$20/1000)</f>
        <v>#DIV/0!</v>
      </c>
      <c r="K30" s="19" t="e">
        <f>_xll.FDS($A30,"FF_SGA(QTR_R,"&amp;Current_Quarter&amp;")")/($F30*Inputs!$C$20/1000)</f>
        <v>#DIV/0!</v>
      </c>
      <c r="L30" s="19" t="e">
        <f>+H30-I30-K30</f>
        <v>#DIV/0!</v>
      </c>
      <c r="M30" s="19" t="e">
        <f>+H30-I30-J30-K30</f>
        <v>#DIV/0!</v>
      </c>
      <c r="N30" s="14">
        <f>IFERROR(IFERROR(_xll.FDS($A30,"FF_OG_PROD_DAY(QTR_R_OIL_BOE,"&amp;Prev_Quarter&amp;")"),_xll.FDS($A30,"FF_OG_PROD_TOT_NET(QTR_R_OIL_BOE,"&amp;Prev_Quarter&amp;")")/Inputs!$C$20),0)</f>
        <v>0</v>
      </c>
      <c r="O30" s="15">
        <f>IFERROR(IFERROR(_xll.FDS($A30,"FF_OG_PROD_DAY(QTR_R_NG_CFE,"&amp;Prev_Quarter&amp;")")/1000,_xll.FDS($A30,"FF_OG_PROD_TOT_NET(QTR_R_NG_CFE,"&amp;Prev_Quarter&amp;")")/1000/Inputs!$C$20),0)</f>
        <v>0</v>
      </c>
      <c r="P30" s="15">
        <f>IFERROR(IFERROR(_xll.FDS($A30,"FF_OG_PROD_DAY(QTR_R_NGL_BOE,"&amp;Prev_Quarter&amp;")"),_xll.FDS($A30,"FF_OG_PROD_TOT_NET(QTR_R_NGL_BOE,"&amp;Prev_Quarter&amp;")")/Inputs!$C$20),0)</f>
        <v>0</v>
      </c>
      <c r="Q30" s="14">
        <f>+N30+O30/6+P30</f>
        <v>0</v>
      </c>
      <c r="R30" s="27" t="e">
        <f>+F30/Q30-1</f>
        <v>#DIV/0!</v>
      </c>
      <c r="S30" s="15" t="e">
        <f>_xll.FDS(A30,"FF_OG_AREA_TOT(ANN_R_GROSS_ACRE,"&amp;Current_Quarter&amp;")")/1000</f>
        <v>#N/A</v>
      </c>
      <c r="T30" s="15" t="e">
        <f>_xll.FDS(A30,"FF_OG_AREA_TOT(ANN_R_NET_ACRE,"&amp;Current_Quarter&amp;")")/1000</f>
        <v>#N/A</v>
      </c>
      <c r="U30" s="29">
        <f>_xll.FDS($A30,"FG_PRICE("&amp;Date&amp;")")</f>
        <v>6.76</v>
      </c>
      <c r="V30" s="29">
        <f>_xll.FDS($A30,"RTP_PRICE_HIGH_52W")</f>
        <v>11.69</v>
      </c>
      <c r="W30" s="26">
        <f>+U30/V30-1</f>
        <v>-0.42172797262617623</v>
      </c>
      <c r="X30" s="31">
        <f>_xll.FDS($A30,"OS_SEC_SI_PCTFLT(0D)")/100</f>
        <v>9.6455769384394208E-2</v>
      </c>
      <c r="Y30" s="30">
        <f>_xll.FDS($A30,"FREF_MARKET_VALUE_COMPANY("&amp;Date&amp;",,,,,0)")</f>
        <v>41.966082658691448</v>
      </c>
      <c r="Z30" s="30">
        <f>_xll.FDS($A30,"FF_CASH_ONLY(QTR,0)")</f>
        <v>24.681999999999999</v>
      </c>
      <c r="AA30" s="30">
        <f>_xll.FDS($A30,"FF_DEBT(QTR,0)")</f>
        <v>93.198999999999998</v>
      </c>
      <c r="AB30" s="30">
        <f>+AA30+Y30-Z30</f>
        <v>110.48308265869146</v>
      </c>
      <c r="AC30" s="15" t="e">
        <f>_xll.FDS($A30,"FF_OG_RSRV_PROVED_DEV_NET(ANN_R_OIL_BOE,0)")</f>
        <v>#N/A</v>
      </c>
      <c r="AD30" s="15" t="e">
        <f>_xll.FDS($A30,"FF_OG_RSRV_PROVED_DEV_NET(ANN_R_NG_CFE,0)")/1000</f>
        <v>#N/A</v>
      </c>
      <c r="AE30" s="15">
        <f>IFERROR(_xll.FDS($A30,"FF_OG_RSRV_PROVED_DEV_NET(ANN_R_NGL_BOE,0)"),0)</f>
        <v>0</v>
      </c>
      <c r="AF30" s="15" t="e">
        <f>+AC30+AD30/6+AE30</f>
        <v>#N/A</v>
      </c>
      <c r="AG30" s="15" t="e">
        <f>_xll.FDS($A30,"FF_OG_RSRV_PROVED_UNDEV_NET(ANN_R_OIL_BOE,0)")</f>
        <v>#N/A</v>
      </c>
      <c r="AH30" s="15" t="e">
        <f>_xll.FDS($A30,"FF_OG_RSRV_PROVED_UNDEV_NET(ANN_R_NG_CFE,0)")/1000</f>
        <v>#N/A</v>
      </c>
      <c r="AI30" s="15">
        <f>IFERROR(_xll.FDS($A30,"FF_OG_RSRV_PROVED_UNDEV_NET(ANN_R_NGL_BOE,0)"),0)</f>
        <v>0</v>
      </c>
      <c r="AJ30" s="15" t="e">
        <f>+AG30+AH30/6+AI30</f>
        <v>#N/A</v>
      </c>
      <c r="AK30" s="15" t="e">
        <f>IF((AJ30+AF30)/_xll.FDS($A30,"FF_OG_TOT_RSRV_PROVED_NET(ANN_R_BOE,0)")-1&lt;0.01,AJ30+AF30,"CHECK RESERVES")</f>
        <v>#N/A</v>
      </c>
      <c r="AL30" s="26" t="e">
        <f>+AJ30/AK30</f>
        <v>#N/A</v>
      </c>
      <c r="AM30" s="39" t="e">
        <f>_xll.FDS($A30,"FE_GUIDANCE(PROD_DAY_OIL_ONLY,MIDPOINT,ANNUAL,+2,0,,,'')")</f>
        <v>#N/A</v>
      </c>
      <c r="AN30" s="39" t="e">
        <f>_xll.FDS($A30,"FE_GUIDANCE(PRODPERDAY,MIDPOINT,ANNUAL,+2,0,,,'')")</f>
        <v>#N/A</v>
      </c>
      <c r="AO30" s="39" t="e">
        <f>_xll.FDS($A30,"FE_GUIDANCE(TOTAL_PROD,MIDPOINT,ANNUAL,+2,0,,,'')")</f>
        <v>#N/A</v>
      </c>
      <c r="AP30" s="39" t="e">
        <f>_xll.FDS($A30,"FE_GUIDANCE(CAPEX,MIDPOINT,ANNUAL,+2,0,,,'')")</f>
        <v>#N/A</v>
      </c>
      <c r="AQ30" s="39" t="e">
        <f>_xll.FDS($A30,"FE_GUIDANCE_DATE(DATEN,CAPEX,ANNUAL,2018,'MM/DD/YYYY',0)")</f>
        <v>#N/A</v>
      </c>
    </row>
    <row r="31" spans="1:43" ht="18.75" x14ac:dyDescent="0.3">
      <c r="A31" s="12" t="s">
        <v>12</v>
      </c>
      <c r="B31" s="13" t="str">
        <f>_xll.FDS($A31,"FG_COMPANY_NAME")</f>
        <v>RSP Permian, Inc.</v>
      </c>
      <c r="C31" s="14">
        <f>IFERROR(IFERROR(_xll.FDS($A31,"FF_OG_PROD_DAY(QTR_R_OIL_BOE,"&amp;Current_Quarter&amp;")"),_xll.FDS($A31,"FF_OG_PROD_TOT_NET(QTR_R_OIL_BOE,"&amp;Current_Quarter&amp;")")/Inputs!$C$20),0)</f>
        <v>44.304000000000002</v>
      </c>
      <c r="D31" s="15">
        <f>IFERROR(IFERROR(_xll.FDS($A31,"FF_OG_PROD_DAY(QTR_R_NG_CFE,"&amp;Current_Quarter&amp;")")/1000,_xll.FDS($A31,"FF_OG_PROD_TOT_NET(QTR_R_NG_CFE,"&amp;Current_Quarter&amp;")")/1000/Inputs!$C$20),0)</f>
        <v>44.927999999999997</v>
      </c>
      <c r="E31" s="15">
        <f>IFERROR(IFERROR(_xll.FDS($A31,"FF_OG_PROD_DAY(QTR_R_NGL_BOE,"&amp;Current_Quarter&amp;")"),_xll.FDS($A31,"FF_OG_PROD_TOT_NET(QTR_R_NGL_BOE,"&amp;Current_Quarter&amp;")")/Inputs!$C$20),0)</f>
        <v>10.608000000000001</v>
      </c>
      <c r="F31" s="14">
        <f>+C31+D31/6+E31</f>
        <v>62.400000000000006</v>
      </c>
      <c r="G31" s="21">
        <f>(C31*Inputs!$C$15+D31*Inputs!$C$16+E31*Inputs!$C$17)*Inputs!$C$20</f>
        <v>284284.41600000003</v>
      </c>
      <c r="H31" s="19">
        <f>+G31/(F31*92)</f>
        <v>49.52</v>
      </c>
      <c r="I31" s="19">
        <f>_xll.FDS($A31,"FF_OG_PROD_EXP(QTR_R,"&amp;Current_Quarter&amp;")")/($F31*Inputs!$C$20/1000)</f>
        <v>8.9222756410256405</v>
      </c>
      <c r="J31" s="19">
        <f>_xll.FDS($A31,"FF_DEP_AMORT_EXP(QTR_R,"&amp;Current_Quarter&amp;")")/($F31*Inputs!$C$20/1000)</f>
        <v>22.687604515050168</v>
      </c>
      <c r="K31" s="19">
        <f>_xll.FDS($A31,"FF_SGA(QTR_R,"&amp;Current_Quarter&amp;")")/($F31*Inputs!$C$20/1000)</f>
        <v>1.9566959308807135</v>
      </c>
      <c r="L31" s="19">
        <f>+H31-I31-K31</f>
        <v>38.641028428093648</v>
      </c>
      <c r="M31" s="19">
        <f>+H31-I31-J31-K31</f>
        <v>15.95342391304348</v>
      </c>
      <c r="N31" s="14">
        <f>IFERROR(IFERROR(_xll.FDS($A31,"FF_OG_PROD_DAY(QTR_R_OIL_BOE,"&amp;Prev_Quarter&amp;")"),_xll.FDS($A31,"FF_OG_PROD_TOT_NET(QTR_R_OIL_BOE,"&amp;Prev_Quarter&amp;")")/Inputs!$C$20),0)</f>
        <v>41.841700000000003</v>
      </c>
      <c r="O31" s="15">
        <f>IFERROR(IFERROR(_xll.FDS($A31,"FF_OG_PROD_DAY(QTR_R_NG_CFE,"&amp;Prev_Quarter&amp;")")/1000,_xll.FDS($A31,"FF_OG_PROD_TOT_NET(QTR_R_NG_CFE,"&amp;Prev_Quarter&amp;")")/1000/Inputs!$C$20),0)</f>
        <v>45.96696</v>
      </c>
      <c r="P31" s="15">
        <f>IFERROR(IFERROR(_xll.FDS($A31,"FF_OG_PROD_DAY(QTR_R_NGL_BOE,"&amp;Prev_Quarter&amp;")"),_xll.FDS($A31,"FF_OG_PROD_TOT_NET(QTR_R_NGL_BOE,"&amp;Prev_Quarter&amp;")")/Inputs!$C$20),0)</f>
        <v>9.4291</v>
      </c>
      <c r="Q31" s="14">
        <f>+N31+O31/6+P31</f>
        <v>58.931960000000004</v>
      </c>
      <c r="R31" s="27">
        <f>+F31/Q31-1</f>
        <v>5.8848203928734133E-2</v>
      </c>
      <c r="S31" s="15">
        <f>_xll.FDS(A31,"FF_OG_AREA_TOT(ANN_R_GROSS_ACRE,"&amp;Current_Quarter&amp;")")/1000</f>
        <v>142.108</v>
      </c>
      <c r="T31" s="15">
        <f>_xll.FDS(A31,"FF_OG_AREA_TOT(ANN_R_NET_ACRE,"&amp;Current_Quarter&amp;")")/1000</f>
        <v>91.887</v>
      </c>
      <c r="U31" s="29">
        <f>_xll.FDS($A31,"FG_PRICE("&amp;Date&amp;")")</f>
        <v>47.89</v>
      </c>
      <c r="V31" s="29">
        <f>_xll.FDS($A31,"RTP_PRICE_HIGH_52W")</f>
        <v>48.35</v>
      </c>
      <c r="W31" s="26">
        <f>+U31/V31-1</f>
        <v>-9.5139607032057594E-3</v>
      </c>
      <c r="X31" s="31">
        <f>_xll.FDS($A31,"OS_SEC_SI_PCTFLT(0D)")/100</f>
        <v>4.8189085065199505E-2</v>
      </c>
      <c r="Y31" s="30">
        <f>_xll.FDS($A31,"FREF_MARKET_VALUE_COMPANY("&amp;Date&amp;",,,,,0)")</f>
        <v>7634.8150697790552</v>
      </c>
      <c r="Z31" s="30">
        <f>_xll.FDS($A31,"FF_CASH_ONLY(QTR,0)")</f>
        <v>38.101999999999997</v>
      </c>
      <c r="AA31" s="30">
        <f>_xll.FDS($A31,"FF_DEBT(QTR,0)")</f>
        <v>1509.1279999999999</v>
      </c>
      <c r="AB31" s="30">
        <f>+AA31+Y31-Z31</f>
        <v>9105.841069779055</v>
      </c>
      <c r="AC31" s="15">
        <f>_xll.FDS($A31,"FF_OG_RSRV_PROVED_DEV_NET(ANN_R_OIL_BOE,0)")</f>
        <v>106.66800000000001</v>
      </c>
      <c r="AD31" s="15">
        <f>_xll.FDS($A31,"FF_OG_RSRV_PROVED_DEV_NET(ANN_R_NG_CFE,0)")/1000</f>
        <v>133.11600000000001</v>
      </c>
      <c r="AE31" s="15">
        <f>IFERROR(_xll.FDS($A31,"FF_OG_RSRV_PROVED_DEV_NET(ANN_R_NGL_BOE,0)"),0)</f>
        <v>30.161999999999999</v>
      </c>
      <c r="AF31" s="15">
        <f>+AC31+AD31/6+AE31</f>
        <v>159.01600000000002</v>
      </c>
      <c r="AG31" s="15">
        <f>_xll.FDS($A31,"FF_OG_RSRV_PROVED_UNDEV_NET(ANN_R_OIL_BOE,0)")</f>
        <v>154.667</v>
      </c>
      <c r="AH31" s="15">
        <f>_xll.FDS($A31,"FF_OG_RSRV_PROVED_UNDEV_NET(ANN_R_NG_CFE,0)")/1000</f>
        <v>161.90299999999999</v>
      </c>
      <c r="AI31" s="15">
        <f>IFERROR(_xll.FDS($A31,"FF_OG_RSRV_PROVED_UNDEV_NET(ANN_R_NGL_BOE,0)"),0)</f>
        <v>35.274999999999999</v>
      </c>
      <c r="AJ31" s="15">
        <f>+AG31+AH31/6+AI31</f>
        <v>216.92583333333334</v>
      </c>
      <c r="AK31" s="15">
        <f>IF((AJ31+AF31)/_xll.FDS($A31,"FF_OG_TOT_RSRV_PROVED_NET(ANN_R_BOE,0)")-1&lt;0.01,AJ31+AF31,"CHECK RESERVES")</f>
        <v>375.94183333333336</v>
      </c>
      <c r="AL31" s="26">
        <f>+AJ31/AK31</f>
        <v>0.57701967192619774</v>
      </c>
      <c r="AM31" s="39" t="e">
        <f>_xll.FDS($A31,"FE_GUIDANCE(PROD_DAY_OIL_ONLY,MIDPOINT,ANNUAL,+2,0,,,'')")</f>
        <v>#N/A</v>
      </c>
      <c r="AN31" s="39" t="e">
        <f>_xll.FDS($A31,"FE_GUIDANCE(PRODPERDAY,MIDPOINT,ANNUAL,+2,0,,,'')")</f>
        <v>#N/A</v>
      </c>
      <c r="AO31" s="39" t="e">
        <f>_xll.FDS($A31,"FE_GUIDANCE(TOTAL_PROD,MIDPOINT,ANNUAL,+2,0,,,'')")</f>
        <v>#N/A</v>
      </c>
      <c r="AP31" s="39" t="e">
        <f>_xll.FDS($A31,"FE_GUIDANCE(CAPEX,MIDPOINT,ANNUAL,+2,0,,,'')")</f>
        <v>#N/A</v>
      </c>
      <c r="AQ31" s="39" t="str">
        <f>_xll.FDS($A31,"FE_GUIDANCE_DATE(DATEN,CAPEX,ANNUAL,2018,'MM/DD/YYYY',0)")</f>
        <v>02/28/2018</v>
      </c>
    </row>
    <row r="32" spans="1:43" ht="18.75" x14ac:dyDescent="0.3">
      <c r="A32" s="12" t="s">
        <v>18</v>
      </c>
      <c r="B32" s="13" t="str">
        <f>_xll.FDS($A32,"FG_COMPANY_NAME")</f>
        <v>SM Energy Company</v>
      </c>
      <c r="C32" s="14">
        <f>IFERROR(IFERROR(_xll.FDS($A32,"FF_OG_PROD_DAY(QTR_R_OIL_BOE,"&amp;Current_Quarter&amp;")"),_xll.FDS($A32,"FF_OG_PROD_TOT_NET(QTR_R_OIL_BOE,"&amp;Current_Quarter&amp;")")/Inputs!$C$20),0)</f>
        <v>41.5</v>
      </c>
      <c r="D32" s="15">
        <f>IFERROR(IFERROR(_xll.FDS($A32,"FF_OG_PROD_DAY(QTR_R_NG_CFE,"&amp;Current_Quarter&amp;")")/1000,_xll.FDS($A32,"FF_OG_PROD_TOT_NET(QTR_R_NG_CFE,"&amp;Current_Quarter&amp;")")/1000/Inputs!$C$20),0)</f>
        <v>282.5</v>
      </c>
      <c r="E32" s="15">
        <f>IFERROR(IFERROR(_xll.FDS($A32,"FF_OG_PROD_DAY(QTR_R_NGL_BOE,"&amp;Current_Quarter&amp;")"),_xll.FDS($A32,"FF_OG_PROD_TOT_NET(QTR_R_NGL_BOE,"&amp;Current_Quarter&amp;")")/Inputs!$C$20),0)</f>
        <v>24</v>
      </c>
      <c r="F32" s="14">
        <f>+C32+D32/6+E32</f>
        <v>112.58333333333334</v>
      </c>
      <c r="G32" s="21">
        <f>(C32*Inputs!$C$15+D32*Inputs!$C$16+E32*Inputs!$C$17)*Inputs!$C$20</f>
        <v>368874</v>
      </c>
      <c r="H32" s="19">
        <f>+G32/(F32*92)</f>
        <v>35.613619541080674</v>
      </c>
      <c r="I32" s="19">
        <f>(507.9-385.1)/($F32*Inputs!$C$20/1000)</f>
        <v>11.855952112766705</v>
      </c>
      <c r="J32" s="19">
        <f>_xll.FDS($A32,"FF_DEP_AMORT_EXP(QTR_R,"&amp;Current_Quarter&amp;")")/($F32*Inputs!$C$20/1000)</f>
        <v>14.085122131754254</v>
      </c>
      <c r="K32" s="19">
        <f>_xll.FDS($A32,"FF_SGA(QTR_R,"&amp;Current_Quarter&amp;")")/($F32*Inputs!$C$20/1000)</f>
        <v>3.3811669294886229</v>
      </c>
      <c r="L32" s="19">
        <f>+H32-I32-K32</f>
        <v>20.376500498825347</v>
      </c>
      <c r="M32" s="19">
        <f>+H32-I32-J32-K32</f>
        <v>6.2913783670710917</v>
      </c>
      <c r="N32" s="14">
        <f>IFERROR(IFERROR(_xll.FDS($A32,"FF_OG_PROD_DAY(QTR_R_OIL_BOE,"&amp;Prev_Quarter&amp;")"),_xll.FDS($A32,"FF_OG_PROD_TOT_NET(QTR_R_OIL_BOE,"&amp;Prev_Quarter&amp;")")/Inputs!$C$20),0)</f>
        <v>37.1</v>
      </c>
      <c r="O32" s="15">
        <f>IFERROR(IFERROR(_xll.FDS($A32,"FF_OG_PROD_DAY(QTR_R_NG_CFE,"&amp;Prev_Quarter&amp;")")/1000,_xll.FDS($A32,"FF_OG_PROD_TOT_NET(QTR_R_NG_CFE,"&amp;Prev_Quarter&amp;")")/1000/Inputs!$C$20),0)</f>
        <v>316.10000000000002</v>
      </c>
      <c r="P32" s="15">
        <f>IFERROR(IFERROR(_xll.FDS($A32,"FF_OG_PROD_DAY(QTR_R_NGL_BOE,"&amp;Prev_Quarter&amp;")"),_xll.FDS($A32,"FF_OG_PROD_TOT_NET(QTR_R_NGL_BOE,"&amp;Prev_Quarter&amp;")")/Inputs!$C$20),0)</f>
        <v>26.2</v>
      </c>
      <c r="Q32" s="14">
        <f>+N32+O32/6+P32</f>
        <v>115.98333333333333</v>
      </c>
      <c r="R32" s="27">
        <f>+F32/Q32-1</f>
        <v>-2.9314556689179372E-2</v>
      </c>
      <c r="S32" s="15">
        <f>_xll.FDS(A32,"FF_OG_AREA_TOT(ANN_R_GROSS_ACRE,"&amp;Current_Quarter&amp;")")/1000</f>
        <v>918.52599999999995</v>
      </c>
      <c r="T32" s="15">
        <f>_xll.FDS(A32,"FF_OG_AREA_TOT(ANN_R_NET_ACRE,"&amp;Current_Quarter&amp;")")/1000</f>
        <v>719.70600000000002</v>
      </c>
      <c r="U32" s="29">
        <f>_xll.FDS($A32,"FG_PRICE("&amp;Date&amp;")")</f>
        <v>20.81</v>
      </c>
      <c r="V32" s="29">
        <f>_xll.FDS($A32,"RTP_PRICE_HIGH_52W")</f>
        <v>28.2</v>
      </c>
      <c r="W32" s="26">
        <f>+U32/V32-1</f>
        <v>-0.26205673758865256</v>
      </c>
      <c r="X32" s="31">
        <f>_xll.FDS($A32,"OS_SEC_SI_PCTFLT(0D)")/100</f>
        <v>0.20069677641777481</v>
      </c>
      <c r="Y32" s="30">
        <f>_xll.FDS($A32,"FREF_MARKET_VALUE_COMPANY("&amp;Date&amp;",,,,,0)")</f>
        <v>2322.8953918176271</v>
      </c>
      <c r="Z32" s="30">
        <f>_xll.FDS($A32,"FF_CASH_ONLY(QTR,0)")</f>
        <v>313.94299999999998</v>
      </c>
      <c r="AA32" s="30">
        <f>_xll.FDS($A32,"FF_DEBT(QTR,0)")</f>
        <v>2908.77</v>
      </c>
      <c r="AB32" s="30">
        <f>+AA32+Y32-Z32</f>
        <v>4917.7223918176269</v>
      </c>
      <c r="AC32" s="15">
        <f>_xll.FDS($A32,"FF_OG_RSRV_PROVED_DEV_NET(ANN_R_OIL_BOE,0)")</f>
        <v>58.6</v>
      </c>
      <c r="AD32" s="15">
        <f>_xll.FDS($A32,"FF_OG_RSRV_PROVED_DEV_NET(ANN_R_NG_CFE,0)")/1000</f>
        <v>642.9</v>
      </c>
      <c r="AE32" s="15">
        <f>IFERROR(_xll.FDS($A32,"FF_OG_RSRV_PROVED_DEV_NET(ANN_R_NGL_BOE,0)"),0)</f>
        <v>49</v>
      </c>
      <c r="AF32" s="15">
        <f>+AC32+AD32/6+AE32</f>
        <v>214.75</v>
      </c>
      <c r="AG32" s="15">
        <f>_xll.FDS($A32,"FF_OG_RSRV_PROVED_UNDEV_NET(ANN_R_OIL_BOE,0)")</f>
        <v>99.6</v>
      </c>
      <c r="AH32" s="15">
        <f>_xll.FDS($A32,"FF_OG_RSRV_PROVED_UNDEV_NET(ANN_R_NG_CFE,0)")/1000</f>
        <v>637.20000000000005</v>
      </c>
      <c r="AI32" s="15">
        <f>IFERROR(_xll.FDS($A32,"FF_OG_RSRV_PROVED_UNDEV_NET(ANN_R_NGL_BOE,0)"),0)</f>
        <v>47.6</v>
      </c>
      <c r="AJ32" s="15">
        <f>+AG32+AH32/6+AI32</f>
        <v>253.4</v>
      </c>
      <c r="AK32" s="15">
        <f>IF((AJ32+AF32)/_xll.FDS($A32,"FF_OG_TOT_RSRV_PROVED_NET(ANN_R_BOE,0)")-1&lt;0.01,AJ32+AF32,"CHECK RESERVES")</f>
        <v>468.15</v>
      </c>
      <c r="AL32" s="26">
        <f>+AJ32/AK32</f>
        <v>0.54127950443234008</v>
      </c>
      <c r="AM32" s="39" t="e">
        <f>_xll.FDS($A32,"FE_GUIDANCE(PROD_DAY_OIL_ONLY,MIDPOINT,ANNUAL,+2,0,,,'')")</f>
        <v>#N/A</v>
      </c>
      <c r="AN32" s="39" t="e">
        <f>_xll.FDS($A32,"FE_GUIDANCE(PRODPERDAY,MIDPOINT,ANNUAL,+2,0,,,'')")</f>
        <v>#N/A</v>
      </c>
      <c r="AO32" s="39" t="e">
        <f>_xll.FDS($A32,"FE_GUIDANCE(TOTAL_PROD,MIDPOINT,ANNUAL,+2,0,,,'')")</f>
        <v>#N/A</v>
      </c>
      <c r="AP32" s="39" t="e">
        <f>_xll.FDS($A32,"FE_GUIDANCE(CAPEX,MIDPOINT,ANNUAL,+2,0,,,'')")</f>
        <v>#N/A</v>
      </c>
      <c r="AQ32" s="39" t="str">
        <f>_xll.FDS($A32,"FE_GUIDANCE_DATE(DATEN,CAPEX,ANNUAL,2018,'MM/DD/YYYY',0)")</f>
        <v>02/22/2018</v>
      </c>
    </row>
    <row r="33" spans="1:43" ht="18.75" x14ac:dyDescent="0.3">
      <c r="A33" s="12" t="s">
        <v>88</v>
      </c>
      <c r="B33" s="13" t="str">
        <f>_xll.FDS($A33,"FG_COMPANY_NAME")</f>
        <v>U.S. Energy Corp.</v>
      </c>
      <c r="C33" s="14">
        <f>IFERROR(IFERROR(_xll.FDS($A33,"FF_OG_PROD_DAY(QTR_R_OIL_BOE,"&amp;Current_Quarter&amp;")"),_xll.FDS($A33,"FF_OG_PROD_TOT_NET(QTR_R_OIL_BOE,"&amp;Current_Quarter&amp;")")/Inputs!$C$20),0)</f>
        <v>0.18342391304347827</v>
      </c>
      <c r="D33" s="15">
        <f>IFERROR(IFERROR(_xll.FDS($A33,"FF_OG_PROD_DAY(QTR_R_NG_CFE,"&amp;Current_Quarter&amp;")")/1000,_xll.FDS($A33,"FF_OG_PROD_TOT_NET(QTR_R_NG_CFE,"&amp;Current_Quarter&amp;")")/1000/Inputs!$C$20),0)</f>
        <v>1.2333586956521738</v>
      </c>
      <c r="E33" s="15">
        <f>IFERROR(IFERROR(_xll.FDS($A33,"FF_OG_PROD_DAY(QTR_R_NGL_BOE,"&amp;Current_Quarter&amp;")"),_xll.FDS($A33,"FF_OG_PROD_TOT_NET(QTR_R_NGL_BOE,"&amp;Current_Quarter&amp;")")/Inputs!$C$20),0)</f>
        <v>0</v>
      </c>
      <c r="F33" s="14">
        <f>+C33+D33/6+E33</f>
        <v>0.38898369565217394</v>
      </c>
      <c r="G33" s="21">
        <f>(C33*Inputs!$C$15+D33*Inputs!$C$16+E33*Inputs!$C$17)*Inputs!$C$20</f>
        <v>1352.9069999999999</v>
      </c>
      <c r="H33" s="19">
        <f>+G33/(F33*92)</f>
        <v>37.804954382239103</v>
      </c>
      <c r="I33" s="19">
        <f>_xll.FDS($A33,"FF_OG_PROD_EXP(QTR_R,"&amp;Current_Quarter&amp;")")/($F33*Inputs!$C$20/1000)</f>
        <v>19.281013790116379</v>
      </c>
      <c r="J33" s="19">
        <f>_xll.FDS($A33,"FF_DEP_AMORT_EXP(QTR_R,"&amp;Current_Quarter&amp;")")/($F33*Inputs!$C$20/1000)</f>
        <v>4.6665642071730957</v>
      </c>
      <c r="K33" s="19">
        <f>_xll.FDS($A33,"FF_SGA(QTR_R,"&amp;Current_Quarter&amp;")")/($F33*Inputs!$C$20/1000)</f>
        <v>17.49262990233747</v>
      </c>
      <c r="L33" s="19">
        <f>+H33-I33-K33</f>
        <v>1.0313106897852542</v>
      </c>
      <c r="M33" s="19">
        <f>+H33-I33-J33-K33</f>
        <v>-3.6352535173878415</v>
      </c>
      <c r="N33" s="14">
        <f>IFERROR(IFERROR(_xll.FDS($A33,"FF_OG_PROD_DAY(QTR_R_OIL_BOE,"&amp;Prev_Quarter&amp;")"),_xll.FDS($A33,"FF_OG_PROD_TOT_NET(QTR_R_OIL_BOE,"&amp;Prev_Quarter&amp;")")/Inputs!$C$20),0)</f>
        <v>0.32608695652173914</v>
      </c>
      <c r="O33" s="15">
        <f>IFERROR(IFERROR(_xll.FDS($A33,"FF_OG_PROD_DAY(QTR_R_NG_CFE,"&amp;Prev_Quarter&amp;")")/1000,_xll.FDS($A33,"FF_OG_PROD_TOT_NET(QTR_R_NG_CFE,"&amp;Prev_Quarter&amp;")")/1000/Inputs!$C$20),0)</f>
        <v>0.82413043478260861</v>
      </c>
      <c r="P33" s="15">
        <f>IFERROR(IFERROR(_xll.FDS($A33,"FF_OG_PROD_DAY(QTR_R_NGL_BOE,"&amp;Prev_Quarter&amp;")"),_xll.FDS($A33,"FF_OG_PROD_TOT_NET(QTR_R_NGL_BOE,"&amp;Prev_Quarter&amp;")")/Inputs!$C$20),0)</f>
        <v>0</v>
      </c>
      <c r="Q33" s="14">
        <f>+N33+O33/6+P33</f>
        <v>0.46344202898550724</v>
      </c>
      <c r="R33" s="27">
        <f>+F33/Q33-1</f>
        <v>-0.16066374794777571</v>
      </c>
      <c r="S33" s="15">
        <f>_xll.FDS(A33,"FF_OG_AREA_TOT(ANN_R_GROSS_ACRE,"&amp;Current_Quarter&amp;")")/1000</f>
        <v>95.078000000000003</v>
      </c>
      <c r="T33" s="15">
        <f>_xll.FDS(A33,"FF_OG_AREA_TOT(ANN_R_NET_ACRE,"&amp;Current_Quarter&amp;")")/1000</f>
        <v>4.7439999999999998</v>
      </c>
      <c r="U33" s="29">
        <f>_xll.FDS($A33,"FG_PRICE("&amp;Date&amp;")")</f>
        <v>1.1399999999999999</v>
      </c>
      <c r="V33" s="29">
        <f>_xll.FDS($A33,"RTP_PRICE_HIGH_52W")</f>
        <v>1.96</v>
      </c>
      <c r="W33" s="26">
        <f>+U33/V33-1</f>
        <v>-0.41836734693877553</v>
      </c>
      <c r="X33" s="31">
        <f>_xll.FDS($A33,"OS_SEC_SI_PCTFLT(0D)")/100</f>
        <v>7.5715347896560443</v>
      </c>
      <c r="Y33" s="30">
        <f>_xll.FDS($A33,"FREF_MARKET_VALUE_COMPANY("&amp;Date&amp;",,,,,0)")</f>
        <v>14.18273980463505</v>
      </c>
      <c r="Z33" s="30">
        <f>_xll.FDS($A33,"FF_CASH_ONLY(QTR,0)")</f>
        <v>3.2770000000000001</v>
      </c>
      <c r="AA33" s="30">
        <f>_xll.FDS($A33,"FF_DEBT(QTR,0)")</f>
        <v>1.5369999999999999</v>
      </c>
      <c r="AB33" s="30">
        <f>+AA33+Y33-Z33</f>
        <v>12.44273980463505</v>
      </c>
      <c r="AC33" s="15">
        <f>_xll.FDS($A33,"FF_OG_RSRV_PROVED_DEV_NET(ANN_R_OIL_BOE,0)")</f>
        <v>0.67600000000000005</v>
      </c>
      <c r="AD33" s="15">
        <f>_xll.FDS($A33,"FF_OG_RSRV_PROVED_DEV_NET(ANN_R_NG_CFE,0)")/1000</f>
        <v>0.88850699999999994</v>
      </c>
      <c r="AE33" s="15">
        <f>IFERROR(_xll.FDS($A33,"FF_OG_RSRV_PROVED_DEV_NET(ANN_R_NGL_BOE,0)"),0)</f>
        <v>0</v>
      </c>
      <c r="AF33" s="15">
        <f>+AC33+AD33/6+AE33</f>
        <v>0.8240845</v>
      </c>
      <c r="AG33" s="15" t="e">
        <f>_xll.FDS($A33,"FF_OG_RSRV_PROVED_UNDEV_NET(ANN_R_OIL_BOE,0)")</f>
        <v>#N/A</v>
      </c>
      <c r="AH33" s="15" t="e">
        <f>_xll.FDS($A33,"FF_OG_RSRV_PROVED_UNDEV_NET(ANN_R_NG_CFE,0)")/1000</f>
        <v>#N/A</v>
      </c>
      <c r="AI33" s="15">
        <f>IFERROR(_xll.FDS($A33,"FF_OG_RSRV_PROVED_UNDEV_NET(ANN_R_NGL_BOE,0)"),0)</f>
        <v>0</v>
      </c>
      <c r="AJ33" s="15" t="e">
        <f>+AG33+AH33/6+AI33</f>
        <v>#N/A</v>
      </c>
      <c r="AK33" s="15" t="e">
        <f>IF((AJ33+AF33)/_xll.FDS($A33,"FF_OG_TOT_RSRV_PROVED_NET(ANN_R_BOE,0)")-1&lt;0.01,AJ33+AF33,"CHECK RESERVES")</f>
        <v>#N/A</v>
      </c>
      <c r="AL33" s="26" t="e">
        <f>+AJ33/AK33</f>
        <v>#N/A</v>
      </c>
      <c r="AM33" s="39" t="e">
        <f>_xll.FDS($A33,"FE_GUIDANCE(PROD_DAY_OIL_ONLY,MIDPOINT,ANNUAL,+2,0,,,'')")</f>
        <v>#N/A</v>
      </c>
      <c r="AN33" s="39" t="e">
        <f>_xll.FDS($A33,"FE_GUIDANCE(PRODPERDAY,MIDPOINT,ANNUAL,+2,0,,,'')")</f>
        <v>#N/A</v>
      </c>
      <c r="AO33" s="39" t="e">
        <f>_xll.FDS($A33,"FE_GUIDANCE(TOTAL_PROD,MIDPOINT,ANNUAL,+2,0,,,'')")</f>
        <v>#N/A</v>
      </c>
      <c r="AP33" s="39" t="e">
        <f>_xll.FDS($A33,"FE_GUIDANCE(CAPEX,MIDPOINT,ANNUAL,+2,0,,,'')")</f>
        <v>#N/A</v>
      </c>
      <c r="AQ33" s="39" t="e">
        <f>_xll.FDS($A33,"FE_GUIDANCE_DATE(DATEN,CAPEX,ANNUAL,2018,'MM/DD/YYYY',0)")</f>
        <v>#N/A</v>
      </c>
    </row>
    <row r="34" spans="1:43" ht="18.75" x14ac:dyDescent="0.3">
      <c r="A34" s="12" t="s">
        <v>14</v>
      </c>
      <c r="B34" s="13" t="str">
        <f>_xll.FDS($A34,"FG_COMPANY_NAME")</f>
        <v>WPX Energy, Inc. Class A</v>
      </c>
      <c r="C34" s="14">
        <f>IFERROR(IFERROR(_xll.FDS($A34,"FF_OG_PROD_DAY(QTR_R_OIL_BOE,"&amp;Current_Quarter&amp;")"),_xll.FDS($A34,"FF_OG_PROD_TOT_NET(QTR_R_OIL_BOE,"&amp;Current_Quarter&amp;")")/Inputs!$C$20),0)</f>
        <v>75.2</v>
      </c>
      <c r="D34" s="15">
        <f>IFERROR(IFERROR(_xll.FDS($A34,"FF_OG_PROD_DAY(QTR_R_NG_CFE,"&amp;Current_Quarter&amp;")")/1000,_xll.FDS($A34,"FF_OG_PROD_TOT_NET(QTR_R_NG_CFE,"&amp;Current_Quarter&amp;")")/1000/Inputs!$C$20),0)</f>
        <v>231</v>
      </c>
      <c r="E34" s="15">
        <f>IFERROR(IFERROR(_xll.FDS($A34,"FF_OG_PROD_DAY(QTR_R_NGL_BOE,"&amp;Current_Quarter&amp;")"),_xll.FDS($A34,"FF_OG_PROD_TOT_NET(QTR_R_NGL_BOE,"&amp;Current_Quarter&amp;")")/Inputs!$C$20),0)</f>
        <v>16.8</v>
      </c>
      <c r="F34" s="14">
        <f>+C34+D34/6+E34</f>
        <v>130.5</v>
      </c>
      <c r="G34" s="21">
        <f>(C34*Inputs!$C$15+D34*Inputs!$C$16+E34*Inputs!$C$17)*Inputs!$C$20</f>
        <v>522136.8</v>
      </c>
      <c r="H34" s="19">
        <f>+G34/(F34*92)</f>
        <v>43.489655172413791</v>
      </c>
      <c r="I34" s="19">
        <f>(_xll.FDS($A34,"FF_OG_PROD_EXP(QTR_R,"&amp;Current_Quarter&amp;")")+27)/($F34*Inputs!$C$20/1000)</f>
        <v>9.9950024987506243</v>
      </c>
      <c r="J34" s="19">
        <f>_xll.FDS($A34,"FF_DEP_AMORT_EXP(QTR_R,"&amp;Current_Quarter&amp;")")/($F34*Inputs!$C$20/1000)</f>
        <v>17.158087622855238</v>
      </c>
      <c r="K34" s="19">
        <f>_xll.FDS($A34,"FF_SGA(QTR_R,"&amp;Current_Quarter&amp;")")/($F34*Inputs!$C$20/1000)</f>
        <v>3.5815425620523071</v>
      </c>
      <c r="L34" s="19">
        <f>+H34-I34-K34</f>
        <v>29.913110111610862</v>
      </c>
      <c r="M34" s="19">
        <f>+H34-I34-J34-K34</f>
        <v>12.755022488755623</v>
      </c>
      <c r="N34" s="14">
        <f>IFERROR(IFERROR(_xll.FDS($A34,"FF_OG_PROD_DAY(QTR_R_OIL_BOE,"&amp;Prev_Quarter&amp;")"),_xll.FDS($A34,"FF_OG_PROD_TOT_NET(QTR_R_OIL_BOE,"&amp;Prev_Quarter&amp;")")/Inputs!$C$20),0)</f>
        <v>64.8</v>
      </c>
      <c r="O34" s="15">
        <f>IFERROR(IFERROR(_xll.FDS($A34,"FF_OG_PROD_DAY(QTR_R_NG_CFE,"&amp;Prev_Quarter&amp;")")/1000,_xll.FDS($A34,"FF_OG_PROD_TOT_NET(QTR_R_NG_CFE,"&amp;Prev_Quarter&amp;")")/1000/Inputs!$C$20),0)</f>
        <v>204</v>
      </c>
      <c r="P34" s="15">
        <f>IFERROR(IFERROR(_xll.FDS($A34,"FF_OG_PROD_DAY(QTR_R_NGL_BOE,"&amp;Prev_Quarter&amp;")"),_xll.FDS($A34,"FF_OG_PROD_TOT_NET(QTR_R_NGL_BOE,"&amp;Prev_Quarter&amp;")")/Inputs!$C$20),0)</f>
        <v>13.3</v>
      </c>
      <c r="Q34" s="14">
        <f>+N34+O34/6+P34</f>
        <v>112.1</v>
      </c>
      <c r="R34" s="27">
        <f>+F34/Q34-1</f>
        <v>0.16413916146297947</v>
      </c>
      <c r="S34" s="15">
        <f>_xll.FDS(A34,"FF_OG_AREA_TOT(ANN_R_GROSS_ACRE,"&amp;Current_Quarter&amp;")")/1000</f>
        <v>630.279</v>
      </c>
      <c r="T34" s="15">
        <f>_xll.FDS(A34,"FF_OG_AREA_TOT(ANN_R_NET_ACRE,"&amp;Current_Quarter&amp;")")/1000</f>
        <v>354.00900000000001</v>
      </c>
      <c r="U34" s="29">
        <f>_xll.FDS($A34,"FG_PRICE("&amp;Date&amp;")")</f>
        <v>15.83</v>
      </c>
      <c r="V34" s="29">
        <f>_xll.FDS($A34,"RTP_PRICE_HIGH_52W")</f>
        <v>16.09</v>
      </c>
      <c r="W34" s="26">
        <f>+U34/V34-1</f>
        <v>-1.6159105034182719E-2</v>
      </c>
      <c r="X34" s="31">
        <f>_xll.FDS($A34,"OS_SEC_SI_PCTFLT(0D)")/100</f>
        <v>8.3959919447592832E-2</v>
      </c>
      <c r="Y34" s="30">
        <f>_xll.FDS($A34,"FREF_MARKET_VALUE_COMPANY("&amp;Date&amp;",,,,,0)")</f>
        <v>6323.4994604901876</v>
      </c>
      <c r="Z34" s="30">
        <f>_xll.FDS($A34,"FF_CASH_ONLY(QTR,0)")</f>
        <v>201</v>
      </c>
      <c r="AA34" s="30">
        <f>_xll.FDS($A34,"FF_DEBT(QTR,0)")</f>
        <v>2575</v>
      </c>
      <c r="AB34" s="30">
        <f>+AA34+Y34-Z34</f>
        <v>8697.4994604901876</v>
      </c>
      <c r="AC34" s="15">
        <f>_xll.FDS($A34,"FF_OG_RSRV_PROVED_DEV_NET(ANN_R_OIL_BOE,0)")</f>
        <v>130.333</v>
      </c>
      <c r="AD34" s="15">
        <f>_xll.FDS($A34,"FF_OG_RSRV_PROVED_DEV_NET(ANN_R_NG_CFE,0)")/1000</f>
        <v>321.23099999999999</v>
      </c>
      <c r="AE34" s="15">
        <f>IFERROR(_xll.FDS($A34,"FF_OG_RSRV_PROVED_DEV_NET(ANN_R_NGL_BOE,0)"),0)</f>
        <v>38.813000000000002</v>
      </c>
      <c r="AF34" s="15">
        <f>+AC34+AD34/6+AE34</f>
        <v>222.68450000000001</v>
      </c>
      <c r="AG34" s="15">
        <f>_xll.FDS($A34,"FF_OG_RSRV_PROVED_UNDEV_NET(ANN_R_OIL_BOE,0)")</f>
        <v>133.33699999999999</v>
      </c>
      <c r="AH34" s="15">
        <f>_xll.FDS($A34,"FF_OG_RSRV_PROVED_UNDEV_NET(ANN_R_NG_CFE,0)")/1000</f>
        <v>269.78500000000003</v>
      </c>
      <c r="AI34" s="15">
        <f>IFERROR(_xll.FDS($A34,"FF_OG_RSRV_PROVED_UNDEV_NET(ANN_R_NGL_BOE,0)"),0)</f>
        <v>35.198</v>
      </c>
      <c r="AJ34" s="15">
        <f>+AG34+AH34/6+AI34</f>
        <v>213.49916666666667</v>
      </c>
      <c r="AK34" s="15">
        <f>IF((AJ34+AF34)/_xll.FDS($A34,"FF_OG_TOT_RSRV_PROVED_NET(ANN_R_BOE,0)")-1&lt;0.01,AJ34+AF34,"CHECK RESERVES")</f>
        <v>436.18366666666668</v>
      </c>
      <c r="AL34" s="26">
        <f>+AJ34/AK34</f>
        <v>0.48947079632356705</v>
      </c>
      <c r="AM34" s="39" t="e">
        <f>_xll.FDS($A34,"FE_GUIDANCE(PROD_DAY_OIL_ONLY,MIDPOINT,ANNUAL,+2,0,,,'')")</f>
        <v>#N/A</v>
      </c>
      <c r="AN34" s="39" t="e">
        <f>_xll.FDS($A34,"FE_GUIDANCE(PRODPERDAY,MIDPOINT,ANNUAL,+2,0,,,'')")</f>
        <v>#N/A</v>
      </c>
      <c r="AO34" s="39" t="e">
        <f>_xll.FDS($A34,"FE_GUIDANCE(TOTAL_PROD,MIDPOINT,ANNUAL,+2,0,,,'')")</f>
        <v>#N/A</v>
      </c>
      <c r="AP34" s="39" t="e">
        <f>_xll.FDS($A34,"FE_GUIDANCE(CAPEX,MIDPOINT,ANNUAL,+2,0,,,'')")</f>
        <v>#N/A</v>
      </c>
      <c r="AQ34" s="39" t="str">
        <f>_xll.FDS($A34,"FE_GUIDANCE_DATE(DATEN,CAPEX,ANNUAL,2018,'MM/DD/YYYY',0)")</f>
        <v>02/22/2018</v>
      </c>
    </row>
    <row r="35" spans="1:43" ht="18.75" x14ac:dyDescent="0.3">
      <c r="A35" s="12" t="s">
        <v>4</v>
      </c>
      <c r="B35" s="13" t="str">
        <f>_xll.FDS($A35,"FG_COMPANY_NAME")</f>
        <v>Cimarex Energy Co.</v>
      </c>
      <c r="C35" s="14">
        <f>IFERROR(IFERROR(_xll.FDS($A35,"FF_OG_PROD_DAY(QTR_R_OIL_BOE,"&amp;Current_Quarter&amp;")"),_xll.FDS($A35,"FF_OG_PROD_TOT_NET(QTR_R_OIL_BOE,"&amp;Current_Quarter&amp;")")/Inputs!$C$20),0)</f>
        <v>61.771000000000001</v>
      </c>
      <c r="D35" s="15">
        <f>IFERROR(IFERROR(_xll.FDS($A35,"FF_OG_PROD_DAY(QTR_R_NG_CFE,"&amp;Current_Quarter&amp;")")/1000,_xll.FDS($A35,"FF_OG_PROD_TOT_NET(QTR_R_NG_CFE,"&amp;Current_Quarter&amp;")")/1000/Inputs!$C$20),0)</f>
        <v>534</v>
      </c>
      <c r="E35" s="15">
        <f>IFERROR(IFERROR(_xll.FDS($A35,"FF_OG_PROD_DAY(QTR_R_NGL_BOE,"&amp;Current_Quarter&amp;")"),_xll.FDS($A35,"FF_OG_PROD_TOT_NET(QTR_R_NGL_BOE,"&amp;Current_Quarter&amp;")")/Inputs!$C$20),0)</f>
        <v>49.954000000000001</v>
      </c>
      <c r="F35" s="14">
        <f>+C35+D35/6+E35</f>
        <v>200.72500000000002</v>
      </c>
      <c r="G35" s="21">
        <f>(C35*Inputs!$C$15+D35*Inputs!$C$16+E35*Inputs!$C$17)*Inputs!$C$20</f>
        <v>617041.424</v>
      </c>
      <c r="H35" s="19">
        <f>+G35/(F35*92)</f>
        <v>33.413735209864242</v>
      </c>
      <c r="I35" s="19">
        <f>(_xll.FDS($A35,"FF_OG_PROD_EXP(QTR_R,"&amp;Current_Quarter&amp;")")+59.61)/($F35*Inputs!$C$20/1000)</f>
        <v>8.5635766000422393</v>
      </c>
      <c r="J35" s="19">
        <f>_xll.FDS($A35,"FF_DEP_AMORT_EXP(QTR_R,"&amp;Current_Quarter&amp;")")/($F35*Inputs!$C$20/1000)</f>
        <v>7.7156178418450514</v>
      </c>
      <c r="K35" s="19">
        <f>_xll.FDS($A35,"FF_SGA(QTR_R,"&amp;Current_Quarter&amp;")")/($F35*Inputs!$C$20/1000)</f>
        <v>1.5053041420502851</v>
      </c>
      <c r="L35" s="19">
        <f>+H35-I35-K35</f>
        <v>23.344854467771718</v>
      </c>
      <c r="M35" s="19">
        <f>+H35-I35-J35-K35</f>
        <v>15.629236625926666</v>
      </c>
      <c r="N35" s="14">
        <f>IFERROR(IFERROR(_xll.FDS($A35,"FF_OG_PROD_DAY(QTR_R_OIL_BOE,"&amp;Prev_Quarter&amp;")"),_xll.FDS($A35,"FF_OG_PROD_TOT_NET(QTR_R_OIL_BOE,"&amp;Prev_Quarter&amp;")")/Inputs!$C$20),0)</f>
        <v>56.686999999999998</v>
      </c>
      <c r="O35" s="15">
        <f>IFERROR(IFERROR(_xll.FDS($A35,"FF_OG_PROD_DAY(QTR_R_NG_CFE,"&amp;Prev_Quarter&amp;")")/1000,_xll.FDS($A35,"FF_OG_PROD_TOT_NET(QTR_R_NG_CFE,"&amp;Prev_Quarter&amp;")")/1000/Inputs!$C$20),0)</f>
        <v>515.9</v>
      </c>
      <c r="P35" s="15">
        <f>IFERROR(IFERROR(_xll.FDS($A35,"FF_OG_PROD_DAY(QTR_R_NGL_BOE,"&amp;Prev_Quarter&amp;")"),_xll.FDS($A35,"FF_OG_PROD_TOT_NET(QTR_R_NGL_BOE,"&amp;Prev_Quarter&amp;")")/Inputs!$C$20),0)</f>
        <v>47.84</v>
      </c>
      <c r="Q35" s="14">
        <f>+N35+O35/6+P35</f>
        <v>190.51033333333334</v>
      </c>
      <c r="R35" s="27">
        <f>+F35/Q35-1</f>
        <v>5.361738908300695E-2</v>
      </c>
      <c r="S35" s="15">
        <f>_xll.FDS(A35,"FF_OG_AREA_TOT(ANN_R_GROSS_ACRE,"&amp;Current_Quarter&amp;")")/1000</f>
        <v>7353.5870000000004</v>
      </c>
      <c r="T35" s="15">
        <f>_xll.FDS(A35,"FF_OG_AREA_TOT(ANN_R_NET_ACRE,"&amp;Current_Quarter&amp;")")/1000</f>
        <v>6281.1149999999998</v>
      </c>
      <c r="U35" s="29">
        <f>_xll.FDS($A35,"FG_PRICE("&amp;Date&amp;")")</f>
        <v>96.32</v>
      </c>
      <c r="V35" s="29">
        <f>_xll.FDS($A35,"RTP_PRICE_HIGH_52W")</f>
        <v>130.16</v>
      </c>
      <c r="W35" s="26">
        <f>+U35/V35-1</f>
        <v>-0.25998770743700061</v>
      </c>
      <c r="X35" s="31">
        <f>_xll.FDS($A35,"OS_SEC_SI_PCTFLT(0D)")/100</f>
        <v>3.8068879604016649E-2</v>
      </c>
      <c r="Y35" s="30">
        <f>_xll.FDS($A35,"FREF_MARKET_VALUE_COMPANY("&amp;Date&amp;",,,,,0)")</f>
        <v>9192.3952028088388</v>
      </c>
      <c r="Z35" s="30">
        <f>_xll.FDS($A35,"FF_CASH_ONLY(QTR,0)")</f>
        <v>400.53399999999999</v>
      </c>
      <c r="AA35" s="30">
        <f>_xll.FDS($A35,"FF_DEBT(QTR,0)")</f>
        <v>1486.92</v>
      </c>
      <c r="AB35" s="30">
        <f>+AA35+Y35-Z35</f>
        <v>10278.781202808839</v>
      </c>
      <c r="AC35" s="15">
        <f>_xll.FDS($A35,"FF_OG_RSRV_PROVED_DEV_NET(ANN_R_OIL_BOE,0)")</f>
        <v>114.116</v>
      </c>
      <c r="AD35" s="15">
        <f>_xll.FDS($A35,"FF_OG_RSRV_PROVED_DEV_NET(ANN_R_NG_CFE,0)")/1000</f>
        <v>1334.51</v>
      </c>
      <c r="AE35" s="15">
        <f>IFERROR(_xll.FDS($A35,"FF_OG_RSRV_PROVED_DEV_NET(ANN_R_NGL_BOE,0)"),0)</f>
        <v>126.227</v>
      </c>
      <c r="AF35" s="15">
        <f>+AC35+AD35/6+AE35</f>
        <v>462.76133333333337</v>
      </c>
      <c r="AG35" s="15">
        <f>_xll.FDS($A35,"FF_OG_RSRV_PROVED_UNDEV_NET(ANN_R_OIL_BOE,0)")</f>
        <v>23.122</v>
      </c>
      <c r="AH35" s="15">
        <f>_xll.FDS($A35,"FF_OG_RSRV_PROVED_UNDEV_NET(ANN_R_NG_CFE,0)")/1000</f>
        <v>273.125</v>
      </c>
      <c r="AI35" s="15">
        <f>IFERROR(_xll.FDS($A35,"FF_OG_RSRV_PROVED_UNDEV_NET(ANN_R_NGL_BOE,0)"),0)</f>
        <v>27.632999999999999</v>
      </c>
      <c r="AJ35" s="15">
        <f>+AG35+AH35/6+AI35</f>
        <v>96.275833333333324</v>
      </c>
      <c r="AK35" s="15">
        <f>IF((AJ35+AF35)/_xll.FDS($A35,"FF_OG_TOT_RSRV_PROVED_NET(ANN_R_BOE,0)")-1&lt;0.01,AJ35+AF35,"CHECK RESERVES")</f>
        <v>559.03716666666674</v>
      </c>
      <c r="AL35" s="26">
        <f>+AJ35/AK35</f>
        <v>0.1722172318298455</v>
      </c>
      <c r="AM35" s="39" t="e">
        <f>_xll.FDS($A35,"FE_GUIDANCE(PROD_DAY_OIL_ONLY,MIDPOINT,ANNUAL,+2,0,,,'')")</f>
        <v>#N/A</v>
      </c>
      <c r="AN35" s="39" t="e">
        <f>_xll.FDS($A35,"FE_GUIDANCE(PRODPERDAY,MIDPOINT,ANNUAL,+2,0,,,'')")</f>
        <v>#N/A</v>
      </c>
      <c r="AO35" s="39" t="e">
        <f>_xll.FDS($A35,"FE_GUIDANCE(TOTAL_PROD,MIDPOINT,ANNUAL,+2,0,,,'')")</f>
        <v>#N/A</v>
      </c>
      <c r="AP35" s="39" t="e">
        <f>_xll.FDS($A35,"FE_GUIDANCE(CAPEX,MIDPOINT,ANNUAL,+2,0,,,'')")</f>
        <v>#N/A</v>
      </c>
      <c r="AQ35" s="39" t="e">
        <f>_xll.FDS($A35,"FE_GUIDANCE_DATE(DATEN,CAPEX,ANNUAL,2018,'MM/DD/YYYY',0)")</f>
        <v>#N/A</v>
      </c>
    </row>
    <row r="37" spans="1:43" x14ac:dyDescent="0.25">
      <c r="C37" s="10">
        <f>403000/92</f>
        <v>4380.434782608696</v>
      </c>
    </row>
    <row r="41" spans="1:43" ht="18.75" x14ac:dyDescent="0.3">
      <c r="I41" s="19"/>
    </row>
    <row r="44" spans="1:43" x14ac:dyDescent="0.25">
      <c r="G44" s="10"/>
      <c r="H44" s="10"/>
      <c r="I44" s="4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"/>
    </row>
    <row r="52" spans="9:9" x14ac:dyDescent="0.25">
      <c r="I52" s="49"/>
    </row>
    <row r="53" spans="9:9" x14ac:dyDescent="0.25">
      <c r="I53" s="49"/>
    </row>
    <row r="54" spans="9:9" x14ac:dyDescent="0.25">
      <c r="I54" s="49"/>
    </row>
    <row r="59" spans="9:9" ht="18.75" x14ac:dyDescent="0.3">
      <c r="I59" s="19"/>
    </row>
  </sheetData>
  <autoFilter ref="A1:AQ35">
    <sortState ref="A2:AQ35">
      <sortCondition ref="A1:A35"/>
    </sortState>
  </autoFilter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Net Back</vt:lpstr>
      <vt:lpstr>Production</vt:lpstr>
      <vt:lpstr>Reserves</vt:lpstr>
      <vt:lpstr>Acreage</vt:lpstr>
      <vt:lpstr>Pricing_Liquidity_Market Cap</vt:lpstr>
      <vt:lpstr>Production_Hedge</vt:lpstr>
      <vt:lpstr>Mean Oil Estimates</vt:lpstr>
      <vt:lpstr>Inputs</vt:lpstr>
      <vt:lpstr>Master</vt:lpstr>
      <vt:lpstr>Sheet1</vt:lpstr>
      <vt:lpstr>Current_Quarter</vt:lpstr>
      <vt:lpstr>Date</vt:lpstr>
      <vt:lpstr>Date_Formal</vt:lpstr>
      <vt:lpstr>Date_Full</vt:lpstr>
      <vt:lpstr>Day</vt:lpstr>
      <vt:lpstr>List_Day</vt:lpstr>
      <vt:lpstr>List_Month</vt:lpstr>
      <vt:lpstr>List_Year</vt:lpstr>
      <vt:lpstr>Month</vt:lpstr>
      <vt:lpstr>Prev_Quarter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Maupin</dc:creator>
  <cp:lastModifiedBy>David Maupin</cp:lastModifiedBy>
  <dcterms:created xsi:type="dcterms:W3CDTF">2017-12-06T21:51:31Z</dcterms:created>
  <dcterms:modified xsi:type="dcterms:W3CDTF">2018-04-18T21:21:07Z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