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2.xml" ContentType="application/vnd.openxmlformats-officedocument.spreadsheetml.comments+xml"/>
  <Override PartName="/xl/charts/chart11.xml" ContentType="application/vnd.openxmlformats-officedocument.drawingml.chart+xml"/>
  <Override PartName="/xl/charts/style3.xml" ContentType="application/vnd.ms-office.chartstyle+xml"/>
  <Override PartName="/xl/charts/colors3.xml" ContentType="application/vnd.ms-office.chartcolorstyle+xml"/>
  <Override PartName="/xl/charts/chart1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tables/table8.xml" ContentType="application/vnd.openxmlformats-officedocument.spreadsheetml.table+xml"/>
  <Override PartName="/xl/drawings/drawing5.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omments3.xml" ContentType="application/vnd.openxmlformats-officedocument.spreadsheetml.comments+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computingservices-my.sharepoint.com/personal/mb2784_bath_ac_uk/Documents/GBDP Group 16/CVR/Costing &amp; LCA/"/>
    </mc:Choice>
  </mc:AlternateContent>
  <xr:revisionPtr revIDLastSave="2423" documentId="8_{079C0EA0-6D26-4573-9113-57525C72BBC4}" xr6:coauthVersionLast="47" xr6:coauthVersionMax="47" xr10:uidLastSave="{8C53BE99-EC92-4D33-B723-1548A78F24F1}"/>
  <bookViews>
    <workbookView xWindow="28680" yWindow="-120" windowWidth="29040" windowHeight="15720" firstSheet="7" activeTab="15" xr2:uid="{059359D1-2AE4-4F3B-9878-C1016BAE433F}"/>
  </bookViews>
  <sheets>
    <sheet name="BreakEven" sheetId="12" r:id="rId1"/>
    <sheet name="ProfitLoss" sheetId="10" r:id="rId2"/>
    <sheet name="ProfitLoss2" sheetId="13" r:id="rId3"/>
    <sheet name="Income" sheetId="6" r:id="rId4"/>
    <sheet name="Income 2" sheetId="15" r:id="rId5"/>
    <sheet name="General Costs" sheetId="1" r:id="rId6"/>
    <sheet name="General Costs 2" sheetId="19" r:id="rId7"/>
    <sheet name="R&amp;D" sheetId="2" r:id="rId8"/>
    <sheet name="R&amp;D 2" sheetId="16" r:id="rId9"/>
    <sheet name="Manufacture" sheetId="3" r:id="rId10"/>
    <sheet name="Manufacture 2" sheetId="14" r:id="rId11"/>
    <sheet name="Product breakdown" sheetId="8" r:id="rId12"/>
    <sheet name="Machine utilisation" sheetId="11" r:id="rId13"/>
    <sheet name="Distribution &amp; Storage" sheetId="9" r:id="rId14"/>
    <sheet name="Taxes" sheetId="5" r:id="rId15"/>
    <sheet name="Taxes 2" sheetId="17" r:id="rId16"/>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5" i="3" l="1"/>
  <c r="G13" i="10"/>
  <c r="B83" i="3"/>
  <c r="E5" i="6"/>
  <c r="E5" i="15"/>
  <c r="D64" i="14"/>
  <c r="U82" i="8"/>
  <c r="U83" i="8"/>
  <c r="U84" i="8"/>
  <c r="U74" i="8"/>
  <c r="U75" i="8"/>
  <c r="U76" i="8"/>
  <c r="U77" i="8"/>
  <c r="U78" i="8"/>
  <c r="U79" i="8"/>
  <c r="U80" i="8"/>
  <c r="U81" i="8"/>
  <c r="E49" i="11"/>
  <c r="E42" i="11"/>
  <c r="E43" i="11"/>
  <c r="E44" i="11"/>
  <c r="E45" i="11"/>
  <c r="E46" i="11"/>
  <c r="E47" i="11"/>
  <c r="E48" i="11"/>
  <c r="E41" i="11"/>
  <c r="C48" i="11"/>
  <c r="C47" i="11"/>
  <c r="C46" i="11"/>
  <c r="C45" i="11"/>
  <c r="C44" i="11"/>
  <c r="C43" i="11"/>
  <c r="C42" i="11"/>
  <c r="B9" i="9"/>
  <c r="D9" i="9"/>
  <c r="F9" i="9"/>
  <c r="G9" i="9"/>
  <c r="B16" i="9" a="1"/>
  <c r="B16" i="9"/>
  <c r="F16" i="9"/>
  <c r="H16" i="9"/>
  <c r="B23" i="1" a="1"/>
  <c r="B23" i="1"/>
  <c r="D5" i="11"/>
  <c r="I5" i="11"/>
  <c r="N5" i="11"/>
  <c r="H24" i="11"/>
  <c r="I11" i="11"/>
  <c r="N11" i="11"/>
  <c r="H30" i="11"/>
  <c r="H33" i="11"/>
  <c r="C23" i="1"/>
  <c r="E23" i="1"/>
  <c r="H23" i="1"/>
  <c r="P23" i="5"/>
  <c r="O23" i="5"/>
  <c r="N23" i="5"/>
  <c r="M23" i="5"/>
  <c r="L23" i="5"/>
  <c r="K23" i="5"/>
  <c r="J23" i="5"/>
  <c r="I23" i="5"/>
  <c r="H23" i="5"/>
  <c r="Q23" i="5"/>
  <c r="G23" i="5"/>
  <c r="F23" i="5"/>
  <c r="E23" i="5"/>
  <c r="D23" i="5"/>
  <c r="C23" i="5"/>
  <c r="D63" i="3"/>
  <c r="D62" i="3"/>
  <c r="D61" i="3"/>
  <c r="D60" i="3"/>
  <c r="C23" i="19"/>
  <c r="D23" i="19"/>
  <c r="E23" i="19"/>
  <c r="F23" i="19"/>
  <c r="G23" i="19"/>
  <c r="H23" i="19"/>
  <c r="B23" i="19"/>
  <c r="B77" i="14"/>
  <c r="D77" i="14"/>
  <c r="C77" i="14"/>
  <c r="B47" i="14"/>
  <c r="B47" i="3"/>
  <c r="F47" i="3"/>
  <c r="H47" i="3"/>
  <c r="E47" i="3"/>
  <c r="E48" i="3"/>
  <c r="F48" i="3"/>
  <c r="H48" i="3"/>
  <c r="E49" i="3"/>
  <c r="F49" i="3"/>
  <c r="H49" i="3"/>
  <c r="E50" i="3"/>
  <c r="F50" i="3"/>
  <c r="H50" i="3"/>
  <c r="E51" i="3"/>
  <c r="F51" i="3"/>
  <c r="H51" i="3"/>
  <c r="E52" i="3"/>
  <c r="F52" i="3"/>
  <c r="H52" i="3"/>
  <c r="E53" i="3"/>
  <c r="F53" i="3"/>
  <c r="H53" i="3"/>
  <c r="H54" i="3"/>
  <c r="C14" i="3"/>
  <c r="C15" i="3"/>
  <c r="C16" i="3"/>
  <c r="C17" i="3"/>
  <c r="C18" i="3"/>
  <c r="C19" i="3"/>
  <c r="C20" i="3"/>
  <c r="B41" i="3"/>
  <c r="D41" i="3"/>
  <c r="C41" i="3"/>
  <c r="D76" i="3"/>
  <c r="G5" i="6"/>
  <c r="H5" i="6"/>
  <c r="D7" i="10"/>
  <c r="D8" i="10"/>
  <c r="D13" i="10"/>
  <c r="D11" i="10"/>
  <c r="D12" i="10"/>
  <c r="D14" i="10"/>
  <c r="D15" i="10"/>
  <c r="D17" i="10"/>
  <c r="G6" i="6"/>
  <c r="H6" i="6"/>
  <c r="C11" i="2"/>
  <c r="D21" i="10"/>
  <c r="D20" i="10" a="1"/>
  <c r="D20" i="10"/>
  <c r="D27" i="3"/>
  <c r="F5" i="11"/>
  <c r="K5" i="11"/>
  <c r="E5" i="11"/>
  <c r="J5" i="11"/>
  <c r="D28" i="3"/>
  <c r="D29" i="3"/>
  <c r="D30" i="3"/>
  <c r="D31" i="3"/>
  <c r="D32" i="3"/>
  <c r="D33" i="3"/>
  <c r="F11" i="11"/>
  <c r="K11" i="11"/>
  <c r="E11" i="11"/>
  <c r="J11" i="11"/>
  <c r="D34" i="3"/>
  <c r="D35" i="3"/>
  <c r="D22" i="10"/>
  <c r="D23" i="10"/>
  <c r="D25" i="10"/>
  <c r="D8" i="5"/>
  <c r="D13" i="5"/>
  <c r="D15" i="5"/>
  <c r="D7" i="5"/>
  <c r="D16" i="5"/>
  <c r="D18" i="5"/>
  <c r="D20" i="5"/>
  <c r="D25" i="5"/>
  <c r="D26" i="5"/>
  <c r="E7" i="10"/>
  <c r="E8" i="10"/>
  <c r="E12" i="10"/>
  <c r="E15" i="10"/>
  <c r="E17" i="10"/>
  <c r="B11" i="2"/>
  <c r="C21" i="10"/>
  <c r="C23" i="10"/>
  <c r="E25" i="10"/>
  <c r="E8" i="5"/>
  <c r="E13" i="5"/>
  <c r="D11" i="2"/>
  <c r="E15" i="5"/>
  <c r="E7" i="5"/>
  <c r="E16" i="5"/>
  <c r="E18" i="5"/>
  <c r="E20" i="5"/>
  <c r="E25" i="5"/>
  <c r="E26" i="5"/>
  <c r="F7" i="10"/>
  <c r="F8" i="10"/>
  <c r="H12" i="10"/>
  <c r="G11" i="10"/>
  <c r="G14" i="10"/>
  <c r="H15" i="10"/>
  <c r="F17" i="10"/>
  <c r="G7" i="6"/>
  <c r="H7" i="6"/>
  <c r="D12" i="2"/>
  <c r="H21" i="10"/>
  <c r="E27" i="3"/>
  <c r="G5" i="11"/>
  <c r="L5" i="11"/>
  <c r="E28" i="3"/>
  <c r="E29" i="3"/>
  <c r="E30" i="3"/>
  <c r="E31" i="3"/>
  <c r="E32" i="3"/>
  <c r="E33" i="3"/>
  <c r="G11" i="11"/>
  <c r="L11" i="11"/>
  <c r="E34" i="3"/>
  <c r="E35" i="3"/>
  <c r="G22" i="10"/>
  <c r="G20" i="10" a="1"/>
  <c r="G20" i="10"/>
  <c r="H23" i="10"/>
  <c r="F25" i="10"/>
  <c r="F8" i="5"/>
  <c r="F13" i="5"/>
  <c r="B12" i="2"/>
  <c r="F15" i="5"/>
  <c r="F7" i="5"/>
  <c r="F16" i="5"/>
  <c r="F18" i="5"/>
  <c r="F20" i="5"/>
  <c r="F25" i="5"/>
  <c r="F26" i="5"/>
  <c r="G7" i="10"/>
  <c r="G8" i="10"/>
  <c r="G12" i="10"/>
  <c r="G15" i="10"/>
  <c r="G17" i="10"/>
  <c r="C12" i="2"/>
  <c r="G21" i="10"/>
  <c r="G23" i="10"/>
  <c r="G25" i="10"/>
  <c r="G8" i="5"/>
  <c r="G13" i="5"/>
  <c r="G15" i="5"/>
  <c r="G7" i="5"/>
  <c r="G16" i="5"/>
  <c r="G18" i="5"/>
  <c r="G20" i="5"/>
  <c r="G25" i="5"/>
  <c r="G26" i="5"/>
  <c r="H7" i="10"/>
  <c r="H8" i="10"/>
  <c r="F12" i="10"/>
  <c r="F15" i="10"/>
  <c r="H17" i="10"/>
  <c r="F21" i="10"/>
  <c r="F23" i="10"/>
  <c r="H25" i="10"/>
  <c r="H8" i="5"/>
  <c r="H11" i="5"/>
  <c r="H13" i="5"/>
  <c r="H15" i="5"/>
  <c r="H21" i="5"/>
  <c r="H25" i="5"/>
  <c r="H26" i="5"/>
  <c r="I7" i="10"/>
  <c r="I8" i="10"/>
  <c r="J13" i="10"/>
  <c r="K12" i="10"/>
  <c r="J11" i="10"/>
  <c r="J14" i="10"/>
  <c r="K15" i="10"/>
  <c r="I17" i="10"/>
  <c r="G8" i="6"/>
  <c r="H8" i="6"/>
  <c r="D13" i="2"/>
  <c r="K21" i="10"/>
  <c r="F27" i="3"/>
  <c r="H5" i="11"/>
  <c r="M5" i="11"/>
  <c r="F28" i="3"/>
  <c r="F29" i="3"/>
  <c r="F30" i="3"/>
  <c r="F31" i="3"/>
  <c r="F32" i="3"/>
  <c r="F33" i="3"/>
  <c r="H11" i="11"/>
  <c r="M11" i="11"/>
  <c r="F34" i="3"/>
  <c r="F35" i="3"/>
  <c r="J22" i="10"/>
  <c r="J20" i="10" a="1"/>
  <c r="J20" i="10"/>
  <c r="K23" i="10"/>
  <c r="I25" i="10"/>
  <c r="I8" i="5"/>
  <c r="I13" i="5"/>
  <c r="B13" i="2"/>
  <c r="I15" i="5"/>
  <c r="I7" i="5"/>
  <c r="I16" i="5"/>
  <c r="I18" i="5"/>
  <c r="I20" i="5"/>
  <c r="I25" i="5"/>
  <c r="I26" i="5"/>
  <c r="J7" i="10"/>
  <c r="J8" i="10"/>
  <c r="J12" i="10"/>
  <c r="J15" i="10"/>
  <c r="J17" i="10"/>
  <c r="C13" i="2"/>
  <c r="J21" i="10"/>
  <c r="J23" i="10"/>
  <c r="J25" i="10"/>
  <c r="J8" i="5"/>
  <c r="J13" i="5"/>
  <c r="J15" i="5"/>
  <c r="J7" i="5"/>
  <c r="J16" i="5"/>
  <c r="J18" i="5"/>
  <c r="J20" i="5"/>
  <c r="J25" i="5"/>
  <c r="J26" i="5"/>
  <c r="K7" i="10"/>
  <c r="K8" i="10"/>
  <c r="I12" i="10"/>
  <c r="I15" i="10"/>
  <c r="K17" i="10"/>
  <c r="I21" i="10"/>
  <c r="I23" i="10"/>
  <c r="K25" i="10"/>
  <c r="K8" i="5"/>
  <c r="K11" i="5"/>
  <c r="K13" i="5"/>
  <c r="K15" i="5"/>
  <c r="K21" i="5"/>
  <c r="K25" i="5"/>
  <c r="K26" i="5"/>
  <c r="L7" i="10"/>
  <c r="L8" i="10"/>
  <c r="M13" i="10"/>
  <c r="N12" i="10"/>
  <c r="M11" i="10"/>
  <c r="M14" i="10"/>
  <c r="N15" i="10"/>
  <c r="L17" i="10"/>
  <c r="G9" i="6"/>
  <c r="H9" i="6"/>
  <c r="D14" i="2"/>
  <c r="N21" i="10"/>
  <c r="G27" i="3"/>
  <c r="G28" i="3"/>
  <c r="G29" i="3"/>
  <c r="G30" i="3"/>
  <c r="G31" i="3"/>
  <c r="G32" i="3"/>
  <c r="G33" i="3"/>
  <c r="G34" i="3"/>
  <c r="G35" i="3"/>
  <c r="M22" i="10"/>
  <c r="M20" i="10" a="1"/>
  <c r="M20" i="10"/>
  <c r="N23" i="10"/>
  <c r="L25" i="10"/>
  <c r="L8" i="5"/>
  <c r="L13" i="5"/>
  <c r="B14" i="2"/>
  <c r="L15" i="5"/>
  <c r="L7" i="5"/>
  <c r="L16" i="5"/>
  <c r="L18" i="5"/>
  <c r="L20" i="5"/>
  <c r="L25" i="5"/>
  <c r="L26" i="5"/>
  <c r="M7" i="10"/>
  <c r="M8" i="10"/>
  <c r="M12" i="10"/>
  <c r="M15" i="10"/>
  <c r="M17" i="10"/>
  <c r="C14" i="2"/>
  <c r="M21" i="10"/>
  <c r="M23" i="10"/>
  <c r="M25" i="10"/>
  <c r="M8" i="5"/>
  <c r="M13" i="5"/>
  <c r="M15" i="5"/>
  <c r="M7" i="5"/>
  <c r="M16" i="5"/>
  <c r="M18" i="5"/>
  <c r="M20" i="5"/>
  <c r="M25" i="5"/>
  <c r="M26" i="5"/>
  <c r="N7" i="10"/>
  <c r="N8" i="10"/>
  <c r="L12" i="10"/>
  <c r="L15" i="10"/>
  <c r="N17" i="10"/>
  <c r="L21" i="10"/>
  <c r="L23" i="10"/>
  <c r="N25" i="10"/>
  <c r="N8" i="5"/>
  <c r="N11" i="5"/>
  <c r="N13" i="5"/>
  <c r="N15" i="5"/>
  <c r="N21" i="5"/>
  <c r="N25" i="5"/>
  <c r="N26" i="5"/>
  <c r="O7" i="10"/>
  <c r="O8" i="10"/>
  <c r="P13" i="10"/>
  <c r="Q12" i="10"/>
  <c r="P11" i="10"/>
  <c r="P14" i="10"/>
  <c r="Q15" i="10"/>
  <c r="O17" i="10"/>
  <c r="P20" i="10" a="1"/>
  <c r="P20" i="10"/>
  <c r="H35" i="3"/>
  <c r="P22" i="10"/>
  <c r="Q23" i="10"/>
  <c r="O25" i="10"/>
  <c r="O8" i="5"/>
  <c r="O11" i="5"/>
  <c r="O13" i="5"/>
  <c r="O21" i="5"/>
  <c r="O25" i="5"/>
  <c r="O26" i="5"/>
  <c r="P7" i="10"/>
  <c r="P8" i="10"/>
  <c r="P12" i="10"/>
  <c r="P15" i="10"/>
  <c r="P17" i="10"/>
  <c r="P21" i="10"/>
  <c r="P23" i="10"/>
  <c r="P25" i="10"/>
  <c r="P8" i="5"/>
  <c r="P10" i="5"/>
  <c r="P11" i="5"/>
  <c r="P13" i="5"/>
  <c r="P21" i="5"/>
  <c r="P25" i="5"/>
  <c r="P26" i="5"/>
  <c r="Q7" i="10"/>
  <c r="Q8" i="10"/>
  <c r="O12" i="10"/>
  <c r="O15" i="10"/>
  <c r="Q17" i="10"/>
  <c r="O23" i="10"/>
  <c r="Q25" i="10"/>
  <c r="Q8" i="5"/>
  <c r="Q11" i="5"/>
  <c r="Q13" i="5"/>
  <c r="Q21" i="5"/>
  <c r="Q25" i="5"/>
  <c r="Q26" i="5"/>
  <c r="C7" i="10"/>
  <c r="C8" i="10"/>
  <c r="C12" i="10"/>
  <c r="C15" i="10"/>
  <c r="C17" i="10"/>
  <c r="E21" i="10"/>
  <c r="E23" i="10"/>
  <c r="C25" i="10"/>
  <c r="C8" i="5"/>
  <c r="C13" i="5"/>
  <c r="C15" i="5"/>
  <c r="C7" i="5"/>
  <c r="C16" i="5"/>
  <c r="C18" i="5"/>
  <c r="C20" i="5"/>
  <c r="C25" i="5"/>
  <c r="C26" i="5"/>
  <c r="C26" i="17"/>
  <c r="D26" i="17"/>
  <c r="E26" i="17"/>
  <c r="F26" i="17"/>
  <c r="G26" i="17"/>
  <c r="H26" i="17"/>
  <c r="I26" i="17"/>
  <c r="J26" i="17"/>
  <c r="K26" i="17"/>
  <c r="L26" i="17"/>
  <c r="M26" i="17"/>
  <c r="N26" i="17"/>
  <c r="O26" i="17"/>
  <c r="P26" i="17"/>
  <c r="Q26" i="17"/>
  <c r="D25" i="17"/>
  <c r="E25" i="17"/>
  <c r="F25" i="17"/>
  <c r="G25" i="17"/>
  <c r="H25" i="17"/>
  <c r="I25" i="17"/>
  <c r="J25" i="17"/>
  <c r="K25" i="17"/>
  <c r="L25" i="17"/>
  <c r="M25" i="17"/>
  <c r="N25" i="17"/>
  <c r="O25" i="17"/>
  <c r="P25" i="17"/>
  <c r="Q25" i="17"/>
  <c r="C25" i="17"/>
  <c r="D13" i="17"/>
  <c r="E13" i="17"/>
  <c r="F13" i="17"/>
  <c r="G13" i="17"/>
  <c r="H13" i="17"/>
  <c r="I13" i="17"/>
  <c r="J13" i="17"/>
  <c r="K13" i="17"/>
  <c r="L13" i="17"/>
  <c r="M13" i="17"/>
  <c r="N13" i="17"/>
  <c r="O13" i="17"/>
  <c r="P13" i="17"/>
  <c r="Q13" i="17"/>
  <c r="C13" i="17"/>
  <c r="D31" i="10"/>
  <c r="D29" i="10"/>
  <c r="D29" i="13"/>
  <c r="E29" i="10"/>
  <c r="E29" i="13"/>
  <c r="F29" i="10"/>
  <c r="F29" i="13"/>
  <c r="G29" i="10"/>
  <c r="G29" i="13"/>
  <c r="H29" i="10"/>
  <c r="H29" i="13"/>
  <c r="I29" i="10"/>
  <c r="I29" i="13"/>
  <c r="J29" i="10"/>
  <c r="J29" i="13"/>
  <c r="K29" i="10"/>
  <c r="K29" i="13"/>
  <c r="L29" i="10"/>
  <c r="L29" i="13"/>
  <c r="M29" i="10"/>
  <c r="M29" i="13"/>
  <c r="N29" i="10"/>
  <c r="N29" i="13"/>
  <c r="O29" i="10"/>
  <c r="O29" i="13"/>
  <c r="P29" i="10"/>
  <c r="P29" i="13"/>
  <c r="Q29" i="10"/>
  <c r="Q29" i="13"/>
  <c r="D33" i="10"/>
  <c r="D33" i="13"/>
  <c r="E31" i="10"/>
  <c r="E33" i="10"/>
  <c r="E33" i="13"/>
  <c r="F31" i="10"/>
  <c r="F33" i="10"/>
  <c r="F33" i="13"/>
  <c r="G31" i="10"/>
  <c r="G33" i="10"/>
  <c r="G33" i="13"/>
  <c r="H31" i="10"/>
  <c r="H33" i="10"/>
  <c r="H33" i="13"/>
  <c r="I31" i="10"/>
  <c r="I33" i="10"/>
  <c r="I33" i="13"/>
  <c r="J31" i="10"/>
  <c r="J33" i="10"/>
  <c r="J33" i="13"/>
  <c r="K31" i="10"/>
  <c r="K33" i="10"/>
  <c r="K33" i="13"/>
  <c r="L31" i="10"/>
  <c r="L33" i="10"/>
  <c r="L33" i="13"/>
  <c r="M31" i="10"/>
  <c r="M33" i="10"/>
  <c r="M33" i="13"/>
  <c r="N31" i="10"/>
  <c r="N33" i="10"/>
  <c r="N33" i="13"/>
  <c r="O31" i="10"/>
  <c r="O33" i="10"/>
  <c r="O33" i="13"/>
  <c r="P31" i="10"/>
  <c r="P33" i="10"/>
  <c r="P33" i="13"/>
  <c r="Q31" i="10"/>
  <c r="Q33" i="10"/>
  <c r="Q33" i="13"/>
  <c r="C31" i="10"/>
  <c r="C33" i="10"/>
  <c r="C33" i="13"/>
  <c r="D21" i="5"/>
  <c r="D30" i="10"/>
  <c r="D30" i="13"/>
  <c r="E21" i="5"/>
  <c r="E30" i="10"/>
  <c r="E30" i="13"/>
  <c r="F21" i="5"/>
  <c r="F30" i="10"/>
  <c r="F30" i="13"/>
  <c r="G21" i="5"/>
  <c r="G30" i="10"/>
  <c r="G30" i="13"/>
  <c r="H20" i="5"/>
  <c r="H30" i="10"/>
  <c r="H30" i="13"/>
  <c r="I21" i="5"/>
  <c r="I30" i="10"/>
  <c r="I30" i="13"/>
  <c r="J21" i="5"/>
  <c r="J30" i="10"/>
  <c r="J30" i="13"/>
  <c r="K20" i="5"/>
  <c r="K30" i="10"/>
  <c r="K30" i="13"/>
  <c r="L21" i="5"/>
  <c r="L30" i="10"/>
  <c r="L30" i="13"/>
  <c r="M21" i="5"/>
  <c r="M30" i="10"/>
  <c r="M30" i="13"/>
  <c r="N20" i="5"/>
  <c r="N30" i="10"/>
  <c r="N30" i="13"/>
  <c r="O20" i="5"/>
  <c r="O30" i="10"/>
  <c r="O30" i="13"/>
  <c r="P20" i="5"/>
  <c r="P30" i="10"/>
  <c r="P30" i="13"/>
  <c r="Q20" i="5"/>
  <c r="Q30" i="10"/>
  <c r="Q30" i="13"/>
  <c r="C29" i="10"/>
  <c r="C29" i="13"/>
  <c r="D28" i="10"/>
  <c r="D28" i="13"/>
  <c r="E28" i="10"/>
  <c r="E28" i="13"/>
  <c r="F28" i="10"/>
  <c r="F28" i="13"/>
  <c r="G28" i="10"/>
  <c r="G28" i="13"/>
  <c r="H28" i="10"/>
  <c r="H28" i="13"/>
  <c r="I28" i="10"/>
  <c r="I28" i="13"/>
  <c r="J28" i="10"/>
  <c r="J28" i="13"/>
  <c r="K28" i="10"/>
  <c r="K28" i="13"/>
  <c r="L28" i="10"/>
  <c r="L28" i="13"/>
  <c r="M28" i="10"/>
  <c r="M28" i="13"/>
  <c r="N28" i="10"/>
  <c r="N28" i="13"/>
  <c r="O28" i="10"/>
  <c r="O28" i="13"/>
  <c r="P28" i="10"/>
  <c r="P28" i="13"/>
  <c r="Q28" i="10"/>
  <c r="Q28" i="13"/>
  <c r="C28" i="10"/>
  <c r="C28" i="13"/>
  <c r="D31" i="13"/>
  <c r="E31" i="13"/>
  <c r="F31" i="13"/>
  <c r="G31" i="13"/>
  <c r="H31" i="13"/>
  <c r="I31" i="13"/>
  <c r="J31" i="13"/>
  <c r="K31" i="13"/>
  <c r="L31" i="13"/>
  <c r="M31" i="13"/>
  <c r="N31" i="13"/>
  <c r="O31" i="13"/>
  <c r="P31" i="13"/>
  <c r="Q31" i="13"/>
  <c r="C31" i="13"/>
  <c r="D25" i="13"/>
  <c r="E25" i="13"/>
  <c r="F25" i="13"/>
  <c r="G25" i="13"/>
  <c r="H25" i="13"/>
  <c r="I25" i="13"/>
  <c r="J25" i="13"/>
  <c r="K25" i="13"/>
  <c r="L25" i="13"/>
  <c r="M25" i="13"/>
  <c r="N25" i="13"/>
  <c r="O25" i="13"/>
  <c r="P25" i="13"/>
  <c r="Q25" i="13"/>
  <c r="C25" i="13"/>
  <c r="C21" i="13"/>
  <c r="D21" i="13"/>
  <c r="E21" i="13"/>
  <c r="F21" i="13"/>
  <c r="G21" i="13"/>
  <c r="H21" i="13"/>
  <c r="I21" i="13"/>
  <c r="J21" i="13"/>
  <c r="K21" i="13"/>
  <c r="L21" i="13"/>
  <c r="M21" i="13"/>
  <c r="N21" i="13"/>
  <c r="O21" i="13"/>
  <c r="P21" i="13"/>
  <c r="Q21" i="13"/>
  <c r="C22" i="13"/>
  <c r="D22" i="13"/>
  <c r="E22" i="13"/>
  <c r="F22" i="13"/>
  <c r="G22" i="13"/>
  <c r="H22" i="13"/>
  <c r="I22" i="13"/>
  <c r="J22" i="13"/>
  <c r="K22" i="13"/>
  <c r="L22" i="13"/>
  <c r="M22" i="13"/>
  <c r="N22" i="13"/>
  <c r="O22" i="13"/>
  <c r="P22" i="13"/>
  <c r="Q22" i="13"/>
  <c r="D20" i="13"/>
  <c r="E20" i="13"/>
  <c r="F20" i="13"/>
  <c r="G20" i="13"/>
  <c r="H20" i="13"/>
  <c r="I20" i="13"/>
  <c r="J20" i="13"/>
  <c r="K20" i="13"/>
  <c r="L20" i="13"/>
  <c r="M20" i="13"/>
  <c r="N20" i="13"/>
  <c r="O20" i="13"/>
  <c r="P20" i="13"/>
  <c r="Q20" i="13"/>
  <c r="C20" i="13"/>
  <c r="D10" i="5"/>
  <c r="D11" i="5"/>
  <c r="E10" i="5"/>
  <c r="E11" i="5"/>
  <c r="F10" i="5"/>
  <c r="F11" i="5"/>
  <c r="G10" i="5"/>
  <c r="G11" i="5"/>
  <c r="H10" i="5"/>
  <c r="I10" i="5"/>
  <c r="I11" i="5"/>
  <c r="J10" i="5"/>
  <c r="J11" i="5"/>
  <c r="K10" i="5"/>
  <c r="L10" i="5"/>
  <c r="L11" i="5"/>
  <c r="M10" i="5"/>
  <c r="M11" i="5"/>
  <c r="N10" i="5"/>
  <c r="O10" i="5"/>
  <c r="Q10" i="5"/>
  <c r="C10" i="5"/>
  <c r="C11" i="5"/>
  <c r="C15" i="17"/>
  <c r="D15" i="17"/>
  <c r="E15" i="17"/>
  <c r="F15" i="17"/>
  <c r="G15" i="17"/>
  <c r="H15" i="17"/>
  <c r="I15" i="17"/>
  <c r="J15" i="17"/>
  <c r="K15" i="17"/>
  <c r="L15" i="17"/>
  <c r="M15" i="17"/>
  <c r="N15" i="17"/>
  <c r="O15" i="5"/>
  <c r="O15" i="17"/>
  <c r="P15" i="5"/>
  <c r="P15" i="17"/>
  <c r="Q15" i="5"/>
  <c r="Q15" i="17"/>
  <c r="C16" i="17"/>
  <c r="D16" i="17"/>
  <c r="E16" i="17"/>
  <c r="F16" i="17"/>
  <c r="G16" i="17"/>
  <c r="H7" i="5"/>
  <c r="H16" i="5"/>
  <c r="H16" i="17"/>
  <c r="I16" i="17"/>
  <c r="J16" i="17"/>
  <c r="K7" i="5"/>
  <c r="K16" i="5"/>
  <c r="K16" i="17"/>
  <c r="L16" i="17"/>
  <c r="M16" i="17"/>
  <c r="N7" i="5"/>
  <c r="N16" i="5"/>
  <c r="N16" i="17"/>
  <c r="O7" i="5"/>
  <c r="O16" i="5"/>
  <c r="O16" i="17"/>
  <c r="P7" i="5"/>
  <c r="P16" i="5"/>
  <c r="P16" i="17"/>
  <c r="Q7" i="5"/>
  <c r="Q16" i="5"/>
  <c r="Q16" i="17"/>
  <c r="C18" i="17"/>
  <c r="D18" i="17"/>
  <c r="E18" i="17"/>
  <c r="F18" i="17"/>
  <c r="G18" i="17"/>
  <c r="H18" i="5"/>
  <c r="H18" i="17"/>
  <c r="I18" i="17"/>
  <c r="J18" i="17"/>
  <c r="K18" i="5"/>
  <c r="K18" i="17"/>
  <c r="L18" i="17"/>
  <c r="M18" i="17"/>
  <c r="N18" i="5"/>
  <c r="N18" i="17"/>
  <c r="O18" i="5"/>
  <c r="O18" i="17"/>
  <c r="P18" i="5"/>
  <c r="P18" i="17"/>
  <c r="Q18" i="5"/>
  <c r="Q18" i="17"/>
  <c r="C19" i="17"/>
  <c r="D19" i="17"/>
  <c r="E19" i="17"/>
  <c r="F19" i="17"/>
  <c r="G19" i="17"/>
  <c r="H19" i="17"/>
  <c r="I19" i="17"/>
  <c r="J19" i="17"/>
  <c r="K19" i="17"/>
  <c r="L19" i="17"/>
  <c r="M19" i="17"/>
  <c r="N19" i="17"/>
  <c r="O19" i="17"/>
  <c r="P19" i="17"/>
  <c r="Q19" i="17"/>
  <c r="C20" i="17"/>
  <c r="D20" i="17"/>
  <c r="E20" i="17"/>
  <c r="F20" i="17"/>
  <c r="G20" i="17"/>
  <c r="H20" i="17"/>
  <c r="I20" i="17"/>
  <c r="J20" i="17"/>
  <c r="K20" i="17"/>
  <c r="L20" i="17"/>
  <c r="M20" i="17"/>
  <c r="N20" i="17"/>
  <c r="O20" i="17"/>
  <c r="P20" i="17"/>
  <c r="Q20" i="17"/>
  <c r="C21" i="5"/>
  <c r="C21" i="17"/>
  <c r="D21" i="17"/>
  <c r="E21" i="17"/>
  <c r="F21" i="17"/>
  <c r="G21" i="17"/>
  <c r="H21" i="17"/>
  <c r="I21" i="17"/>
  <c r="J21" i="17"/>
  <c r="K21" i="17"/>
  <c r="L21" i="17"/>
  <c r="M21" i="17"/>
  <c r="N21" i="17"/>
  <c r="O21" i="17"/>
  <c r="P21" i="17"/>
  <c r="Q21" i="17"/>
  <c r="C23" i="17"/>
  <c r="D23" i="17"/>
  <c r="E23" i="17"/>
  <c r="F23" i="17"/>
  <c r="G23" i="17"/>
  <c r="H23" i="17"/>
  <c r="I23" i="17"/>
  <c r="J23" i="17"/>
  <c r="K23" i="17"/>
  <c r="L23" i="17"/>
  <c r="M23" i="17"/>
  <c r="N23" i="17"/>
  <c r="O23" i="17"/>
  <c r="P23" i="17"/>
  <c r="Q23" i="17"/>
  <c r="C8" i="17"/>
  <c r="D8" i="17"/>
  <c r="E8" i="17"/>
  <c r="F8" i="17"/>
  <c r="G8" i="17"/>
  <c r="H8" i="17"/>
  <c r="I8" i="17"/>
  <c r="J8" i="17"/>
  <c r="K8" i="17"/>
  <c r="L8" i="17"/>
  <c r="M8" i="17"/>
  <c r="N8" i="17"/>
  <c r="O8" i="17"/>
  <c r="P8" i="17"/>
  <c r="Q8" i="17"/>
  <c r="C9" i="5"/>
  <c r="C9" i="17"/>
  <c r="D9" i="5"/>
  <c r="D9" i="17"/>
  <c r="E9" i="5"/>
  <c r="E9" i="17"/>
  <c r="F9" i="5"/>
  <c r="F9" i="17"/>
  <c r="G9" i="5"/>
  <c r="G9" i="17"/>
  <c r="H9" i="5"/>
  <c r="H9" i="17"/>
  <c r="I9" i="5"/>
  <c r="I9" i="17"/>
  <c r="J9" i="5"/>
  <c r="J9" i="17"/>
  <c r="K9" i="5"/>
  <c r="K9" i="17"/>
  <c r="L9" i="5"/>
  <c r="L9" i="17"/>
  <c r="M9" i="5"/>
  <c r="M9" i="17"/>
  <c r="N9" i="5"/>
  <c r="N9" i="17"/>
  <c r="O9" i="5"/>
  <c r="O9" i="17"/>
  <c r="P9" i="5"/>
  <c r="P9" i="17"/>
  <c r="Q9" i="5"/>
  <c r="Q9" i="17"/>
  <c r="C10" i="17"/>
  <c r="D10" i="17"/>
  <c r="E10" i="17"/>
  <c r="F10" i="17"/>
  <c r="G10" i="17"/>
  <c r="H10" i="17"/>
  <c r="I10" i="17"/>
  <c r="J10" i="17"/>
  <c r="K10" i="17"/>
  <c r="L10" i="17"/>
  <c r="M10" i="17"/>
  <c r="N10" i="17"/>
  <c r="O10" i="17"/>
  <c r="P10" i="17"/>
  <c r="Q10" i="17"/>
  <c r="C11" i="17"/>
  <c r="D11" i="17"/>
  <c r="E11" i="17"/>
  <c r="F11" i="17"/>
  <c r="G11" i="17"/>
  <c r="H11" i="17"/>
  <c r="I11" i="17"/>
  <c r="J11" i="17"/>
  <c r="K11" i="17"/>
  <c r="L11" i="17"/>
  <c r="M11" i="17"/>
  <c r="N11" i="17"/>
  <c r="O11" i="17"/>
  <c r="P11" i="17"/>
  <c r="Q11" i="17"/>
  <c r="D7" i="17"/>
  <c r="E7" i="17"/>
  <c r="F7" i="17"/>
  <c r="G7" i="17"/>
  <c r="H7" i="17"/>
  <c r="I7" i="17"/>
  <c r="J7" i="17"/>
  <c r="K7" i="17"/>
  <c r="L7" i="17"/>
  <c r="M7" i="17"/>
  <c r="N7" i="17"/>
  <c r="O7" i="17"/>
  <c r="P7" i="17"/>
  <c r="Q7" i="17"/>
  <c r="C7" i="17"/>
  <c r="Q21" i="10"/>
  <c r="O21" i="10"/>
  <c r="E16" i="9"/>
  <c r="C9" i="9"/>
  <c r="H25" i="11"/>
  <c r="H26" i="11"/>
  <c r="H27" i="11"/>
  <c r="H28" i="11"/>
  <c r="H29" i="11"/>
  <c r="H23" i="11"/>
  <c r="C11" i="11"/>
  <c r="C10" i="11"/>
  <c r="C9" i="11"/>
  <c r="C8" i="11"/>
  <c r="C7" i="11"/>
  <c r="C6" i="11"/>
  <c r="C5" i="11"/>
  <c r="B12" i="16"/>
  <c r="C12" i="16"/>
  <c r="D12" i="16"/>
  <c r="B13" i="16"/>
  <c r="C13" i="16"/>
  <c r="D13" i="16"/>
  <c r="B14" i="16"/>
  <c r="C14" i="16"/>
  <c r="D14" i="16"/>
  <c r="B15" i="16"/>
  <c r="C15" i="16"/>
  <c r="D15" i="16"/>
  <c r="C11" i="16"/>
  <c r="D11" i="16"/>
  <c r="B11" i="16"/>
  <c r="E6" i="6"/>
  <c r="E6" i="15"/>
  <c r="F6" i="6"/>
  <c r="F6" i="15"/>
  <c r="G6" i="15"/>
  <c r="H6" i="15"/>
  <c r="E7" i="6"/>
  <c r="E7" i="15"/>
  <c r="F7" i="6"/>
  <c r="F7" i="15"/>
  <c r="G7" i="15"/>
  <c r="H7" i="15"/>
  <c r="E8" i="6"/>
  <c r="E8" i="15"/>
  <c r="F8" i="6"/>
  <c r="F8" i="15"/>
  <c r="G8" i="15"/>
  <c r="H8" i="15"/>
  <c r="E9" i="6"/>
  <c r="E9" i="15"/>
  <c r="F9" i="6"/>
  <c r="F9" i="15"/>
  <c r="G9" i="15"/>
  <c r="H9" i="15"/>
  <c r="F5" i="15"/>
  <c r="G5" i="15"/>
  <c r="H5" i="15"/>
  <c r="D9" i="15"/>
  <c r="D8" i="15"/>
  <c r="D7" i="15"/>
  <c r="D6" i="15"/>
  <c r="D5" i="15"/>
  <c r="F13" i="13"/>
  <c r="G13" i="13"/>
  <c r="H13" i="13"/>
  <c r="I13" i="13"/>
  <c r="J13" i="13"/>
  <c r="K13" i="13"/>
  <c r="L13" i="13"/>
  <c r="M13" i="13"/>
  <c r="N13" i="13"/>
  <c r="O13" i="13"/>
  <c r="P13" i="13"/>
  <c r="Q13" i="13"/>
  <c r="C14" i="13"/>
  <c r="D14" i="13"/>
  <c r="E14" i="13"/>
  <c r="F14" i="13"/>
  <c r="G14" i="13"/>
  <c r="H14" i="13"/>
  <c r="I14" i="13"/>
  <c r="J14" i="13"/>
  <c r="K14" i="13"/>
  <c r="L14" i="13"/>
  <c r="M14" i="13"/>
  <c r="N14" i="13"/>
  <c r="O14" i="13"/>
  <c r="P14" i="13"/>
  <c r="Q14" i="13"/>
  <c r="D13" i="13"/>
  <c r="E13" i="13"/>
  <c r="C13" i="13"/>
  <c r="G77" i="14"/>
  <c r="K77" i="14"/>
  <c r="E47" i="14"/>
  <c r="E48" i="14"/>
  <c r="G78" i="14"/>
  <c r="K78" i="14"/>
  <c r="E49" i="14"/>
  <c r="G79" i="14"/>
  <c r="K79" i="14"/>
  <c r="E50" i="14"/>
  <c r="G80" i="14"/>
  <c r="K80" i="14"/>
  <c r="E51" i="14"/>
  <c r="G81" i="14"/>
  <c r="K81" i="14"/>
  <c r="E52" i="14"/>
  <c r="G82" i="14"/>
  <c r="K82" i="14"/>
  <c r="E53" i="14"/>
  <c r="G83" i="14"/>
  <c r="K83" i="14"/>
  <c r="K84" i="14"/>
  <c r="K98" i="14"/>
  <c r="H77" i="14"/>
  <c r="L77" i="14"/>
  <c r="H78" i="14"/>
  <c r="L78" i="14"/>
  <c r="H79" i="14"/>
  <c r="L79" i="14"/>
  <c r="H80" i="14"/>
  <c r="L80" i="14"/>
  <c r="H81" i="14"/>
  <c r="L81" i="14"/>
  <c r="H82" i="14"/>
  <c r="L82" i="14"/>
  <c r="H83" i="14"/>
  <c r="L83" i="14"/>
  <c r="L84" i="14"/>
  <c r="L98" i="14"/>
  <c r="I77" i="14"/>
  <c r="M77" i="14"/>
  <c r="I78" i="14"/>
  <c r="M78" i="14"/>
  <c r="I79" i="14"/>
  <c r="M79" i="14"/>
  <c r="I80" i="14"/>
  <c r="M80" i="14"/>
  <c r="I81" i="14"/>
  <c r="M81" i="14"/>
  <c r="I82" i="14"/>
  <c r="M82" i="14"/>
  <c r="I83" i="14"/>
  <c r="M83" i="14"/>
  <c r="M84" i="14"/>
  <c r="M98" i="14"/>
  <c r="H91" i="14"/>
  <c r="I91" i="14"/>
  <c r="J91" i="14"/>
  <c r="K91" i="14"/>
  <c r="L91" i="14"/>
  <c r="M91" i="14"/>
  <c r="H92" i="14"/>
  <c r="I92" i="14"/>
  <c r="J92" i="14"/>
  <c r="K92" i="14"/>
  <c r="L92" i="14"/>
  <c r="M92" i="14"/>
  <c r="H93" i="14"/>
  <c r="I93" i="14"/>
  <c r="J93" i="14"/>
  <c r="K93" i="14"/>
  <c r="L93" i="14"/>
  <c r="M93" i="14"/>
  <c r="H94" i="14"/>
  <c r="I94" i="14"/>
  <c r="J94" i="14"/>
  <c r="K94" i="14"/>
  <c r="L94" i="14"/>
  <c r="M94" i="14"/>
  <c r="H95" i="14"/>
  <c r="I95" i="14"/>
  <c r="J95" i="14"/>
  <c r="K95" i="14"/>
  <c r="L95" i="14"/>
  <c r="M95" i="14"/>
  <c r="H96" i="14"/>
  <c r="I96" i="14"/>
  <c r="J96" i="14"/>
  <c r="K96" i="14"/>
  <c r="L96" i="14"/>
  <c r="M96" i="14"/>
  <c r="H97" i="14"/>
  <c r="I97" i="14"/>
  <c r="J97" i="14"/>
  <c r="K97" i="14"/>
  <c r="L97" i="14"/>
  <c r="M97" i="14"/>
  <c r="G92" i="14"/>
  <c r="G93" i="14"/>
  <c r="G94" i="14"/>
  <c r="G95" i="14"/>
  <c r="G96" i="14"/>
  <c r="G97" i="14"/>
  <c r="G91" i="14"/>
  <c r="C91" i="14"/>
  <c r="D91" i="14"/>
  <c r="B91" i="14"/>
  <c r="D65" i="14"/>
  <c r="D61" i="14"/>
  <c r="D62" i="14"/>
  <c r="D63" i="14"/>
  <c r="D60" i="14"/>
  <c r="H48" i="14"/>
  <c r="H49" i="14"/>
  <c r="H50" i="14"/>
  <c r="H51" i="14"/>
  <c r="H52" i="14"/>
  <c r="H53" i="14"/>
  <c r="H54" i="14"/>
  <c r="H47" i="14"/>
  <c r="F48" i="14"/>
  <c r="F49" i="14"/>
  <c r="F50" i="14"/>
  <c r="F51" i="14"/>
  <c r="F52" i="14"/>
  <c r="F53" i="14"/>
  <c r="F47" i="14"/>
  <c r="D35" i="14"/>
  <c r="C41" i="14"/>
  <c r="D41" i="14"/>
  <c r="B41" i="14"/>
  <c r="E35" i="14"/>
  <c r="F35" i="14"/>
  <c r="G35" i="14"/>
  <c r="H35" i="14"/>
  <c r="D27" i="14"/>
  <c r="E27" i="14"/>
  <c r="F27" i="14"/>
  <c r="G27" i="14"/>
  <c r="H27" i="14"/>
  <c r="D28" i="14"/>
  <c r="E28" i="14"/>
  <c r="F28" i="14"/>
  <c r="G28" i="14"/>
  <c r="H28" i="14"/>
  <c r="D29" i="14"/>
  <c r="E29" i="14"/>
  <c r="F29" i="14"/>
  <c r="G29" i="14"/>
  <c r="H29" i="14"/>
  <c r="D30" i="14"/>
  <c r="E30" i="14"/>
  <c r="F30" i="14"/>
  <c r="G30" i="14"/>
  <c r="H30" i="14"/>
  <c r="D31" i="14"/>
  <c r="E31" i="14"/>
  <c r="F31" i="14"/>
  <c r="G31" i="14"/>
  <c r="H31" i="14"/>
  <c r="D32" i="14"/>
  <c r="E32" i="14"/>
  <c r="F32" i="14"/>
  <c r="G32" i="14"/>
  <c r="H32" i="14"/>
  <c r="D33" i="14"/>
  <c r="E33" i="14"/>
  <c r="F33" i="14"/>
  <c r="G33" i="14"/>
  <c r="H33" i="14"/>
  <c r="D34" i="14"/>
  <c r="E34" i="14"/>
  <c r="F34" i="14"/>
  <c r="G34" i="14"/>
  <c r="H34" i="14"/>
  <c r="C28" i="14"/>
  <c r="C29" i="14"/>
  <c r="C30" i="14"/>
  <c r="C31" i="14"/>
  <c r="C32" i="14"/>
  <c r="C33" i="14"/>
  <c r="C34" i="14"/>
  <c r="C27" i="14"/>
  <c r="C20" i="14"/>
  <c r="C15" i="14"/>
  <c r="C16" i="14"/>
  <c r="C17" i="14"/>
  <c r="C18" i="14"/>
  <c r="C19" i="14"/>
  <c r="C14" i="14"/>
  <c r="D11" i="13"/>
  <c r="E11" i="13"/>
  <c r="F11" i="13"/>
  <c r="G11" i="13"/>
  <c r="H11" i="13"/>
  <c r="I11" i="13"/>
  <c r="J11" i="13"/>
  <c r="K11" i="13"/>
  <c r="L11" i="13"/>
  <c r="M11" i="13"/>
  <c r="N11" i="13"/>
  <c r="O11" i="13"/>
  <c r="P11" i="13"/>
  <c r="Q11" i="13"/>
  <c r="C11" i="13"/>
  <c r="C30" i="10"/>
  <c r="C30" i="13"/>
  <c r="Q23" i="13"/>
  <c r="P23" i="13"/>
  <c r="O23" i="13"/>
  <c r="N23" i="13"/>
  <c r="M23" i="13"/>
  <c r="L23" i="13"/>
  <c r="K23" i="13"/>
  <c r="J23" i="13"/>
  <c r="I23" i="13"/>
  <c r="H23" i="13"/>
  <c r="G23" i="13"/>
  <c r="F23" i="13"/>
  <c r="E23" i="13"/>
  <c r="D23" i="13"/>
  <c r="C23" i="13"/>
  <c r="Q17" i="13"/>
  <c r="P17" i="13"/>
  <c r="O17" i="13"/>
  <c r="N17" i="13"/>
  <c r="M17" i="13"/>
  <c r="L17" i="13"/>
  <c r="K17" i="13"/>
  <c r="J17" i="13"/>
  <c r="I17" i="13"/>
  <c r="H17" i="13"/>
  <c r="G17" i="13"/>
  <c r="F17" i="13"/>
  <c r="E17" i="13"/>
  <c r="D17" i="13"/>
  <c r="C17" i="13"/>
  <c r="Q15" i="13"/>
  <c r="P15" i="13"/>
  <c r="O15" i="13"/>
  <c r="N15" i="13"/>
  <c r="M15" i="13"/>
  <c r="L15" i="13"/>
  <c r="K15" i="13"/>
  <c r="J15" i="13"/>
  <c r="I15" i="13"/>
  <c r="H15" i="13"/>
  <c r="G15" i="13"/>
  <c r="F15" i="13"/>
  <c r="E15" i="13"/>
  <c r="D15" i="13"/>
  <c r="C15" i="13"/>
  <c r="Q12" i="13"/>
  <c r="P12" i="13"/>
  <c r="O12" i="13"/>
  <c r="N12" i="13"/>
  <c r="M12" i="13"/>
  <c r="L12" i="13"/>
  <c r="K12" i="13"/>
  <c r="J12" i="13"/>
  <c r="I12" i="13"/>
  <c r="H12" i="13"/>
  <c r="G12" i="13"/>
  <c r="F12" i="13"/>
  <c r="E12" i="13"/>
  <c r="D12" i="13"/>
  <c r="C12" i="13"/>
  <c r="D8" i="13"/>
  <c r="E8" i="13"/>
  <c r="F8" i="13"/>
  <c r="G8" i="13"/>
  <c r="H8" i="13"/>
  <c r="I8" i="13"/>
  <c r="J8" i="13"/>
  <c r="K8" i="13"/>
  <c r="L8" i="13"/>
  <c r="M8" i="13"/>
  <c r="N8" i="13"/>
  <c r="O8" i="13"/>
  <c r="P8" i="13"/>
  <c r="Q8" i="13"/>
  <c r="C8" i="13"/>
  <c r="D7" i="13"/>
  <c r="E7" i="13"/>
  <c r="F7" i="13"/>
  <c r="G7" i="13"/>
  <c r="H7" i="13"/>
  <c r="I7" i="13"/>
  <c r="J7" i="13"/>
  <c r="K7" i="13"/>
  <c r="L7" i="13"/>
  <c r="M7" i="13"/>
  <c r="N7" i="13"/>
  <c r="O7" i="13"/>
  <c r="P7" i="13"/>
  <c r="Q7" i="13"/>
  <c r="C7" i="13"/>
  <c r="D10" i="11"/>
  <c r="D14" i="3"/>
  <c r="D15" i="3"/>
  <c r="D16" i="3"/>
  <c r="D17" i="3"/>
  <c r="D18" i="3"/>
  <c r="D19" i="3"/>
  <c r="F10" i="11"/>
  <c r="K10" i="11"/>
  <c r="E10" i="11"/>
  <c r="J10" i="11"/>
  <c r="G10" i="11"/>
  <c r="L10" i="11"/>
  <c r="H10" i="11"/>
  <c r="M10" i="11"/>
  <c r="I10" i="11"/>
  <c r="N10" i="11"/>
  <c r="C18" i="11"/>
  <c r="D15" i="11"/>
  <c r="D17" i="11"/>
  <c r="D18" i="11"/>
  <c r="E15" i="11"/>
  <c r="E17" i="11"/>
  <c r="E18" i="11"/>
  <c r="F15" i="11"/>
  <c r="F17" i="11"/>
  <c r="F18" i="11"/>
  <c r="G15" i="11"/>
  <c r="G17" i="11"/>
  <c r="G18" i="11"/>
  <c r="D9" i="11"/>
  <c r="D8" i="11"/>
  <c r="D4" i="11"/>
  <c r="F48" i="8"/>
  <c r="W48" i="8"/>
  <c r="S48" i="8"/>
  <c r="F49" i="8"/>
  <c r="W49" i="8"/>
  <c r="S49" i="8"/>
  <c r="F50" i="8"/>
  <c r="W50" i="8"/>
  <c r="S50" i="8"/>
  <c r="F51" i="8"/>
  <c r="W51" i="8"/>
  <c r="S51" i="8"/>
  <c r="F52" i="8"/>
  <c r="W52" i="8"/>
  <c r="S52" i="8"/>
  <c r="F53" i="8"/>
  <c r="W53" i="8"/>
  <c r="S53" i="8"/>
  <c r="D47" i="8"/>
  <c r="F47" i="8"/>
  <c r="W47" i="8"/>
  <c r="S47" i="8"/>
  <c r="T48" i="8"/>
  <c r="T49" i="8"/>
  <c r="T50" i="8"/>
  <c r="T51" i="8"/>
  <c r="T52" i="8"/>
  <c r="T53" i="8"/>
  <c r="T47" i="8"/>
  <c r="E22" i="8"/>
  <c r="Q22" i="8"/>
  <c r="E23" i="8"/>
  <c r="Q23" i="8"/>
  <c r="E24" i="8"/>
  <c r="Q24" i="8"/>
  <c r="P22" i="8"/>
  <c r="P23" i="8"/>
  <c r="O22" i="8"/>
  <c r="O23" i="8"/>
  <c r="E5" i="8"/>
  <c r="G5" i="8"/>
  <c r="W5" i="8"/>
  <c r="E6" i="8"/>
  <c r="G6" i="8"/>
  <c r="W6" i="8"/>
  <c r="E7" i="8"/>
  <c r="G7" i="8"/>
  <c r="W7" i="8"/>
  <c r="E8" i="8"/>
  <c r="G8" i="8"/>
  <c r="W8" i="8"/>
  <c r="E9" i="8"/>
  <c r="G9" i="8"/>
  <c r="W9" i="8"/>
  <c r="E10" i="8"/>
  <c r="G10" i="8"/>
  <c r="W10" i="8"/>
  <c r="E11" i="8"/>
  <c r="G11" i="8"/>
  <c r="W11" i="8"/>
  <c r="E12" i="8"/>
  <c r="G12" i="8"/>
  <c r="W12" i="8"/>
  <c r="E13" i="8"/>
  <c r="G13" i="8"/>
  <c r="W13" i="8"/>
  <c r="E14" i="8"/>
  <c r="G14" i="8"/>
  <c r="W14" i="8"/>
  <c r="E15" i="8"/>
  <c r="G15" i="8"/>
  <c r="W15" i="8"/>
  <c r="E16" i="8"/>
  <c r="G16" i="8"/>
  <c r="W16" i="8"/>
  <c r="E17" i="8"/>
  <c r="G17" i="8"/>
  <c r="W17" i="8"/>
  <c r="E18" i="8"/>
  <c r="G18" i="8"/>
  <c r="W18" i="8"/>
  <c r="E19" i="8"/>
  <c r="G19" i="8"/>
  <c r="W19" i="8"/>
  <c r="E20" i="8"/>
  <c r="G20" i="8"/>
  <c r="W20" i="8"/>
  <c r="E21" i="8"/>
  <c r="G21" i="8"/>
  <c r="W21" i="8"/>
  <c r="G22" i="8"/>
  <c r="W22" i="8"/>
  <c r="G23" i="8"/>
  <c r="W23" i="8"/>
  <c r="G24" i="8"/>
  <c r="W24" i="8"/>
  <c r="E25" i="8"/>
  <c r="G25" i="8"/>
  <c r="W25" i="8"/>
  <c r="G26" i="8"/>
  <c r="W26" i="8"/>
  <c r="G27" i="8"/>
  <c r="W27" i="8"/>
  <c r="V2" i="8"/>
  <c r="T3" i="8"/>
  <c r="T8" i="8"/>
  <c r="T9" i="8"/>
  <c r="T10" i="8"/>
  <c r="T11" i="8"/>
  <c r="T13" i="8"/>
  <c r="T14" i="8"/>
  <c r="T16" i="8"/>
  <c r="T17" i="8"/>
  <c r="T18" i="8"/>
  <c r="T20" i="8"/>
  <c r="T21" i="8"/>
  <c r="S8" i="8"/>
  <c r="S9" i="8"/>
  <c r="S10" i="8"/>
  <c r="S11" i="8"/>
  <c r="S13" i="8"/>
  <c r="S14" i="8"/>
  <c r="S16" i="8"/>
  <c r="S17" i="8"/>
  <c r="S18" i="8"/>
  <c r="S20" i="8"/>
  <c r="S21" i="8"/>
  <c r="T6" i="8"/>
  <c r="S6" i="8"/>
  <c r="P21" i="8"/>
  <c r="P17" i="8"/>
  <c r="P18" i="8"/>
  <c r="P20" i="8"/>
  <c r="P16" i="8"/>
  <c r="P14" i="8"/>
  <c r="P13" i="8"/>
  <c r="P9" i="8"/>
  <c r="P10" i="8"/>
  <c r="P11" i="8"/>
  <c r="P8" i="8"/>
  <c r="P6" i="8"/>
  <c r="O21" i="8"/>
  <c r="O20" i="8"/>
  <c r="O17" i="8"/>
  <c r="O18" i="8"/>
  <c r="O16" i="8"/>
  <c r="O14" i="8"/>
  <c r="O13" i="8"/>
  <c r="O9" i="8"/>
  <c r="O10" i="8"/>
  <c r="O11" i="8"/>
  <c r="O8" i="8"/>
  <c r="O6" i="8"/>
  <c r="D74" i="8"/>
  <c r="F74" i="8"/>
  <c r="K74" i="8"/>
  <c r="D75" i="8"/>
  <c r="F75" i="8"/>
  <c r="K75" i="8"/>
  <c r="D76" i="8"/>
  <c r="F76" i="8"/>
  <c r="K76" i="8"/>
  <c r="D77" i="8"/>
  <c r="F77" i="8"/>
  <c r="K77" i="8"/>
  <c r="D78" i="8"/>
  <c r="F78" i="8"/>
  <c r="K78" i="8"/>
  <c r="D79" i="8"/>
  <c r="F79" i="8"/>
  <c r="K79" i="8"/>
  <c r="D80" i="8"/>
  <c r="F80" i="8"/>
  <c r="K80" i="8"/>
  <c r="D81" i="8"/>
  <c r="F81" i="8"/>
  <c r="K81" i="8"/>
  <c r="D82" i="8"/>
  <c r="F82" i="8"/>
  <c r="K82" i="8"/>
  <c r="D83" i="8"/>
  <c r="F83" i="8"/>
  <c r="K83" i="8"/>
  <c r="D84" i="8"/>
  <c r="F84" i="8"/>
  <c r="K84" i="8"/>
  <c r="J74" i="8"/>
  <c r="J75" i="8"/>
  <c r="J76" i="8"/>
  <c r="J77" i="8"/>
  <c r="J78" i="8"/>
  <c r="J79" i="8"/>
  <c r="J80" i="8"/>
  <c r="J81" i="8"/>
  <c r="J82" i="8"/>
  <c r="J83" i="8"/>
  <c r="J84" i="8"/>
  <c r="I58" i="8"/>
  <c r="Q69" i="8"/>
  <c r="Q68" i="8"/>
  <c r="P69" i="8"/>
  <c r="P68" i="8"/>
  <c r="E68" i="8"/>
  <c r="G68" i="8"/>
  <c r="R68" i="8"/>
  <c r="G28" i="8"/>
  <c r="Q5" i="8"/>
  <c r="Q7" i="8"/>
  <c r="Q11" i="8"/>
  <c r="Q12" i="8"/>
  <c r="Q15" i="8"/>
  <c r="Q19" i="8"/>
  <c r="Q25" i="8"/>
  <c r="Q26" i="8"/>
  <c r="Q27" i="8"/>
  <c r="P25" i="8"/>
  <c r="P24" i="8"/>
  <c r="P19" i="8"/>
  <c r="P15" i="8"/>
  <c r="P12" i="8"/>
  <c r="P7" i="8"/>
  <c r="O25" i="8"/>
  <c r="O24" i="8"/>
  <c r="O19" i="8"/>
  <c r="O15" i="8"/>
  <c r="O12" i="8"/>
  <c r="O7" i="8"/>
  <c r="P5" i="8"/>
  <c r="O5" i="8"/>
  <c r="J11" i="8"/>
  <c r="J26" i="8"/>
  <c r="J27" i="8"/>
  <c r="I5" i="8"/>
  <c r="J5" i="8"/>
  <c r="I6" i="8"/>
  <c r="J6" i="8"/>
  <c r="I7" i="8"/>
  <c r="J7" i="8"/>
  <c r="I8" i="8"/>
  <c r="J8" i="8"/>
  <c r="I9" i="8"/>
  <c r="J9" i="8"/>
  <c r="I10" i="8"/>
  <c r="J10" i="8"/>
  <c r="I12" i="8"/>
  <c r="J12" i="8"/>
  <c r="I13" i="8"/>
  <c r="J13" i="8"/>
  <c r="I14" i="8"/>
  <c r="J14" i="8"/>
  <c r="I15" i="8"/>
  <c r="J15" i="8"/>
  <c r="I16" i="8"/>
  <c r="J16" i="8"/>
  <c r="I17" i="8"/>
  <c r="J17" i="8"/>
  <c r="I18" i="8"/>
  <c r="J18" i="8"/>
  <c r="I19" i="8"/>
  <c r="J19" i="8"/>
  <c r="I20" i="8"/>
  <c r="J20" i="8"/>
  <c r="I21" i="8"/>
  <c r="J21" i="8"/>
  <c r="I22" i="8"/>
  <c r="J22" i="8"/>
  <c r="I23" i="8"/>
  <c r="J23" i="8"/>
  <c r="I24" i="8"/>
  <c r="J24" i="8"/>
  <c r="I25" i="8"/>
  <c r="J25" i="8"/>
  <c r="G59" i="8"/>
  <c r="J59" i="8"/>
  <c r="G60" i="8"/>
  <c r="J60" i="8"/>
  <c r="G61" i="8"/>
  <c r="J61" i="8"/>
  <c r="E62" i="8"/>
  <c r="G62" i="8"/>
  <c r="J62" i="8"/>
  <c r="E63" i="8"/>
  <c r="G63" i="8"/>
  <c r="J63" i="8"/>
  <c r="E64" i="8"/>
  <c r="G64" i="8"/>
  <c r="J64" i="8"/>
  <c r="G65" i="8"/>
  <c r="J65" i="8"/>
  <c r="G66" i="8"/>
  <c r="J66" i="8"/>
  <c r="J68" i="8"/>
  <c r="E69" i="8"/>
  <c r="G69" i="8"/>
  <c r="J69" i="8"/>
  <c r="B15" i="2"/>
  <c r="S83" i="8"/>
  <c r="S84" i="8"/>
  <c r="S74" i="8"/>
  <c r="S75" i="8"/>
  <c r="S76" i="8"/>
  <c r="S77" i="8"/>
  <c r="S78" i="8"/>
  <c r="S79" i="8"/>
  <c r="S80" i="8"/>
  <c r="S81" i="8"/>
  <c r="S82" i="8"/>
  <c r="R83" i="8"/>
  <c r="R84" i="8"/>
  <c r="R74" i="8"/>
  <c r="R75" i="8"/>
  <c r="R76" i="8"/>
  <c r="R77" i="8"/>
  <c r="R78" i="8"/>
  <c r="R79" i="8"/>
  <c r="R80" i="8"/>
  <c r="R81" i="8"/>
  <c r="R82" i="8"/>
  <c r="Q83" i="8"/>
  <c r="Q84" i="8"/>
  <c r="Q74" i="8"/>
  <c r="Q75" i="8"/>
  <c r="Q76" i="8"/>
  <c r="Q77" i="8"/>
  <c r="Q78" i="8"/>
  <c r="Q79" i="8"/>
  <c r="Q80" i="8"/>
  <c r="Q81" i="8"/>
  <c r="Q82" i="8"/>
  <c r="Y74" i="8"/>
  <c r="V74" i="8"/>
  <c r="Y75" i="8"/>
  <c r="V75" i="8"/>
  <c r="Y76" i="8"/>
  <c r="V76" i="8"/>
  <c r="Y77" i="8"/>
  <c r="V77" i="8"/>
  <c r="Y78" i="8"/>
  <c r="V78" i="8"/>
  <c r="Y79" i="8"/>
  <c r="V79" i="8"/>
  <c r="Y80" i="8"/>
  <c r="V80" i="8"/>
  <c r="Y81" i="8"/>
  <c r="V81" i="8"/>
  <c r="O48" i="8"/>
  <c r="F4" i="11"/>
  <c r="K4" i="11"/>
  <c r="E4" i="11"/>
  <c r="J4" i="11"/>
  <c r="G4" i="11"/>
  <c r="L4" i="11"/>
  <c r="H4" i="11"/>
  <c r="M4" i="11"/>
  <c r="I4" i="11"/>
  <c r="N4" i="11"/>
  <c r="F6" i="11"/>
  <c r="K6" i="11"/>
  <c r="E6" i="11"/>
  <c r="J6" i="11"/>
  <c r="G6" i="11"/>
  <c r="L6" i="11"/>
  <c r="H6" i="11"/>
  <c r="M6" i="11"/>
  <c r="I6" i="11"/>
  <c r="N6" i="11"/>
  <c r="F7" i="11"/>
  <c r="K7" i="11"/>
  <c r="E7" i="11"/>
  <c r="J7" i="11"/>
  <c r="G7" i="11"/>
  <c r="L7" i="11"/>
  <c r="H7" i="11"/>
  <c r="M7" i="11"/>
  <c r="I7" i="11"/>
  <c r="N7" i="11"/>
  <c r="F8" i="11"/>
  <c r="K8" i="11"/>
  <c r="E8" i="11"/>
  <c r="J8" i="11"/>
  <c r="G8" i="11"/>
  <c r="L8" i="11"/>
  <c r="H8" i="11"/>
  <c r="M8" i="11"/>
  <c r="I8" i="11"/>
  <c r="N8" i="11"/>
  <c r="F9" i="11"/>
  <c r="K9" i="11"/>
  <c r="E9" i="11"/>
  <c r="J9" i="11"/>
  <c r="G9" i="11"/>
  <c r="L9" i="11"/>
  <c r="H9" i="11"/>
  <c r="M9" i="11"/>
  <c r="I9" i="11"/>
  <c r="N9" i="11"/>
  <c r="O50" i="8"/>
  <c r="O49" i="8"/>
  <c r="D34" i="8"/>
  <c r="F34" i="8"/>
  <c r="J34" i="8"/>
  <c r="D35" i="8"/>
  <c r="F35" i="8"/>
  <c r="W35" i="8"/>
  <c r="D36" i="8"/>
  <c r="F36" i="8"/>
  <c r="W36" i="8"/>
  <c r="D37" i="8"/>
  <c r="F37" i="8"/>
  <c r="W37" i="8"/>
  <c r="D38" i="8"/>
  <c r="F38" i="8"/>
  <c r="W38" i="8"/>
  <c r="D39" i="8"/>
  <c r="F39" i="8"/>
  <c r="W39" i="8"/>
  <c r="D40" i="8"/>
  <c r="F40" i="8"/>
  <c r="W40" i="8"/>
  <c r="D41" i="8"/>
  <c r="F41" i="8"/>
  <c r="W41" i="8"/>
  <c r="D42" i="8"/>
  <c r="F42" i="8"/>
  <c r="W42" i="8"/>
  <c r="D43" i="8"/>
  <c r="F43" i="8"/>
  <c r="W43" i="8"/>
  <c r="D44" i="8"/>
  <c r="F44" i="8"/>
  <c r="W44" i="8"/>
  <c r="Q47" i="8"/>
  <c r="C30" i="1"/>
  <c r="F23" i="1"/>
  <c r="F30" i="1"/>
  <c r="G23" i="1"/>
  <c r="H34" i="8"/>
  <c r="I34" i="8"/>
  <c r="H35" i="8"/>
  <c r="I35" i="8"/>
  <c r="H36" i="8"/>
  <c r="I36" i="8"/>
  <c r="H37" i="8"/>
  <c r="I37" i="8"/>
  <c r="H38" i="8"/>
  <c r="I38" i="8"/>
  <c r="H39" i="8"/>
  <c r="I39" i="8"/>
  <c r="H40" i="8"/>
  <c r="I40" i="8"/>
  <c r="H41" i="8"/>
  <c r="I41" i="8"/>
  <c r="H42" i="8"/>
  <c r="I42" i="8"/>
  <c r="H43" i="8"/>
  <c r="I43" i="8"/>
  <c r="H44" i="8"/>
  <c r="I44" i="8"/>
  <c r="I47" i="8"/>
  <c r="I48" i="8"/>
  <c r="I49" i="8"/>
  <c r="I50" i="8"/>
  <c r="I51" i="8"/>
  <c r="I52" i="8"/>
  <c r="I53" i="8"/>
  <c r="O34" i="8"/>
  <c r="O35" i="8"/>
  <c r="O36" i="8"/>
  <c r="O37" i="8"/>
  <c r="O38" i="8"/>
  <c r="O39" i="8"/>
  <c r="O40" i="8"/>
  <c r="O41" i="8"/>
  <c r="O42" i="8"/>
  <c r="O43" i="8"/>
  <c r="O44" i="8"/>
  <c r="O47" i="8"/>
  <c r="O51" i="8"/>
  <c r="O52" i="8"/>
  <c r="O53" i="8"/>
  <c r="P34" i="8"/>
  <c r="P35" i="8"/>
  <c r="P36" i="8"/>
  <c r="P37" i="8"/>
  <c r="P38" i="8"/>
  <c r="P39" i="8"/>
  <c r="P40" i="8"/>
  <c r="P41" i="8"/>
  <c r="P42" i="8"/>
  <c r="P43" i="8"/>
  <c r="P44" i="8"/>
  <c r="P47" i="8"/>
  <c r="P48" i="8"/>
  <c r="P49" i="8"/>
  <c r="P50" i="8"/>
  <c r="P51" i="8"/>
  <c r="P52" i="8"/>
  <c r="P53" i="8"/>
  <c r="S35" i="8"/>
  <c r="S36" i="8"/>
  <c r="S37" i="8"/>
  <c r="S38" i="8"/>
  <c r="S39" i="8"/>
  <c r="S40" i="8"/>
  <c r="S41" i="8"/>
  <c r="S42" i="8"/>
  <c r="S43" i="8"/>
  <c r="S44" i="8"/>
  <c r="D15" i="2"/>
  <c r="C15" i="2"/>
  <c r="I35" i="3"/>
  <c r="D20" i="3"/>
  <c r="C17" i="11"/>
  <c r="C15" i="11"/>
  <c r="D45" i="9"/>
  <c r="D33" i="9"/>
  <c r="D46" i="9"/>
  <c r="E33" i="9"/>
  <c r="F33" i="9"/>
  <c r="D34" i="9"/>
  <c r="E34" i="9"/>
  <c r="F34" i="9"/>
  <c r="D35" i="9"/>
  <c r="E35" i="9"/>
  <c r="F35" i="9"/>
  <c r="D32" i="9"/>
  <c r="E32" i="9"/>
  <c r="F32" i="9"/>
  <c r="D6" i="6"/>
  <c r="D7" i="6"/>
  <c r="D8" i="6"/>
  <c r="D9" i="6"/>
  <c r="D5" i="6"/>
  <c r="I108" i="6"/>
  <c r="L107" i="6"/>
  <c r="C17" i="6"/>
  <c r="L108" i="6"/>
  <c r="E17" i="6"/>
  <c r="G17" i="6"/>
  <c r="L106" i="6"/>
  <c r="E105" i="6"/>
  <c r="I110" i="6"/>
  <c r="I106" i="6"/>
  <c r="C120" i="6"/>
  <c r="I112" i="6"/>
  <c r="E106" i="6"/>
  <c r="E118" i="6"/>
  <c r="I113" i="6"/>
  <c r="I111" i="6"/>
  <c r="I109" i="6"/>
  <c r="E107" i="6"/>
  <c r="E108" i="6"/>
  <c r="E109" i="6"/>
  <c r="E110" i="6"/>
  <c r="E111" i="6"/>
  <c r="E112" i="6"/>
  <c r="E113" i="6"/>
  <c r="E114" i="6"/>
  <c r="E115" i="6"/>
  <c r="E116" i="6"/>
  <c r="H39" i="6"/>
  <c r="J25" i="6"/>
  <c r="J26" i="6"/>
  <c r="J27" i="6"/>
  <c r="J28" i="6"/>
  <c r="J29" i="6"/>
  <c r="J30" i="6"/>
  <c r="J31" i="6"/>
  <c r="J32" i="6"/>
  <c r="J33" i="6"/>
  <c r="J34" i="6"/>
  <c r="J35" i="6"/>
  <c r="J24" i="6"/>
  <c r="E24" i="6"/>
  <c r="E25" i="6"/>
  <c r="E26" i="6"/>
  <c r="E27" i="6"/>
  <c r="E28" i="6"/>
  <c r="E29" i="6"/>
  <c r="E30" i="6"/>
  <c r="E31" i="6"/>
  <c r="E32" i="6"/>
  <c r="J37" i="6"/>
  <c r="C36" i="6"/>
  <c r="E34" i="6"/>
  <c r="O69" i="8"/>
  <c r="O68" i="8"/>
  <c r="D67" i="8"/>
  <c r="E67" i="8"/>
  <c r="G67" i="8"/>
  <c r="R67" i="8"/>
  <c r="R69" i="8"/>
  <c r="K68" i="8"/>
  <c r="G58" i="8"/>
  <c r="J58" i="8"/>
  <c r="J67" i="8"/>
  <c r="K67" i="8"/>
  <c r="AU70" i="2"/>
  <c r="AO70" i="2"/>
  <c r="AI70" i="2"/>
  <c r="AC70" i="2"/>
  <c r="W70" i="2"/>
  <c r="Q70" i="2"/>
  <c r="K70" i="2"/>
  <c r="Q48" i="8"/>
  <c r="Q49" i="8"/>
  <c r="Q50" i="8"/>
  <c r="Q51" i="8"/>
  <c r="Q52" i="8"/>
  <c r="Q53" i="8"/>
  <c r="Q35" i="8"/>
  <c r="Q36" i="8"/>
  <c r="Q37" i="8"/>
  <c r="Q38" i="8"/>
  <c r="Q39" i="8"/>
  <c r="Q40" i="8"/>
  <c r="Q41" i="8"/>
  <c r="Q42" i="8"/>
  <c r="Q43" i="8"/>
  <c r="Q44" i="8"/>
  <c r="R62" i="8"/>
  <c r="R63" i="8"/>
  <c r="R64" i="8"/>
  <c r="R61" i="8"/>
  <c r="K59" i="8"/>
  <c r="K60" i="8"/>
  <c r="K61" i="8"/>
  <c r="K62" i="8"/>
  <c r="K63" i="8"/>
  <c r="K64" i="8"/>
  <c r="D58" i="8"/>
  <c r="D59" i="8"/>
  <c r="D60" i="8"/>
  <c r="D61" i="8"/>
  <c r="J35" i="8"/>
  <c r="J36" i="8"/>
  <c r="J37" i="8"/>
  <c r="J38" i="8"/>
  <c r="J39" i="8"/>
  <c r="J40" i="8"/>
  <c r="J41" i="8"/>
  <c r="J42" i="8"/>
  <c r="J43" i="8"/>
  <c r="J44" i="8"/>
  <c r="T35" i="8"/>
  <c r="T36" i="8"/>
  <c r="T37" i="8"/>
  <c r="T38" i="8"/>
  <c r="T39" i="8"/>
  <c r="T40" i="8"/>
  <c r="T41" i="8"/>
  <c r="T42" i="8"/>
  <c r="T43" i="8"/>
  <c r="T44" i="8"/>
  <c r="N72" i="2"/>
  <c r="N73" i="2"/>
  <c r="N74" i="2"/>
  <c r="N75" i="2"/>
  <c r="D67" i="2"/>
  <c r="N76" i="2"/>
  <c r="D68" i="2"/>
  <c r="D69" i="2"/>
  <c r="D70" i="2"/>
  <c r="D71" i="2"/>
  <c r="D72" i="2"/>
  <c r="D73" i="2"/>
  <c r="D74" i="2"/>
  <c r="D75" i="2"/>
  <c r="D76" i="2"/>
  <c r="D77" i="2"/>
  <c r="N77" i="2"/>
  <c r="Q71" i="2"/>
  <c r="L51" i="2"/>
  <c r="Q72" i="2"/>
  <c r="K51" i="2"/>
  <c r="Q59" i="2"/>
  <c r="T72" i="2"/>
  <c r="T73" i="2"/>
  <c r="T74" i="2"/>
  <c r="T75" i="2"/>
  <c r="T76" i="2"/>
  <c r="T77" i="2"/>
  <c r="W71" i="2"/>
  <c r="L52" i="2"/>
  <c r="Q60" i="2"/>
  <c r="Z72" i="2"/>
  <c r="Z73" i="2"/>
  <c r="Z74" i="2"/>
  <c r="Z75" i="2"/>
  <c r="Z76" i="2"/>
  <c r="Z77" i="2"/>
  <c r="AC71" i="2"/>
  <c r="L53" i="2"/>
  <c r="Q61" i="2"/>
  <c r="AF72" i="2"/>
  <c r="AF73" i="2"/>
  <c r="AF74" i="2"/>
  <c r="AF75" i="2"/>
  <c r="AF76" i="2"/>
  <c r="AF77" i="2"/>
  <c r="AI71" i="2"/>
  <c r="L54" i="2"/>
  <c r="Q62" i="2"/>
  <c r="AL72" i="2"/>
  <c r="AL73" i="2"/>
  <c r="AL74" i="2"/>
  <c r="AL75" i="2"/>
  <c r="AL76" i="2"/>
  <c r="AL77" i="2"/>
  <c r="AO71" i="2"/>
  <c r="L55" i="2"/>
  <c r="Q63" i="2"/>
  <c r="AR72" i="2"/>
  <c r="AR73" i="2"/>
  <c r="AR74" i="2"/>
  <c r="AR75" i="2"/>
  <c r="AR76" i="2"/>
  <c r="AR77" i="2"/>
  <c r="AU71" i="2"/>
  <c r="L56" i="2"/>
  <c r="Q64" i="2"/>
  <c r="H72" i="2"/>
  <c r="H73" i="2"/>
  <c r="H74" i="2"/>
  <c r="H75" i="2"/>
  <c r="H76" i="2"/>
  <c r="H77" i="2"/>
  <c r="K71" i="2"/>
  <c r="L50" i="2"/>
  <c r="Q58" i="2"/>
  <c r="AO72" i="2"/>
  <c r="K55" i="2"/>
  <c r="P63" i="2"/>
  <c r="AU72" i="2"/>
  <c r="K56" i="2"/>
  <c r="P64" i="2"/>
  <c r="P59" i="2"/>
  <c r="W72" i="2"/>
  <c r="K52" i="2"/>
  <c r="P60" i="2"/>
  <c r="AC72" i="2"/>
  <c r="K53" i="2"/>
  <c r="P61" i="2"/>
  <c r="AI72" i="2"/>
  <c r="K54" i="2"/>
  <c r="P62" i="2"/>
  <c r="K72" i="2"/>
  <c r="K50" i="2"/>
  <c r="P58" i="2"/>
  <c r="J52" i="2"/>
  <c r="O60" i="2"/>
  <c r="J53" i="2"/>
  <c r="O61" i="2"/>
  <c r="J54" i="2"/>
  <c r="O62" i="2"/>
  <c r="J55" i="2"/>
  <c r="O63" i="2"/>
  <c r="J56" i="2"/>
  <c r="O64" i="2"/>
  <c r="J51" i="2"/>
  <c r="O59" i="2"/>
  <c r="J50" i="2"/>
  <c r="O58" i="2"/>
  <c r="E51" i="2"/>
  <c r="O51" i="2"/>
  <c r="E52" i="2"/>
  <c r="O52" i="2"/>
  <c r="E53" i="2"/>
  <c r="O53" i="2"/>
  <c r="E54" i="2"/>
  <c r="O54" i="2"/>
  <c r="E55" i="2"/>
  <c r="O55" i="2"/>
  <c r="E56" i="2"/>
  <c r="O56" i="2"/>
  <c r="E57" i="2"/>
  <c r="O57" i="2"/>
  <c r="E50" i="2"/>
  <c r="O50" i="2"/>
  <c r="E49" i="2"/>
  <c r="O49" i="2"/>
  <c r="R66" i="8"/>
  <c r="R65" i="8"/>
  <c r="D65" i="8"/>
  <c r="K65" i="8"/>
  <c r="D66" i="8"/>
  <c r="K66" i="8"/>
  <c r="K69" i="8"/>
  <c r="W34" i="8"/>
  <c r="Q34" i="8"/>
  <c r="S34" i="8"/>
  <c r="T34" i="8"/>
  <c r="C7" i="12"/>
  <c r="D7" i="12"/>
  <c r="E7" i="12"/>
  <c r="F7" i="12"/>
  <c r="G7" i="12"/>
  <c r="H7" i="12"/>
  <c r="I7" i="12"/>
  <c r="J7" i="12"/>
  <c r="K7" i="12"/>
  <c r="L7" i="12"/>
  <c r="C6" i="12"/>
  <c r="D6" i="12"/>
  <c r="C8" i="12"/>
  <c r="D8" i="12"/>
  <c r="E6" i="12"/>
  <c r="E8" i="12"/>
  <c r="F6" i="12"/>
  <c r="G6" i="12"/>
  <c r="H6" i="12"/>
  <c r="I6" i="12"/>
  <c r="J6" i="12"/>
  <c r="K6" i="12"/>
  <c r="L6" i="12"/>
  <c r="F8" i="12"/>
  <c r="G8" i="12"/>
  <c r="H8" i="12"/>
  <c r="I8" i="12"/>
  <c r="J8" i="12"/>
  <c r="K8" i="12"/>
  <c r="L8"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Owner</author>
  </authors>
  <commentList>
    <comment ref="I17" authorId="0" shapeId="0" xr:uid="{40EC9C20-C08A-4AE2-8A02-575413A95B5D}">
      <text>
        <r>
          <rPr>
            <b/>
            <sz val="9"/>
            <color indexed="81"/>
            <rFont val="Tahoma"/>
            <family val="2"/>
          </rPr>
          <t>Owner:</t>
        </r>
        <r>
          <rPr>
            <sz val="9"/>
            <color indexed="81"/>
            <rFont val="Tahoma"/>
            <family val="2"/>
          </rPr>
          <t xml:space="preserve">
Source: https://www.xe.com/currencyconverter/convert/?Amount=1&amp;From=GBP&amp;To=USD
Date: 11/05/2024</t>
        </r>
      </text>
    </comment>
    <comment ref="D24" authorId="0" shapeId="0" xr:uid="{EF61148B-D5CC-4432-891F-0EF0FCF61801}">
      <text>
        <r>
          <rPr>
            <b/>
            <sz val="9"/>
            <color indexed="81"/>
            <rFont val="Tahoma"/>
            <family val="2"/>
          </rPr>
          <t>Owner:</t>
        </r>
        <r>
          <rPr>
            <sz val="9"/>
            <color indexed="81"/>
            <rFont val="Tahoma"/>
            <family val="2"/>
          </rPr>
          <t xml:space="preserve">
https://www.shephardmedia.com/news/training-simulation/uk-royal-navy-recruits-banshee-uas-for-project-vam/</t>
        </r>
      </text>
    </comment>
    <comment ref="I24" authorId="0" shapeId="0" xr:uid="{A35E8667-03FF-410E-A6C3-1B24BE6D215F}">
      <text>
        <r>
          <rPr>
            <b/>
            <sz val="9"/>
            <color indexed="81"/>
            <rFont val="Tahoma"/>
            <family val="2"/>
          </rPr>
          <t>Owner:</t>
        </r>
        <r>
          <rPr>
            <sz val="9"/>
            <color indexed="81"/>
            <rFont val="Tahoma"/>
            <family val="2"/>
          </rPr>
          <t xml:space="preserve">
https://www.shephardmedia.com/news/training-simulation/uk-royal-navy-recruits-banshee-uas-for-project-vam/</t>
        </r>
      </text>
    </comment>
    <comment ref="C45" authorId="0" shapeId="0" xr:uid="{89C9E7CA-2661-434C-A71C-1AC8A56356D6}">
      <text>
        <r>
          <rPr>
            <b/>
            <sz val="9"/>
            <color indexed="81"/>
            <rFont val="Tahoma"/>
            <family val="2"/>
          </rPr>
          <t>Owner:</t>
        </r>
        <r>
          <rPr>
            <sz val="9"/>
            <color indexed="81"/>
            <rFont val="Tahoma"/>
            <family val="2"/>
          </rPr>
          <t xml:space="preserve">
https://www.shephardmedia.com/news/training-simulation/uk-royal-navy-recruits-banshee-uas-for-project-vam/</t>
        </r>
      </text>
    </comment>
    <comment ref="D105" authorId="0" shapeId="0" xr:uid="{1DABC9CB-7135-4394-9BBF-30B3A2D4F882}">
      <text>
        <r>
          <rPr>
            <b/>
            <sz val="9"/>
            <color indexed="81"/>
            <rFont val="Tahoma"/>
            <family val="2"/>
          </rPr>
          <t>Owner:</t>
        </r>
        <r>
          <rPr>
            <sz val="9"/>
            <color indexed="81"/>
            <rFont val="Tahoma"/>
            <family val="2"/>
          </rPr>
          <t xml:space="preserve">
https://www.shephardmedia.com/news/training-simulation/uk-royal-navy-recruits-banshee-uas-for-project-vam/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Owner</author>
  </authors>
  <commentList>
    <comment ref="O48" authorId="0" shapeId="0" xr:uid="{925E3E06-1024-42EB-86E0-9ED8B47040D3}">
      <text>
        <r>
          <rPr>
            <b/>
            <sz val="9"/>
            <color indexed="81"/>
            <rFont val="Tahoma"/>
            <family val="2"/>
          </rPr>
          <t>Owner:</t>
        </r>
        <r>
          <rPr>
            <sz val="9"/>
            <color indexed="81"/>
            <rFont val="Tahoma"/>
            <family val="2"/>
          </rPr>
          <t xml:space="preserve">
Source (2020-2028): https://www.statista.com/outlook/cmo/household-appliances/major-appliances/refrigerators/united-kingdom?currency=USD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Owner</author>
    <author>houng</author>
    <author>Houng Xuen Ooi</author>
    <author>Greg Bennett</author>
  </authors>
  <commentList>
    <comment ref="D30" authorId="0" shapeId="0" xr:uid="{3FC21E3B-8267-4AFE-815D-0DF71147EC75}">
      <text>
        <r>
          <rPr>
            <b/>
            <sz val="9"/>
            <color indexed="81"/>
            <rFont val="Tahoma"/>
            <family val="2"/>
          </rPr>
          <t>Owner:</t>
        </r>
        <r>
          <rPr>
            <sz val="9"/>
            <color indexed="81"/>
            <rFont val="Tahoma"/>
            <family val="2"/>
          </rPr>
          <t xml:space="preserve">
Using Despatch TFD3-96 walk-in oven. 
https://www.despatch.com/pdfs/TAD3-48%20and%20TAD3-96%20Spec%20Sheet.pdf</t>
        </r>
      </text>
    </comment>
    <comment ref="O34" authorId="0" shapeId="0" xr:uid="{EBEBBB75-02CF-4914-B781-9A3FCA34704B}">
      <text>
        <r>
          <rPr>
            <b/>
            <sz val="9"/>
            <color indexed="81"/>
            <rFont val="Tahoma"/>
            <family val="2"/>
          </rPr>
          <t>Owner:</t>
        </r>
        <r>
          <rPr>
            <sz val="9"/>
            <color indexed="81"/>
            <rFont val="Tahoma"/>
            <family val="2"/>
          </rPr>
          <t xml:space="preserve">
Tool lifetime is ~60,000 parts before refurb. 
https://moldedfiberglass.com/processes/compression-molding-smc/#:~:text=Cycle%20time%20ranges%20from%201,and%20finishing%20costs%20are%20minimal.</t>
        </r>
      </text>
    </comment>
    <comment ref="S34" authorId="0" shapeId="0" xr:uid="{1E4FAAF9-0B04-4473-AE9D-77C6F475CB03}">
      <text>
        <r>
          <rPr>
            <b/>
            <sz val="9"/>
            <color indexed="81"/>
            <rFont val="Tahoma"/>
            <family val="2"/>
          </rPr>
          <t>Owner:</t>
        </r>
        <r>
          <rPr>
            <sz val="9"/>
            <color indexed="81"/>
            <rFont val="Tahoma"/>
            <family val="2"/>
          </rPr>
          <t xml:space="preserve">
Takt time is assumed to be 0.5 to 1 hour - Granta suggests rate of 1-4 units per hour whilst compstes world suggest takt times of &lt;30 minutes are possible. https://www.compositesworld.com/articles/novel-prepreg-for-compression-molding-in-rapm</t>
        </r>
      </text>
    </comment>
    <comment ref="V34" authorId="0" shapeId="0" xr:uid="{44F2A6A9-853A-4B9E-962E-C8A107D2C241}">
      <text>
        <r>
          <rPr>
            <b/>
            <sz val="9"/>
            <color indexed="81"/>
            <rFont val="Tahoma"/>
            <family val="2"/>
          </rPr>
          <t>Owner:</t>
        </r>
        <r>
          <rPr>
            <sz val="9"/>
            <color indexed="81"/>
            <rFont val="Tahoma"/>
            <family val="2"/>
          </rPr>
          <t xml:space="preserve">
Based on info from manufacturer of Vitrimax T100: press time 1-5 minutes, oven time 1 hour @160 degrees celcius.
https://mallinda.com/wp-content/uploads/2021/10/Mallinda-TDS-T100_10.12.21.pdf</t>
        </r>
      </text>
    </comment>
    <comment ref="W34" authorId="0" shapeId="0" xr:uid="{09445D75-83A2-44CD-A703-3D46B3766CB5}">
      <text>
        <r>
          <rPr>
            <b/>
            <sz val="9"/>
            <color indexed="81"/>
            <rFont val="Tahoma"/>
            <family val="2"/>
          </rPr>
          <t>Owner:</t>
        </r>
        <r>
          <rPr>
            <sz val="9"/>
            <color indexed="81"/>
            <rFont val="Tahoma"/>
            <family val="2"/>
          </rPr>
          <t xml:space="preserve">
Adjusted as oven has capacity for volume of prepregs greater than the requirement for 1 part. Therefore the oven time per part is multiplied by the ratio of the part volume / material utilisation to the oven volume capacity.</t>
        </r>
      </text>
    </comment>
    <comment ref="O47" authorId="0" shapeId="0" xr:uid="{68AF17AC-7B02-41F3-A2AC-9CE32390AED2}">
      <text>
        <r>
          <rPr>
            <b/>
            <sz val="9"/>
            <color indexed="81"/>
            <rFont val="Tahoma"/>
            <family val="2"/>
          </rPr>
          <t>Owner:</t>
        </r>
        <r>
          <rPr>
            <sz val="9"/>
            <color indexed="81"/>
            <rFont val="Tahoma"/>
            <family val="2"/>
          </rPr>
          <t xml:space="preserve">
Tool lifetime is ~60,000 parts before refurb. 
https://moldedfiberglass.com/processes/compression-molding-smc/#:~:text=Cycle%20time%20ranges%20from%201,and%20finishing%20costs%20are%20minimal.</t>
        </r>
      </text>
    </comment>
    <comment ref="S47" authorId="0" shapeId="0" xr:uid="{007ED9A4-9CFA-40FD-B71B-6AEA330CDDD8}">
      <text>
        <r>
          <rPr>
            <b/>
            <sz val="9"/>
            <color indexed="81"/>
            <rFont val="Tahoma"/>
            <family val="2"/>
          </rPr>
          <t>Owner:</t>
        </r>
        <r>
          <rPr>
            <sz val="9"/>
            <color indexed="81"/>
            <rFont val="Tahoma"/>
            <family val="2"/>
          </rPr>
          <t xml:space="preserve">
Takt time is assumed to be 0.5 to 1 hour - Granta suggests rate of 1-4 units per hour whilst compstes world suggest takt times of &lt;30 minutes are possible. https://www.compositesworld.com/articles/novel-prepreg-for-compression-molding-in-rapm
Based on 2 units per hour</t>
        </r>
      </text>
    </comment>
    <comment ref="T47" authorId="0" shapeId="0" xr:uid="{C99CCE37-D40E-45A1-AEF7-79CC354FC154}">
      <text>
        <r>
          <rPr>
            <b/>
            <sz val="9"/>
            <color indexed="81"/>
            <rFont val="Tahoma"/>
            <family val="2"/>
          </rPr>
          <t>Owner:</t>
        </r>
        <r>
          <rPr>
            <sz val="9"/>
            <color indexed="81"/>
            <rFont val="Tahoma"/>
            <family val="2"/>
          </rPr>
          <t xml:space="preserve">
Based on 2 minute dwell time in consolidation cycle followed by cooling at 5 degrees/min
https://www.toraytac.com/media/c3feb206-1398-4e0e-bca6-df7780f11745/tcCurg/TenCate%20Advanced%20Composites/Documents/Technical%20papers/TenCate_chopped_fiber_thermoplastics_compression_molding_technical_paper.pdf
Based on 2 units per 3 hours</t>
        </r>
      </text>
    </comment>
    <comment ref="U47" authorId="0" shapeId="0" xr:uid="{385FDB87-FD0F-4420-8667-E4A33A88A843}">
      <text>
        <r>
          <rPr>
            <b/>
            <sz val="9"/>
            <color indexed="81"/>
            <rFont val="Tahoma"/>
            <family val="2"/>
          </rPr>
          <t>Owner:</t>
        </r>
        <r>
          <rPr>
            <sz val="9"/>
            <color indexed="81"/>
            <rFont val="Tahoma"/>
            <family val="2"/>
          </rPr>
          <t xml:space="preserve">
Based on 2 minute dwell time in consolidation cycle followed by cooling at 5 degrees/min
https://www.toraytac.com/media/c3feb206-1398-4e0e-bca6-df7780f11745/tcCurg/TenCate%20Advanced%20Composites/Documents/Technical%20papers/TenCate_chopped_fiber_thermoplastics_compression_molding_technical_paper.pdf</t>
        </r>
      </text>
    </comment>
    <comment ref="V47" authorId="0" shapeId="0" xr:uid="{3D675C57-B73C-4D74-B641-556904F8FD80}">
      <text>
        <r>
          <rPr>
            <b/>
            <sz val="9"/>
            <color indexed="81"/>
            <rFont val="Tahoma"/>
            <family val="2"/>
          </rPr>
          <t>Owner:</t>
        </r>
        <r>
          <rPr>
            <sz val="9"/>
            <color indexed="81"/>
            <rFont val="Tahoma"/>
            <family val="2"/>
          </rPr>
          <t xml:space="preserve">
Based on 2 minute dwell time in consolidation cycle followed by cooling at 5 degrees/min
https://www.toraytac.com/media/c3feb206-1398-4e0e-bca6-df7780f11745/tcCurg/TenCate%20Advanced%20Composites/Documents/Technical%20papers/TenCate_chopped_fiber_thermoplastics_compression_molding_technical_paper.pdf</t>
        </r>
      </text>
    </comment>
    <comment ref="W47" authorId="0" shapeId="0" xr:uid="{42E75B2E-CE41-4285-ABB3-E87B284C9824}">
      <text>
        <r>
          <rPr>
            <b/>
            <sz val="9"/>
            <color indexed="81"/>
            <rFont val="Tahoma"/>
            <family val="2"/>
          </rPr>
          <t>Owner:</t>
        </r>
        <r>
          <rPr>
            <sz val="9"/>
            <color indexed="81"/>
            <rFont val="Tahoma"/>
            <family val="2"/>
          </rPr>
          <t xml:space="preserve">
Adjusted as oven has capacity for volume of prepregs greater than the requirement for 1 part. Therefore the oven time per part is multiplied by the ratio of the part volume / material utilisation to the oven volume capacity.</t>
        </r>
      </text>
    </comment>
    <comment ref="T61" authorId="1" shapeId="0" xr:uid="{8619DAF3-431E-497A-8F74-3FAFA1D4A273}">
      <text>
        <r>
          <rPr>
            <b/>
            <sz val="9"/>
            <color indexed="81"/>
            <rFont val="Tahoma"/>
            <family val="2"/>
          </rPr>
          <t>houng:</t>
        </r>
        <r>
          <rPr>
            <sz val="9"/>
            <color indexed="81"/>
            <rFont val="Tahoma"/>
            <family val="2"/>
          </rPr>
          <t xml:space="preserve">
Estimated Time for drilling and milling the necessary dimensions and features for Experienced Workers</t>
        </r>
      </text>
    </comment>
    <comment ref="U61" authorId="1" shapeId="0" xr:uid="{73AF9D80-5FD7-4E83-9313-96D238D2D742}">
      <text>
        <r>
          <rPr>
            <b/>
            <sz val="9"/>
            <color indexed="81"/>
            <rFont val="Tahoma"/>
            <family val="2"/>
          </rPr>
          <t>houng:</t>
        </r>
        <r>
          <rPr>
            <sz val="9"/>
            <color indexed="81"/>
            <rFont val="Tahoma"/>
            <family val="2"/>
          </rPr>
          <t xml:space="preserve">
Estimated Time for drilling and milling the necessary dimensions and features for Inexperienced Workers</t>
        </r>
      </text>
    </comment>
    <comment ref="V68" authorId="2" shapeId="0" xr:uid="{D9634C3A-ED1F-4376-B1B7-1B84702A6A24}">
      <text>
        <r>
          <rPr>
            <sz val="11"/>
            <color theme="1"/>
            <rFont val="Aptos Narrow"/>
            <family val="2"/>
            <scheme val="minor"/>
          </rPr>
          <t xml:space="preserve">Houng Xuen Ooi:
Based on the Melt Flow Index of HIP used when blow moulding, taken from Kaofu Chemicals website from the types of HIP that are suitable for blow moulding
https://www.knowde.com/stores/kaofu-chemical/products?filters=chemical-family-high-impact-polystyrene-hips </t>
        </r>
      </text>
    </comment>
    <comment ref="W68" authorId="2" shapeId="0" xr:uid="{B7B93F25-6D41-48C7-9672-3646957AA816}">
      <text>
        <r>
          <rPr>
            <sz val="11"/>
            <color theme="1"/>
            <rFont val="Aptos Narrow"/>
            <family val="2"/>
            <scheme val="minor"/>
          </rPr>
          <t xml:space="preserve">Houng Xuen Ooi:
Based on the Melt Flow Index of HIP used when blow moulding, taken from Kaofu Chemicals website from the types of HIP that are suitable for blow moulding
https://www.knowde.com/stores/kaofu-chemical/products?filters=chemical-family-high-impact-polystyrene-hips </t>
        </r>
      </text>
    </comment>
    <comment ref="Q74" authorId="0" shapeId="0" xr:uid="{6A62C997-B14E-48E8-9C6D-12A871A1098D}">
      <text>
        <r>
          <rPr>
            <b/>
            <sz val="9"/>
            <color indexed="81"/>
            <rFont val="Tahoma"/>
            <family val="2"/>
          </rPr>
          <t>Owner:</t>
        </r>
        <r>
          <rPr>
            <sz val="9"/>
            <color indexed="81"/>
            <rFont val="Tahoma"/>
            <family val="2"/>
          </rPr>
          <t xml:space="preserve">
Tool lifetime is ~60,000 parts before refurb. 
https://moldedfiberglass.com/processes/compression-molding-smc/#:~:text=Cycle%20time%20ranges%20from%201,and%20finishing%20costs%20are%20minimal.</t>
        </r>
      </text>
    </comment>
    <comment ref="U74" authorId="0" shapeId="0" xr:uid="{7FC775F5-E46B-44A1-B896-B64637EB171B}">
      <text>
        <r>
          <rPr>
            <b/>
            <sz val="9"/>
            <color indexed="81"/>
            <rFont val="Tahoma"/>
            <family val="2"/>
          </rPr>
          <t>Owner:</t>
        </r>
        <r>
          <rPr>
            <sz val="9"/>
            <color indexed="81"/>
            <rFont val="Tahoma"/>
            <family val="2"/>
          </rPr>
          <t xml:space="preserve">
Based on 2 units per hour
</t>
        </r>
      </text>
    </comment>
    <comment ref="V74" authorId="3" shapeId="0" xr:uid="{3D1BFCCB-02DB-4159-82DF-7380FCC594CC}">
      <text>
        <r>
          <rPr>
            <b/>
            <sz val="9"/>
            <color indexed="81"/>
            <rFont val="Tahoma"/>
            <family val="2"/>
          </rPr>
          <t>Greg Bennett:</t>
        </r>
        <r>
          <rPr>
            <sz val="9"/>
            <color indexed="81"/>
            <rFont val="Tahoma"/>
            <family val="2"/>
          </rPr>
          <t xml:space="preserve">
Based on 1 unit per 90 mins
</t>
        </r>
      </text>
    </comment>
    <comment ref="W74" authorId="3" shapeId="0" xr:uid="{25A4C201-F123-4906-B525-372774730511}">
      <text>
        <r>
          <rPr>
            <b/>
            <sz val="9"/>
            <color indexed="81"/>
            <rFont val="Tahoma"/>
            <family val="2"/>
          </rPr>
          <t>Greg Bennett:</t>
        </r>
        <r>
          <rPr>
            <sz val="9"/>
            <color indexed="81"/>
            <rFont val="Tahoma"/>
            <family val="2"/>
          </rPr>
          <t xml:space="preserve">
Based on 0 minute dwell time in consolidation cycle followed by cooling at 20 degrees/min
https://www.toraytac.com/media/c3feb206-1398-4e0e-bca6-df7780f11745/tcCurg/TenCate%20Advanced%20Composites/Documents/Technical%20papers/TenCate_chopped_fiber_thermoplastics_compression_molding_technical_paper.pdf
</t>
        </r>
      </text>
    </comment>
    <comment ref="X74" authorId="0" shapeId="0" xr:uid="{0929C131-C443-4C41-B3A3-46E7CE2F7C76}">
      <text>
        <r>
          <rPr>
            <b/>
            <sz val="9"/>
            <color indexed="81"/>
            <rFont val="Tahoma"/>
            <family val="2"/>
          </rPr>
          <t>Owner:</t>
        </r>
        <r>
          <rPr>
            <sz val="9"/>
            <color indexed="81"/>
            <rFont val="Tahoma"/>
            <family val="2"/>
          </rPr>
          <t xml:space="preserve">
Based on 2 minute dwell time in consolidation cycle followed by cooling at 5 degrees/min
https://www.toraytac.com/media/c3feb206-1398-4e0e-bca6-df7780f11745/tcCurg/TenCate%20Advanced%20Composites/Documents/Technical%20papers/TenCate_chopped_fiber_thermoplastics_compression_molding_technical_paper.pdf</t>
        </r>
      </text>
    </comment>
    <comment ref="Y74" authorId="0" shapeId="0" xr:uid="{3C9A19D7-1A48-4265-B25F-1D2BE2FFC8C4}">
      <text>
        <r>
          <rPr>
            <b/>
            <sz val="9"/>
            <color indexed="81"/>
            <rFont val="Tahoma"/>
            <family val="2"/>
          </rPr>
          <t>Owner:</t>
        </r>
        <r>
          <rPr>
            <sz val="9"/>
            <color indexed="81"/>
            <rFont val="Tahoma"/>
            <family val="2"/>
          </rPr>
          <t xml:space="preserve">
Adjusted as oven has capacity for volume of prepregs greater than the requirement for 1 part. Therefore the oven time per part is multiplied by the ratio of the part volume / material utilisation to the oven volume capacity.</t>
        </r>
      </text>
    </comment>
    <comment ref="U82" authorId="3" shapeId="0" xr:uid="{D4144BCC-2744-4B5C-8EE4-7E45927556CA}">
      <text>
        <r>
          <rPr>
            <b/>
            <sz val="9"/>
            <color indexed="81"/>
            <rFont val="Tahoma"/>
            <family val="2"/>
          </rPr>
          <t>Greg Bennett:</t>
        </r>
        <r>
          <rPr>
            <sz val="9"/>
            <color indexed="81"/>
            <rFont val="Tahoma"/>
            <family val="2"/>
          </rPr>
          <t xml:space="preserve">
Labour time based upon labor cost per unit from of $0.5 per unit: https://formlabs.com/uk/blog/injection-molding-cost/
Wage=£172
Price per unit of labor=£0.5
Approx units per hour=172/0.5=344 units
Labour time per unit=60/344=0.17 mins</t>
        </r>
      </text>
    </comment>
    <comment ref="V82" authorId="3" shapeId="0" xr:uid="{97800E8B-BA6C-420A-B366-13152FD7DF1F}">
      <text>
        <r>
          <rPr>
            <b/>
            <sz val="9"/>
            <color indexed="81"/>
            <rFont val="Tahoma"/>
            <family val="2"/>
          </rPr>
          <t>Greg Bennett:</t>
        </r>
        <r>
          <rPr>
            <sz val="9"/>
            <color indexed="81"/>
            <rFont val="Tahoma"/>
            <family val="2"/>
          </rPr>
          <t xml:space="preserve">
Labour time based upon labor cost per unit from of $2.5 per unit: https://formlabs.com/uk/blog/injection-molding-cost/
Wage=£172
Price per unit of labor=£0.5
Approx units per hour=172/2.5=68.8 units
Labour time per unit=60/68.8=0.88 mins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<sst xmlns="http://schemas.openxmlformats.org/spreadsheetml/2006/main" count="1556" uniqueCount="544">
  <si>
    <t>Year</t>
  </si>
  <si>
    <t>£ to $ Exchange Rate</t>
  </si>
  <si>
    <t>Break even analysis</t>
  </si>
  <si>
    <t>*based on average values</t>
  </si>
  <si>
    <t>*Projected values based on steady costs and revenue</t>
  </si>
  <si>
    <t>2024/25</t>
  </si>
  <si>
    <t>2025/26</t>
  </si>
  <si>
    <t>2026/27</t>
  </si>
  <si>
    <t>2027/28</t>
  </si>
  <si>
    <t>2028/29</t>
  </si>
  <si>
    <t>2029/30</t>
  </si>
  <si>
    <t>2030/31</t>
  </si>
  <si>
    <t>2031/32</t>
  </si>
  <si>
    <t>2032/33</t>
  </si>
  <si>
    <t>2033/34</t>
  </si>
  <si>
    <t>Cumulative Costs</t>
  </si>
  <si>
    <t>Cumulative Revenue</t>
  </si>
  <si>
    <t>Cumulative Profit</t>
  </si>
  <si>
    <t>Profit + Loss Statement</t>
  </si>
  <si>
    <t>Year 1 - 2024/25</t>
  </si>
  <si>
    <t>Year 2 - 2025/26</t>
  </si>
  <si>
    <t>Year 3 - 2026/27</t>
  </si>
  <si>
    <t>Year 4 - 2027/28</t>
  </si>
  <si>
    <t>Year 5 - 2028/29</t>
  </si>
  <si>
    <t>Lower</t>
  </si>
  <si>
    <t>Average</t>
  </si>
  <si>
    <t>Higher</t>
  </si>
  <si>
    <t>Revenue</t>
  </si>
  <si>
    <t>Sales revenue</t>
  </si>
  <si>
    <t>Gross revenue</t>
  </si>
  <si>
    <t>Cost of goods sold (COGS)</t>
  </si>
  <si>
    <t>Raw material costs</t>
  </si>
  <si>
    <t>Tooling costs</t>
  </si>
  <si>
    <t>3rd party components</t>
  </si>
  <si>
    <t>Labour costs</t>
  </si>
  <si>
    <t>Total COGS</t>
  </si>
  <si>
    <t>Gross Profit</t>
  </si>
  <si>
    <t>Operating Costs</t>
  </si>
  <si>
    <t>Facility rent &amp; utilities</t>
  </si>
  <si>
    <t>R&amp;D costs</t>
  </si>
  <si>
    <t>Fixed asset investment</t>
  </si>
  <si>
    <t>Total operating costs</t>
  </si>
  <si>
    <t>Operating Profit</t>
  </si>
  <si>
    <t>Tax liability</t>
  </si>
  <si>
    <t>Corporation tax</t>
  </si>
  <si>
    <t>Business rates</t>
  </si>
  <si>
    <t>R&amp;D tax credit</t>
  </si>
  <si>
    <t>Total tax liability</t>
  </si>
  <si>
    <t>Net Profit</t>
  </si>
  <si>
    <t>Income</t>
  </si>
  <si>
    <t>*add low average high</t>
  </si>
  <si>
    <t>Production Rate</t>
  </si>
  <si>
    <t>Sales</t>
  </si>
  <si>
    <t>Unit Cost (£)</t>
  </si>
  <si>
    <t>Gross Profit Margin (%)</t>
  </si>
  <si>
    <t>Sale price (excl. VAT) (£)</t>
  </si>
  <si>
    <t>Total Revenue (£)</t>
  </si>
  <si>
    <t>Parametric analysis</t>
  </si>
  <si>
    <t>Sale price range ($):</t>
  </si>
  <si>
    <t>to</t>
  </si>
  <si>
    <t>Sale price average ($)</t>
  </si>
  <si>
    <t>Wingspan input:</t>
  </si>
  <si>
    <t>Multiple regression - cost vs height, length and wingspan</t>
  </si>
  <si>
    <t>Drone name</t>
  </si>
  <si>
    <t>Length (m)</t>
  </si>
  <si>
    <t>Cost (£)</t>
  </si>
  <si>
    <t>(x (length) - x_bar)^2</t>
  </si>
  <si>
    <t>Wingspan (m)</t>
  </si>
  <si>
    <t>(x (wingspan) - x_bar)^2</t>
  </si>
  <si>
    <t>Banshee Jet 80+ by QinetiQ</t>
  </si>
  <si>
    <t>MQ-9 Reaper by General Atomics</t>
  </si>
  <si>
    <t xml:space="preserve">Desert Hawk by Lockheed Martin </t>
  </si>
  <si>
    <t xml:space="preserve">Watchkeeper WK450 by Thales </t>
  </si>
  <si>
    <t>RQ21 Blackjack</t>
  </si>
  <si>
    <t>Raytheon Coyote</t>
  </si>
  <si>
    <t>Switchblade 300</t>
  </si>
  <si>
    <t>AQ400 Scythe</t>
  </si>
  <si>
    <t>Mugin 5 Pro</t>
  </si>
  <si>
    <t>UJ26 Beaver</t>
  </si>
  <si>
    <t>UJ22 Airborne</t>
  </si>
  <si>
    <t>Sum (x-x_bar)^2</t>
  </si>
  <si>
    <t>Sypaq CORVO</t>
  </si>
  <si>
    <t>x_bar</t>
  </si>
  <si>
    <t>Multiple regression parameters</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</si>
  <si>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</si>
  <si>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</si>
  <si>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</si>
  <si>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</si>
  <si>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</si>
  <si>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</si>
  <si>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</si>
  <si>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</si>
  <si>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</si>
  <si>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</si>
  <si>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</si>
  <si>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</si>
  <si>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</si>
  <si>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</si>
  <si>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</si>
  <si>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</si>
  <si>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</si>
  <si>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</si>
  <si>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</si>
  <si>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</si>
  <si>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</si>
  <si>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</si>
  <si>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</si>
  <si>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</si>
  <si>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RESIDUAL OUTPUT</t>
  </si>
  <si>
    <t>PROBABILITY OUTPUT</t>
  </si>
  <si>
    <t>Observation</t>
  </si>
  <si>
    <t>Predicted Cost (£)</t>
  </si>
  <si>
    <t>Residuals</t>
  </si>
  <si>
    <t>Standard Residuals</t>
  </si>
  <si>
    <t>Percentile</t>
  </si>
  <si>
    <t>Linear regression - wingspan vs cost</t>
  </si>
  <si>
    <t>Mean Response:</t>
  </si>
  <si>
    <t>x0</t>
  </si>
  <si>
    <t>ME</t>
  </si>
  <si>
    <t>level</t>
  </si>
  <si>
    <t>lower CI</t>
  </si>
  <si>
    <t>y_hat0</t>
  </si>
  <si>
    <t>upper CI</t>
  </si>
  <si>
    <t>n</t>
  </si>
  <si>
    <t>t</t>
  </si>
  <si>
    <t>s</t>
  </si>
  <si>
    <t>(x0-x_bar)^2</t>
  </si>
  <si>
    <t>Sxx</t>
  </si>
  <si>
    <t>List of symbols</t>
  </si>
  <si>
    <t>x</t>
  </si>
  <si>
    <t>Observed value of Wingspan</t>
  </si>
  <si>
    <t>Required value of Wingspan</t>
  </si>
  <si>
    <t>Confidence level</t>
  </si>
  <si>
    <t>Predicted value of Cost</t>
  </si>
  <si>
    <t>Number of observations</t>
  </si>
  <si>
    <t>t-multiplier</t>
  </si>
  <si>
    <t>Mean Square Error (MSE)</t>
  </si>
  <si>
    <t>Mean Wingspan</t>
  </si>
  <si>
    <t>Sum of (x-x_bar)^2</t>
  </si>
  <si>
    <t>General Costs</t>
  </si>
  <si>
    <t>Facility rental</t>
  </si>
  <si>
    <t>Space required</t>
  </si>
  <si>
    <t>Annual rental cost per square metre</t>
  </si>
  <si>
    <t>Space requirements include space for manufacture as well as space for storage</t>
  </si>
  <si>
    <t>Rent is £8.75 per sq ft in the South West https://www.statista.com/statistics/323030/prime-industrial-rent-costs-in-the-united-kingdom-uk/</t>
  </si>
  <si>
    <t>Energy requirements - including heating and lighting - per square meter</t>
  </si>
  <si>
    <t>Cost of utilities per square meter</t>
  </si>
  <si>
    <t>Including electricity heating etc - assumed analogous to cost of office building as overheads are included in machinery costs</t>
  </si>
  <si>
    <t>approx £4 per sq ft</t>
  </si>
  <si>
    <t>https://thermaticenergy.co.uk/business-energy-costs/</t>
  </si>
  <si>
    <t>Facility Rental Cost:</t>
  </si>
  <si>
    <t>Storage space required is estimated in the section Distribution &amp; Storage.</t>
  </si>
  <si>
    <t>Storage space required (m^2)</t>
  </si>
  <si>
    <t>Production space required (m^2)</t>
  </si>
  <si>
    <t>Correction factor</t>
  </si>
  <si>
    <t>Total area required (m^3)</t>
  </si>
  <si>
    <t>Rental rate per year (£/m^2)</t>
  </si>
  <si>
    <t>Utility rate per year (£/m^2)</t>
  </si>
  <si>
    <t>Total facility cost per year (£)</t>
  </si>
  <si>
    <t>Rent rate:</t>
  </si>
  <si>
    <t>Utility rate:</t>
  </si>
  <si>
    <t>(£/sq ft)</t>
  </si>
  <si>
    <t>(£/m^2)</t>
  </si>
  <si>
    <t>Non-engineering staff:</t>
  </si>
  <si>
    <t>R&amp;D</t>
  </si>
  <si>
    <t>R&amp;D Expenditure by year:</t>
  </si>
  <si>
    <t>R&amp;D Expenditure (£)</t>
  </si>
  <si>
    <t>Low</t>
  </si>
  <si>
    <t xml:space="preserve">Average </t>
  </si>
  <si>
    <t>High</t>
  </si>
  <si>
    <t>* For tax year purposes, the average value of spanning years is taken.</t>
  </si>
  <si>
    <t>Calculations:</t>
  </si>
  <si>
    <t>Military drones (UAS/UAV): estimated global production value 2013-2022</t>
  </si>
  <si>
    <t>Estimated worldwide production value for unmanned aerial vehicles (military drones) from 2013 to 2022 (in million U.S. dollars)</t>
  </si>
  <si>
    <t>2013</t>
  </si>
  <si>
    <t>Source:</t>
  </si>
  <si>
    <t>2014</t>
  </si>
  <si>
    <t>https://www.statista.com/statistics/428958/global-and-us-production-volume-forecast-for-unmanned-aerial-systems-or-drones/</t>
  </si>
  <si>
    <t>2015</t>
  </si>
  <si>
    <t>2016</t>
  </si>
  <si>
    <t>2017</t>
  </si>
  <si>
    <t>2018</t>
  </si>
  <si>
    <t>2019</t>
  </si>
  <si>
    <t>2020</t>
  </si>
  <si>
    <t>2021</t>
  </si>
  <si>
    <t>2022</t>
  </si>
  <si>
    <t>Military drones (UAS/UAV): estimated U.S. and global R&amp;D budget 2014-2023</t>
  </si>
  <si>
    <t>Global</t>
  </si>
  <si>
    <t>Estimated global and U.S. research and development budget for unmanned aerial vehicles (drones) from 2014 to 2023 (in million U.S. dollars)</t>
  </si>
  <si>
    <t>2023</t>
  </si>
  <si>
    <t>R&amp;D investment as a percentage of revenue:</t>
  </si>
  <si>
    <t>Historical:</t>
  </si>
  <si>
    <t>Percentage</t>
  </si>
  <si>
    <t>Projection:</t>
  </si>
  <si>
    <t>Percentage of revenue spent on R&amp;D</t>
  </si>
  <si>
    <t>Upper</t>
  </si>
  <si>
    <t xml:space="preserve">Mean </t>
  </si>
  <si>
    <t>N/A</t>
  </si>
  <si>
    <t>Cost estimating relationship - R&amp;D investment as a percentage of revenue against year</t>
  </si>
  <si>
    <t>Mean response calculations</t>
  </si>
  <si>
    <t>Projected for the next 5 years: 2024-2029</t>
  </si>
  <si>
    <t>(x-x_bar)^2</t>
  </si>
  <si>
    <t>Prediction interval mean error equation:</t>
  </si>
  <si>
    <t>Observed value of year</t>
  </si>
  <si>
    <t>Required value of year</t>
  </si>
  <si>
    <t>Predicted value of R&amp;D spend (£)</t>
  </si>
  <si>
    <t>Mean year</t>
  </si>
  <si>
    <t>Manufacture</t>
  </si>
  <si>
    <t>Production rate (per annum):</t>
  </si>
  <si>
    <t>Raw Materials</t>
  </si>
  <si>
    <t>Material</t>
  </si>
  <si>
    <t>Total cost per unit (£)</t>
  </si>
  <si>
    <t>Total embodied CO2 per unit (kgCO2)</t>
  </si>
  <si>
    <t>Basalt fibre reinforced Vitrimax T100</t>
  </si>
  <si>
    <t>Polyetheretherketone (PEEK) / IM Carbon Fibre (UD Prepreg, UD Lay-up) Brand Name: Victrex PEEK</t>
  </si>
  <si>
    <t>*Add bulk material discount rate</t>
  </si>
  <si>
    <t>Aluminium T6-6061</t>
  </si>
  <si>
    <t>HIP</t>
  </si>
  <si>
    <t xml:space="preserve">Machine investment </t>
  </si>
  <si>
    <t>*assume investment happens in the year prior to the need for additional machines.</t>
  </si>
  <si>
    <t>Machine</t>
  </si>
  <si>
    <t>Machine unit cost (£)</t>
  </si>
  <si>
    <t>Fixed asset investment (£)</t>
  </si>
  <si>
    <t>Year 1</t>
  </si>
  <si>
    <t>Year 2</t>
  </si>
  <si>
    <t>Year 3</t>
  </si>
  <si>
    <t>Year 4</t>
  </si>
  <si>
    <t>Year 5</t>
  </si>
  <si>
    <t>Compression press with heat</t>
  </si>
  <si>
    <t>Oven</t>
  </si>
  <si>
    <t>Milling Machine</t>
  </si>
  <si>
    <t>Drill</t>
  </si>
  <si>
    <t>Die Forging Press</t>
  </si>
  <si>
    <t>Blow Moulding Machine</t>
  </si>
  <si>
    <t>Tooling</t>
  </si>
  <si>
    <t>Tooling Cost per unit - lower (£)</t>
  </si>
  <si>
    <t>Tooling Cost per unit - average (£)</t>
  </si>
  <si>
    <t>Tooling Cost per unit - higher (£)</t>
  </si>
  <si>
    <t>Labour</t>
  </si>
  <si>
    <t>Labour Rates</t>
  </si>
  <si>
    <t>Typical labour distribution</t>
  </si>
  <si>
    <t>Fabrication labour time per unit (hours)</t>
  </si>
  <si>
    <t>Labour type</t>
  </si>
  <si>
    <t>Typical labour distribution (%)</t>
  </si>
  <si>
    <t>Labour time per unit (hours)</t>
  </si>
  <si>
    <t>Labour rate (£/hr)</t>
  </si>
  <si>
    <t>Labour cost per unit (£)</t>
  </si>
  <si>
    <t>Labour split (%)</t>
  </si>
  <si>
    <t>Fabrication</t>
  </si>
  <si>
    <t>Production Management</t>
  </si>
  <si>
    <t>Assembly</t>
  </si>
  <si>
    <t>Test and QA</t>
  </si>
  <si>
    <t>Sustaining Engineering</t>
  </si>
  <si>
    <t>Tool Maintenance</t>
  </si>
  <si>
    <t>Production Support</t>
  </si>
  <si>
    <t>Source: SEER</t>
  </si>
  <si>
    <t>Source: SEER - using typical labour breakdowns for UAS components</t>
  </si>
  <si>
    <t>Sensor Suite</t>
  </si>
  <si>
    <t>Example sensor and control system for purpose of cost model, all sourced from: https://uavionix.com/</t>
  </si>
  <si>
    <t>Part name</t>
  </si>
  <si>
    <t>Description</t>
  </si>
  <si>
    <t>Cost ($)</t>
  </si>
  <si>
    <t>ping200XR</t>
  </si>
  <si>
    <t>Transponder allowing communication with civil aviation systems</t>
  </si>
  <si>
    <t>George G3 Autopilot</t>
  </si>
  <si>
    <t>Autopilot system including ground and airborne radio systems and GPS.</t>
  </si>
  <si>
    <t>Casia X</t>
  </si>
  <si>
    <t>Detect and avoid system utilising computer vision. Onboard camera has detection range of approximately 1.5 km.</t>
  </si>
  <si>
    <t>https://dronedj.com/2021/06/28/iris-automations-detect-and-avoid-a-closer-look/</t>
  </si>
  <si>
    <t>LiAIR X3-H</t>
  </si>
  <si>
    <t>Lidar system</t>
  </si>
  <si>
    <t>https://candrone.com/collections/lidar-drone/products/liair-x3-greenvalley-international</t>
  </si>
  <si>
    <t>Additional equipment</t>
  </si>
  <si>
    <t>Total unit cost</t>
  </si>
  <si>
    <t>Total unit cost (£/unit)</t>
  </si>
  <si>
    <t>https://www.ensingerplastics.com/en-gb/shapes/products/carbon-filled-peek-composite-tecatec-peek-cw50-pl-v01-natural#/product-technical-detail-collapse-item-3-lvl-1</t>
  </si>
  <si>
    <t>Subsystem 1</t>
  </si>
  <si>
    <t>Part ref</t>
  </si>
  <si>
    <t>Part volume (mm^3)</t>
  </si>
  <si>
    <t>Part volume m^3</t>
  </si>
  <si>
    <t>Quantity</t>
  </si>
  <si>
    <t>Total volume (m^3)</t>
  </si>
  <si>
    <t>Material Cost per m^3</t>
  </si>
  <si>
    <t>Material Cost</t>
  </si>
  <si>
    <t>Material GWP (kgCO2)</t>
  </si>
  <si>
    <t>Production method</t>
  </si>
  <si>
    <t>Machine(s) required</t>
  </si>
  <si>
    <t>Machine cost (GBP)</t>
  </si>
  <si>
    <t>Tooling cost per unit (GBP) -lower</t>
  </si>
  <si>
    <t>Tooling cost per unit (GBP) -upper</t>
  </si>
  <si>
    <t>Manufacture GWP (kgCO2)</t>
  </si>
  <si>
    <t>Skilled labour required? Y/N</t>
  </si>
  <si>
    <t>Labour time per unit (mins) - lower</t>
  </si>
  <si>
    <t>Labour time per unit (mins) - upper</t>
  </si>
  <si>
    <t>Press time per unit (mins) - lower</t>
  </si>
  <si>
    <t>Press time per unit (mins) - upper</t>
  </si>
  <si>
    <t>Oven adjusted time per unit (mins)</t>
  </si>
  <si>
    <t>BotShell</t>
  </si>
  <si>
    <t>TECATEC PEEK CW50 PL V01</t>
  </si>
  <si>
    <t>Thermoplastic Compression Moulding</t>
  </si>
  <si>
    <t>Heated compression press, oven</t>
  </si>
  <si>
    <t>Y</t>
  </si>
  <si>
    <t>EngPlate</t>
  </si>
  <si>
    <t>5 Axis Waterjet Cutting</t>
  </si>
  <si>
    <t>N</t>
  </si>
  <si>
    <t>EngTopSpar</t>
  </si>
  <si>
    <t>FRib1</t>
  </si>
  <si>
    <t>FRib2</t>
  </si>
  <si>
    <t>FrontPlate</t>
  </si>
  <si>
    <t>FuelTank</t>
  </si>
  <si>
    <t>LNoseCover</t>
  </si>
  <si>
    <t>LongSpar</t>
  </si>
  <si>
    <t>RadMount</t>
  </si>
  <si>
    <t>RNoseCover</t>
  </si>
  <si>
    <t>RRib1</t>
  </si>
  <si>
    <t>RRib2</t>
  </si>
  <si>
    <t>SparRib</t>
  </si>
  <si>
    <t>TailSocket</t>
  </si>
  <si>
    <t>TailSupp</t>
  </si>
  <si>
    <t>TankMount</t>
  </si>
  <si>
    <t>TopShell</t>
  </si>
  <si>
    <t>TopSpar</t>
  </si>
  <si>
    <t>WingSocket</t>
  </si>
  <si>
    <t>WingSocket_Mir</t>
  </si>
  <si>
    <t>Tail</t>
  </si>
  <si>
    <t>Oven volume capacity:</t>
  </si>
  <si>
    <t>m^3</t>
  </si>
  <si>
    <t>Part volume (m^3)</t>
  </si>
  <si>
    <t>Tail_v_skin</t>
  </si>
  <si>
    <t>Compression Moulding</t>
  </si>
  <si>
    <t>Compression press with heat, Oven</t>
  </si>
  <si>
    <t>Tip_rib_v</t>
  </si>
  <si>
    <t>Spar_v</t>
  </si>
  <si>
    <t>Rib_2_v</t>
  </si>
  <si>
    <t>Rib_3_v</t>
  </si>
  <si>
    <t>Root_rib_v</t>
  </si>
  <si>
    <t>Tail_h_skin</t>
  </si>
  <si>
    <t>Tip_rib_h</t>
  </si>
  <si>
    <t>Spar_h</t>
  </si>
  <si>
    <t>Root_rib_h</t>
  </si>
  <si>
    <t>Rib_2_h</t>
  </si>
  <si>
    <t>Subsystem 3</t>
  </si>
  <si>
    <t>Wing Shell</t>
  </si>
  <si>
    <t>Main Spar</t>
  </si>
  <si>
    <t>Aileron Spar</t>
  </si>
  <si>
    <t>Aron Spar Rootside Rib</t>
  </si>
  <si>
    <t>Aron Spar Tipside Rib</t>
  </si>
  <si>
    <t>Wing End Cap</t>
  </si>
  <si>
    <t>Root Rib</t>
  </si>
  <si>
    <t>Payload Bay</t>
  </si>
  <si>
    <t>Material Cost (GBP per m^3 )</t>
  </si>
  <si>
    <t>Material Cost (Total in GBP)</t>
  </si>
  <si>
    <t>Machine cost (GBP) - lower</t>
  </si>
  <si>
    <t>Machine cost (GBP) - upper2</t>
  </si>
  <si>
    <t>Tooling cost per unit (GBP) - lower</t>
  </si>
  <si>
    <t>Tooling cost per unit (GBP) - upper</t>
  </si>
  <si>
    <t>Hatch Door</t>
  </si>
  <si>
    <t>HP RTM/ Thermoplastic Composite Moulding</t>
  </si>
  <si>
    <t>Hook-Shaft Model Component Left</t>
  </si>
  <si>
    <t>Hot Closed Die Forging + Welding</t>
  </si>
  <si>
    <t>External Parts</t>
  </si>
  <si>
    <t>Hook-Shaft Mode Component Right</t>
  </si>
  <si>
    <t>Motor Shafts Housing</t>
  </si>
  <si>
    <t>Machining</t>
  </si>
  <si>
    <t>Milling Machine, Drilling Machine</t>
  </si>
  <si>
    <t>Milling :                                               1010
Drilling :                                              3030</t>
  </si>
  <si>
    <t>Milling :                                            80900 
Drilling :                                          10100</t>
  </si>
  <si>
    <t>Negligible</t>
  </si>
  <si>
    <t>Actuation support Frame</t>
  </si>
  <si>
    <t xml:space="preserve">   </t>
  </si>
  <si>
    <t>Hatch Door Connection Bracket_Back</t>
  </si>
  <si>
    <t>Hatch Door Connection Bracket_Front</t>
  </si>
  <si>
    <t>Stepper Motor Bracket</t>
  </si>
  <si>
    <t>Sheet Press-Forming + Machining + Welding</t>
  </si>
  <si>
    <t>Metal Die Press, Milling Machine, Drilling Machine</t>
  </si>
  <si>
    <t>Press-Forming :                            77600
Milling + Drilling :                            4040</t>
  </si>
  <si>
    <t>Press-Forming :                         776000
Milling + Drilling :                         91000</t>
  </si>
  <si>
    <t xml:space="preserve">Press-Forming :        0.258333333
Milling + Drilling :                               N/A                  </t>
  </si>
  <si>
    <t xml:space="preserve">Press-Forming :        5.166666667
Milling + Drilling :                               N/A                  </t>
  </si>
  <si>
    <t>Side-Wall Motor Bracket</t>
  </si>
  <si>
    <t xml:space="preserve">Press-Forming :        0.516666667
Milling + Drilling :                               N/A                  </t>
  </si>
  <si>
    <t xml:space="preserve">Press-Forming :        10.333333333
Milling + Drilling :                               N/A                  </t>
  </si>
  <si>
    <t>Payload Box Innards</t>
  </si>
  <si>
    <t>Expanded Polystyrene (moulded)</t>
  </si>
  <si>
    <t>External Part</t>
  </si>
  <si>
    <t>Payload Box Impact Resistant Shell_Inner</t>
  </si>
  <si>
    <t>Injecton Blow Moulding</t>
  </si>
  <si>
    <t>Payload Box Impact Resistant Shell_Outer</t>
  </si>
  <si>
    <t>Subsystem 5</t>
  </si>
  <si>
    <t>Density kg/m^3</t>
  </si>
  <si>
    <t>Aileron</t>
  </si>
  <si>
    <t>Aileron_Skin_Lower_Right</t>
  </si>
  <si>
    <t xml:space="preserve">Polyetheretherketone (PEEK) / IM Carbon Fibre (UD Prepreg, UD Lay-up) </t>
  </si>
  <si>
    <t>Compression Molding</t>
  </si>
  <si>
    <t>Aileron_Skin_Upper_Right</t>
  </si>
  <si>
    <t>Aileron_Rib_Tip_Right</t>
  </si>
  <si>
    <t>Toray Cetex® MC1200-4A, PEEK, 25.4 mm (1”) Standard-modulus AS-4 fiber chopped</t>
  </si>
  <si>
    <t>Aileron_Rib_Root_Right</t>
  </si>
  <si>
    <t>Aileron_Skin_Lower_Left</t>
  </si>
  <si>
    <t>Aileron_Skin_Upper_Left</t>
  </si>
  <si>
    <t>Aileron_Rib_Tip_Left</t>
  </si>
  <si>
    <t>Aileron_Rib_Root_Left</t>
  </si>
  <si>
    <t>Elevators</t>
  </si>
  <si>
    <t>Elevator_Right</t>
  </si>
  <si>
    <t>Injection Molding</t>
  </si>
  <si>
    <t>Injection Molding Machine (Hopper, barrel, reciprocating screw, moveable platen nozzle, mold)</t>
  </si>
  <si>
    <t>Elevator_Left</t>
  </si>
  <si>
    <t>Rudder</t>
  </si>
  <si>
    <t>Machine footprint (m^2)</t>
  </si>
  <si>
    <t>Usage per unit (mins)</t>
  </si>
  <si>
    <t>Utilisation (%)</t>
  </si>
  <si>
    <t>Number of machines machines required</t>
  </si>
  <si>
    <t>Required production rate (per annum):</t>
  </si>
  <si>
    <t>Required production rate (per day):</t>
  </si>
  <si>
    <t>Available hours (per day):</t>
  </si>
  <si>
    <t>Available hours per unit:</t>
  </si>
  <si>
    <t>Available minutes per unit:</t>
  </si>
  <si>
    <t>Distribution &amp; Storage</t>
  </si>
  <si>
    <t>Assuming daily deliveries of raw materials and daily pick-up of drone stock.</t>
  </si>
  <si>
    <t>Raw Materials Space requirement:</t>
  </si>
  <si>
    <t>Estimated by calculating the volume of raw materials required to support a day of production and then multiplying by a correction factor of 5 to account for shelving, packaging and access space.</t>
  </si>
  <si>
    <t>Production rate per day</t>
  </si>
  <si>
    <t>Raw material volume per unit (m^3)</t>
  </si>
  <si>
    <t>Total raw material volume per day (m^3)</t>
  </si>
  <si>
    <t>Storage correction factor</t>
  </si>
  <si>
    <t>Storage space required (m^3)</t>
  </si>
  <si>
    <t>Estimate footprint somehow</t>
  </si>
  <si>
    <t>Finished product space requirement:</t>
  </si>
  <si>
    <t>Estimated by assuming the volume required for a finsihed drone is equal to the volume of a cuboid with major dimensions equal to that of a finished drone fuselage and multiplying by a correction factor of 2 to account for access space.</t>
  </si>
  <si>
    <t>The estimation is based on the fact that the drone wings and tail surface (which were desinged with modularity in mind) are removed for transport.</t>
  </si>
  <si>
    <t>Packaged Width (m)</t>
  </si>
  <si>
    <t>Packaged Length (m)</t>
  </si>
  <si>
    <t>Final product packaged volume per day (m^3)</t>
  </si>
  <si>
    <t>Storage space correction factor</t>
  </si>
  <si>
    <t>Logistics Costs:</t>
  </si>
  <si>
    <t>Delivery of raw materials:</t>
  </si>
  <si>
    <t>It is conservatively assumed that each material has its own unique supplier and, therefore, the number of incoming deliveries is equal to the number of unique materials.</t>
  </si>
  <si>
    <t>Upper limit of delivery costs assume international delivery, lower limit assumes delivery from within the UK.</t>
  </si>
  <si>
    <t>Check SEER for additional info</t>
  </si>
  <si>
    <t>Material volume per unit (m^3)</t>
  </si>
  <si>
    <t>Material volume per day (m^3)</t>
  </si>
  <si>
    <t>Material mass per day (kg)</t>
  </si>
  <si>
    <t>Haulage rate (£/m^3)</t>
  </si>
  <si>
    <t>Shipping rate (£/m^3)</t>
  </si>
  <si>
    <t>Delivery Costs - lower (£)</t>
  </si>
  <si>
    <t>Delivery Costs - upper (£)</t>
  </si>
  <si>
    <t>Delivery of finsihed product is assumed to be covered by customer and is therefore cancelled out and omitted from this estimation.</t>
  </si>
  <si>
    <t>Haulage rates:</t>
  </si>
  <si>
    <t>Rate per mile (£/mile)</t>
  </si>
  <si>
    <t>Best case cost (£)</t>
  </si>
  <si>
    <t>Worst case cost (£)</t>
  </si>
  <si>
    <t>Average cost (£)</t>
  </si>
  <si>
    <t>Up to 3.5 tonne</t>
  </si>
  <si>
    <t>Up to 10 tonne</t>
  </si>
  <si>
    <t>Up to 16 tonne</t>
  </si>
  <si>
    <t>Up to 28 tonne</t>
  </si>
  <si>
    <t>Assume all raw materials are sourced either within the UK (best case) or within Europe (worst case)</t>
  </si>
  <si>
    <t>In 2022, the average distance travelled per tonne in total road freight transport in the EU was 141.3 km, whereas in national road freight transport it was 95.4 km; 611.6 km in international transport; 746.4 km in cross-trade transport and 283.7 km in cabotage transport (see Figure 6).</t>
  </si>
  <si>
    <t>https://ec.europa.eu/eurostat/statistics-explained/index.php?title=Road_freight_transport_by_journey_characteristics#Average_distance_travelled_per_tonne_of_load</t>
  </si>
  <si>
    <t>Average freight distances:</t>
  </si>
  <si>
    <t>(km)</t>
  </si>
  <si>
    <t>(miles)</t>
  </si>
  <si>
    <t>Within UK</t>
  </si>
  <si>
    <t>Within Europe</t>
  </si>
  <si>
    <t>Taxes</t>
  </si>
  <si>
    <t>Rates:</t>
  </si>
  <si>
    <t>Avg</t>
  </si>
  <si>
    <t>Corporation Tax</t>
  </si>
  <si>
    <t>If profit &gt; £50,000</t>
  </si>
  <si>
    <t>If profit &lt;= £50,000</t>
  </si>
  <si>
    <t>Annual Profit</t>
  </si>
  <si>
    <t>R&amp;D tax relief</t>
  </si>
  <si>
    <t>Standard rate</t>
  </si>
  <si>
    <t>* Assume company has &lt;500 employees and total assets &lt;£86million</t>
  </si>
  <si>
    <t>VAT</t>
  </si>
  <si>
    <t>Enhanced rate</t>
  </si>
  <si>
    <t>Surrender rate</t>
  </si>
  <si>
    <t>Taxable income</t>
  </si>
  <si>
    <t>If rateable value &lt; £50,000 per annum</t>
  </si>
  <si>
    <t>If rateable value &gt;= £50,000 per annum</t>
  </si>
  <si>
    <t>R&amp;D Tax Credits</t>
  </si>
  <si>
    <t>National insurance</t>
  </si>
  <si>
    <t>Skilled labour</t>
  </si>
  <si>
    <t>*Convert labour rates to annual wage then subtract 12570</t>
  </si>
  <si>
    <t>R&amp;D expenditure</t>
  </si>
  <si>
    <t>Unskilled labour</t>
  </si>
  <si>
    <t>Ratio of R&amp;D expenditure to revenue</t>
  </si>
  <si>
    <t>Enhanced expenditure (if applicable)</t>
  </si>
  <si>
    <t>Payable cash credit</t>
  </si>
  <si>
    <t>Payable tax credit</t>
  </si>
  <si>
    <t>Business Rates</t>
  </si>
  <si>
    <t>Facility rent per annum</t>
  </si>
  <si>
    <t>Business rate tax</t>
  </si>
  <si>
    <t>1. Multiply R&amp;D expenditure by 0.2</t>
  </si>
  <si>
    <t>2. Multiply this value by (1-corporation tax rate)</t>
  </si>
  <si>
    <t>3. If profit making, this is the value of the R&amp;D tax credit</t>
  </si>
  <si>
    <t>4. If loss making, and not R&amp;D intensive (&gt;30% revenue spent on R&amp;D), this is a cash credit</t>
  </si>
  <si>
    <t>5. If loss making, and R&amp;D intensive, multiply R&amp;D expenditure by enhanced rate of 0.86</t>
  </si>
  <si>
    <t>6. Add this value to your R&amp;D expenditure to give enhanced expenditure.</t>
  </si>
  <si>
    <t>7. Multiply by the surrender rate of 14.5%</t>
  </si>
  <si>
    <t>8. This is the value of the cash credit.</t>
  </si>
  <si>
    <t>https://forrestbrown.co.uk/rd-tax-credits-explained/r-d-tax-credit-calculator/#sme-loss-250-500</t>
  </si>
  <si>
    <t>Corportion tax rate is 25% of profits</t>
  </si>
  <si>
    <t>Calculate number of employees required using notional hours of work for manufacture (+add estimate for R&amp;D team, sales etc)</t>
  </si>
  <si>
    <t>https://www.gov.uk/corporation-tax-rates</t>
  </si>
  <si>
    <t>If your company made a profit of £50,000 or less, you’ll pay the ‘small profits rate’, which is 19%.</t>
  </si>
  <si>
    <t>You may be entitled to ‘Marginal Relief’ if your profits were between £50,000 and £250,000.</t>
  </si>
  <si>
    <t>20% added to sale price</t>
  </si>
  <si>
    <t>National Insurance</t>
  </si>
  <si>
    <t>**ignored**</t>
  </si>
  <si>
    <t>National insurance contributions</t>
  </si>
  <si>
    <t>Businesses pay 13.8% for employees with earnings above £12,570 in 2023-24. </t>
  </si>
  <si>
    <t>Investment in assets can be written off from tax up to £1 million</t>
  </si>
  <si>
    <t>Automated Fibre Placement</t>
  </si>
  <si>
    <t>Lay up rate (kg/hr)</t>
  </si>
  <si>
    <t>density kg/m3</t>
  </si>
  <si>
    <t>kg/min</t>
  </si>
  <si>
    <t>Machine time per unit - lower</t>
  </si>
  <si>
    <t>Machine time per unit - upper</t>
  </si>
  <si>
    <t>Automated fibre placement machine</t>
  </si>
  <si>
    <t>Press Cost (GBP)</t>
  </si>
  <si>
    <t>Oven cost (GBP)</t>
  </si>
  <si>
    <t>Press cost (GBP)</t>
  </si>
  <si>
    <t>Injection Moulding cost (GBP)</t>
  </si>
  <si>
    <t>Injection Moulding Equipment</t>
  </si>
  <si>
    <t>Labour Appendix</t>
  </si>
  <si>
    <t>Sources for machine footprint</t>
  </si>
  <si>
    <t>Max size of fuselage</t>
  </si>
  <si>
    <t>https://www.amarc.com/en/prodotti/industrial-ovens-drying-ovens/</t>
  </si>
  <si>
    <t>https://www.chesterhobbystore.com/shop/metalworking-machines/mills/626-turret-mill/</t>
  </si>
  <si>
    <t>https://www.industrial-equipment.co.uk/online-tools-store/r095-3534-heavy-duty-pillar-drill-info.html</t>
  </si>
  <si>
    <t>https://www.angele-shop.com/shop/en/hydraulic-forging-press-an-y04-50t</t>
  </si>
  <si>
    <t>https://newhesta.de/en/portfolio-items/hv200e/</t>
  </si>
  <si>
    <t>Assumed 5* size of fuselage</t>
  </si>
  <si>
    <t>https://www.boy.ltd.uk/files/documents/Space%20Dimensions/Raumbedarf_BOY25E.pdf</t>
  </si>
  <si>
    <t>Floorspace required</t>
  </si>
  <si>
    <t>Assuming standard raw material thickness is 3 mm and material can be stacked 10 high</t>
  </si>
  <si>
    <t>Final product packaged area per unit (m^2)</t>
  </si>
  <si>
    <t>Floorspace required (m^2)</t>
  </si>
  <si>
    <t>Production space is estimated using the total footprint area of all machinery required multiplied by a correction factor of 3 to account for access space.</t>
  </si>
  <si>
    <t>Total Machine Footprint (m^2)</t>
  </si>
  <si>
    <t xml:space="preserve">Total </t>
  </si>
  <si>
    <t>AIE 225CS-018</t>
  </si>
  <si>
    <t>Propulsion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</si>
</sst>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quot;£&quot;* #,##0_-;\-&quot;£&quot;* #,##0_-;_-&quot;£&quot;* &quot;-&quot;_-;_-@_-"/>
    <numFmt numFmtId="43" formatCode="_-* #,##0.00_-;\-* #,##0.00_-;_-* &quot;-&quot;??_-;_-@_-"/>
    <numFmt numFmtId="164" formatCode="0.00000"/>
    <numFmt numFmtId="165" formatCode="0.000000"/>
    <numFmt numFmtId="166" formatCode="0.0000000000"/>
    <numFmt numFmtId="167" formatCode="0.00000000"/>
    <numFmt numFmtId="168" formatCode="0.0000"/>
    <numFmt numFmtId="169" formatCode="0.000"/>
    <numFmt numFmtId="170" formatCode="0.0"/>
    <numFmt numFmtId="171" formatCode="#,##0.0"/>
  </numFmts>
  <fonts count="25" x14ac:knownFonts="1">
    <font>
      <sz val="11"/>
      <color theme="1"/>
      <name val="Aptos Narrow"/>
      <family val="2"/>
      <scheme val="minor"/>
    </font>
    <font>
      <sz val="11"/>
      <color theme="1"/>
      <name val="Aptos Narrow"/>
      <family val="2"/>
      <scheme val="minor"/>
    </font>
    <font>
      <b/>
      <sz val="13"/>
      <color theme="3"/>
      <name val="Aptos Narrow"/>
      <family val="2"/>
      <scheme val="minor"/>
    </font>
    <font>
      <sz val="11"/>
      <color rgb="FF3F3F76"/>
      <name val="Aptos Narrow"/>
      <family val="2"/>
      <scheme val="minor"/>
    </font>
    <font>
      <b/>
      <sz val="11"/>
      <color theme="0"/>
      <name val="Aptos Narrow"/>
      <family val="2"/>
      <scheme val="minor"/>
    </font>
    <font>
      <b/>
      <sz val="11"/>
      <color theme="1"/>
      <name val="Aptos Narrow"/>
      <family val="2"/>
      <scheme val="minor"/>
    </font>
    <font>
      <sz val="12"/>
      <color theme="1"/>
      <name val="Aptos Narrow"/>
      <family val="2"/>
      <scheme val="minor"/>
    </font>
    <font>
      <b/>
      <sz val="16"/>
      <color theme="1"/>
      <name val="Aptos Narrow"/>
      <family val="2"/>
      <scheme val="minor"/>
    </font>
    <font>
      <sz val="11"/>
      <color theme="4"/>
      <name val="Aptos Narrow"/>
      <family val="2"/>
      <scheme val="minor"/>
    </font>
    <font>
      <b/>
      <sz val="9"/>
      <color indexed="81"/>
      <name val="Tahoma"/>
      <family val="2"/>
    </font>
    <font>
      <sz val="9"/>
      <color indexed="81"/>
      <name val="Tahoma"/>
      <family val="2"/>
    </font>
    <font>
      <sz val="10"/>
      <color theme="9" tint="-0.499984740745262"/>
      <name val="Arial"/>
      <family val="2"/>
    </font>
    <font>
      <sz val="10"/>
      <name val="Arial"/>
      <family val="2"/>
    </font>
    <font>
      <sz val="10"/>
      <color theme="1"/>
      <name val="Arial"/>
      <family val="2"/>
    </font>
    <font>
      <i/>
      <sz val="10"/>
      <color rgb="FFFF0000"/>
      <name val="Arial"/>
      <family val="2"/>
    </font>
    <font>
      <u/>
      <sz val="11"/>
      <color indexed="12"/>
      <name val="Calibri"/>
      <family val="2"/>
    </font>
    <font>
      <b/>
      <sz val="10"/>
      <color theme="0"/>
      <name val="Arial"/>
      <family val="2"/>
    </font>
    <font>
      <sz val="11"/>
      <color theme="1"/>
      <name val="Arial"/>
      <family val="2"/>
    </font>
    <font>
      <b/>
      <sz val="10"/>
      <name val="Arial"/>
      <family val="2"/>
    </font>
    <font>
      <i/>
      <sz val="11"/>
      <color theme="1"/>
      <name val="Aptos Narrow"/>
      <family val="2"/>
      <scheme val="minor"/>
    </font>
    <font>
      <b/>
      <sz val="14"/>
      <color theme="1"/>
      <name val="Aptos Narrow"/>
      <family val="2"/>
      <scheme val="minor"/>
    </font>
    <font>
      <sz val="8"/>
      <name val="Aptos Narrow"/>
      <family val="2"/>
      <scheme val="minor"/>
    </font>
    <font>
      <sz val="8"/>
      <color rgb="FF333333"/>
      <name val="Arial"/>
      <family val="2"/>
    </font>
    <font>
      <u/>
      <sz val="11"/>
      <color theme="10"/>
      <name val="Aptos Narrow"/>
      <family val="2"/>
      <scheme val="minor"/>
    </font>
    <font>
      <sz val="11"/>
      <color rgb="FF000000"/>
      <name val="Aptos Narrow"/>
      <family val="2"/>
    </font>
  </fonts>
  <fills count="16">
    <fill>
      <patternFill patternType="none"/>
    </fill>
    <fill>
      <patternFill patternType="gray125"/>
    </fill>
    <fill>
      <patternFill patternType="solid">
        <fgColor rgb="FFFFCC99"/>
      </patternFill>
    </fill>
    <fill>
      <patternFill patternType="solid">
        <fgColor rgb="FFFFFFCC"/>
      </patternFill>
    </fill>
    <fill>
      <patternFill patternType="solid">
        <fgColor theme="1"/>
        <bgColor theme="1"/>
      </patternFill>
    </fill>
    <fill>
      <patternFill patternType="solid">
        <fgColor theme="6" tint="0.79998168889431442"/>
        <bgColor indexed="64"/>
      </patternFill>
    </fill>
    <fill>
      <patternFill patternType="solid">
        <fgColor theme="7" tint="0.39997558519241921"/>
        <bgColor rgb="FF000000"/>
      </patternFill>
    </fill>
    <fill>
      <patternFill patternType="solid">
        <fgColor rgb="FFCC99FF"/>
        <bgColor indexed="64"/>
      </patternFill>
    </fill>
    <fill>
      <patternFill patternType="solid">
        <fgColor rgb="FFFFFF99"/>
        <bgColor indexed="64"/>
      </patternFill>
    </fill>
    <fill>
      <patternFill patternType="solid">
        <fgColor rgb="FFFFFF99"/>
        <bgColor rgb="FF000000"/>
      </patternFill>
    </fill>
    <fill>
      <patternFill patternType="solid">
        <fgColor rgb="FF92D050"/>
        <bgColor indexed="64"/>
      </patternFill>
    </fill>
    <fill>
      <patternFill patternType="solid">
        <fgColor rgb="FF002060"/>
        <bgColor indexed="64"/>
      </patternFill>
    </fill>
    <fill>
      <patternFill patternType="solid">
        <fgColor theme="4" tint="0.79998168889431442"/>
        <bgColor rgb="FF000000"/>
      </patternFill>
    </fill>
    <fill>
      <patternFill patternType="solid">
        <fgColor rgb="FFFF0000"/>
        <bgColor indexed="64"/>
      </patternFill>
    </fill>
    <fill>
      <patternFill patternType="solid">
        <fgColor theme="4" tint="0.79998168889431442"/>
        <bgColor indexed="65"/>
      </patternFill>
    </fill>
    <fill>
      <patternFill patternType="solid">
        <fgColor rgb="FFFFFFFF"/>
        <bgColor indexed="64"/>
      </patternFill>
    </fill>
  </fills>
  <borders count="90">
    <border>
      <left/>
      <right/>
      <top/>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theme="1"/>
      </left>
      <right/>
      <top style="thin">
        <color theme="1"/>
      </top>
      <bottom/>
      <diagonal/>
    </border>
    <border>
      <left/>
      <right/>
      <top style="thin">
        <color theme="1"/>
      </top>
      <bottom/>
      <diagonal/>
    </border>
    <border>
      <left style="thin">
        <color theme="1"/>
      </left>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bottom style="medium">
        <color indexed="64"/>
      </bottom>
      <diagonal/>
    </border>
    <border>
      <left/>
      <right/>
      <top style="medium">
        <color indexed="64"/>
      </top>
      <bottom style="thin">
        <color indexed="64"/>
      </bottom>
      <diagonal/>
    </border>
    <border>
      <left style="thin">
        <color theme="1"/>
      </left>
      <right style="thin">
        <color indexed="64"/>
      </right>
      <top style="thin">
        <color theme="1"/>
      </top>
      <bottom style="thin">
        <color theme="1"/>
      </bottom>
      <diagonal/>
    </border>
    <border>
      <left style="medium">
        <color theme="1"/>
      </left>
      <right/>
      <top style="medium">
        <color theme="1"/>
      </top>
      <bottom style="thin">
        <color indexed="64"/>
      </bottom>
      <diagonal/>
    </border>
    <border>
      <left/>
      <right/>
      <top style="medium">
        <color theme="1"/>
      </top>
      <bottom style="thin">
        <color indexed="64"/>
      </bottom>
      <diagonal/>
    </border>
    <border>
      <left/>
      <right style="medium">
        <color theme="1"/>
      </right>
      <top style="medium">
        <color theme="1"/>
      </top>
      <bottom style="thin">
        <color indexed="64"/>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thin">
        <color indexed="64"/>
      </right>
      <top style="thin">
        <color indexed="64"/>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bottom/>
      <diagonal/>
    </border>
    <border>
      <left/>
      <right style="thin">
        <color indexed="64"/>
      </right>
      <top/>
      <bottom style="double">
        <color indexed="64"/>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diagonal/>
    </border>
    <border>
      <left style="medium">
        <color indexed="64"/>
      </left>
      <right/>
      <top style="medium">
        <color indexed="64"/>
      </top>
      <bottom/>
      <diagonal/>
    </border>
    <border>
      <left style="thin">
        <color rgb="FF7F7F7F"/>
      </left>
      <right style="thin">
        <color rgb="FF7F7F7F"/>
      </right>
      <top style="medium">
        <color indexed="64"/>
      </top>
      <bottom style="thin">
        <color rgb="FF7F7F7F"/>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theme="1"/>
      </top>
      <bottom style="thin">
        <color indexed="64"/>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indexed="64"/>
      </bottom>
      <diagonal/>
    </border>
    <border>
      <left style="thin">
        <color theme="0" tint="-0.499984740745262"/>
      </left>
      <right style="thin">
        <color theme="0" tint="-0.499984740745262"/>
      </right>
      <top/>
      <bottom style="thin">
        <color theme="1"/>
      </bottom>
      <diagonal/>
    </border>
    <border>
      <left/>
      <right/>
      <top style="thin">
        <color indexed="64"/>
      </top>
      <bottom style="double">
        <color indexed="64"/>
      </bottom>
      <diagonal/>
    </border>
    <border>
      <left/>
      <right/>
      <top style="thin">
        <color indexed="64"/>
      </top>
      <bottom style="medium">
        <color indexed="64"/>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indexed="64"/>
      </right>
      <top style="thin">
        <color theme="0" tint="-0.499984740745262"/>
      </top>
      <bottom style="thin">
        <color theme="0" tint="-0.499984740745262"/>
      </bottom>
      <diagonal/>
    </border>
    <border>
      <left/>
      <right style="thin">
        <color indexed="64"/>
      </right>
      <top style="thin">
        <color indexed="64"/>
      </top>
      <bottom style="medium">
        <color indexed="64"/>
      </bottom>
      <diagonal/>
    </border>
    <border>
      <left/>
      <right style="thin">
        <color theme="1"/>
      </right>
      <top style="thin">
        <color theme="1"/>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double">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style="thin">
        <color indexed="64"/>
      </top>
      <bottom style="double">
        <color indexed="64"/>
      </bottom>
      <diagonal/>
    </border>
    <border>
      <left style="thin">
        <color theme="0" tint="-0.499984740745262"/>
      </left>
      <right/>
      <top style="thin">
        <color theme="0" tint="-0.499984740745262"/>
      </top>
      <bottom style="thin">
        <color indexed="64"/>
      </bottom>
      <diagonal/>
    </border>
    <border>
      <left/>
      <right/>
      <top style="thin">
        <color theme="0" tint="-0.499984740745262"/>
      </top>
      <bottom style="thin">
        <color indexed="64"/>
      </bottom>
      <diagonal/>
    </border>
    <border>
      <left/>
      <right style="thin">
        <color theme="0" tint="-0.499984740745262"/>
      </right>
      <top style="thin">
        <color theme="0" tint="-0.499984740745262"/>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double">
        <color indexed="64"/>
      </bottom>
      <diagonal/>
    </border>
    <border>
      <left/>
      <right style="medium">
        <color indexed="64"/>
      </right>
      <top/>
      <bottom style="double">
        <color indexed="64"/>
      </bottom>
      <diagonal/>
    </border>
    <border>
      <left/>
      <right style="medium">
        <color indexed="64"/>
      </right>
      <top/>
      <bottom style="thin">
        <color indexed="64"/>
      </bottom>
      <diagonal/>
    </border>
    <border>
      <left style="thin">
        <color theme="0" tint="-0.499984740745262"/>
      </left>
      <right style="medium">
        <color indexed="64"/>
      </right>
      <top style="thin">
        <color theme="0" tint="-0.499984740745262"/>
      </top>
      <bottom style="thin">
        <color theme="0" tint="-0.499984740745262"/>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double">
        <color indexed="64"/>
      </bottom>
      <diagonal/>
    </border>
    <border>
      <left style="thin">
        <color theme="0" tint="-0.499984740745262"/>
      </left>
      <right style="medium">
        <color indexed="64"/>
      </right>
      <top style="double">
        <color indexed="64"/>
      </top>
      <bottom style="medium">
        <color indexed="64"/>
      </bottom>
      <diagonal/>
    </border>
    <border>
      <left style="medium">
        <color indexed="64"/>
      </left>
      <right style="thin">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right style="medium">
        <color indexed="64"/>
      </right>
      <top style="double">
        <color indexed="64"/>
      </top>
      <bottom style="medium">
        <color indexed="64"/>
      </bottom>
      <diagonal/>
    </border>
  </borders>
  <cellStyleXfs count="24">
    <xf numFmtId="0" fontId="0" fillId="0" borderId="0"/>
    <xf numFmtId="0" fontId="2" fillId="0" borderId="1" applyNumberFormat="0" applyFill="0" applyAlignment="0" applyProtection="0"/>
    <xf numFmtId="0" fontId="3" fillId="2" borderId="2" applyNumberFormat="0" applyAlignment="0" applyProtection="0"/>
    <xf numFmtId="4" fontId="8" fillId="5" borderId="7">
      <alignment horizontal="center" vertical="center"/>
      <protection locked="0"/>
    </xf>
    <xf numFmtId="0" fontId="11" fillId="6" borderId="8" applyNumberFormat="0" applyProtection="0">
      <alignment vertical="center"/>
    </xf>
    <xf numFmtId="0" fontId="12" fillId="7" borderId="9" applyNumberFormat="0" applyAlignment="0" applyProtection="0"/>
    <xf numFmtId="43" fontId="13" fillId="0" borderId="0" applyFont="0" applyFill="0" applyBorder="0" applyAlignment="0" applyProtection="0"/>
    <xf numFmtId="43" fontId="13"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2" fillId="8" borderId="2" applyNumberFormat="0" applyBorder="0" applyAlignment="0" applyProtection="0"/>
    <xf numFmtId="0" fontId="12" fillId="9" borderId="0">
      <alignment vertical="center"/>
    </xf>
    <xf numFmtId="0" fontId="12" fillId="10" borderId="10" applyNumberFormat="0" applyAlignment="0" applyProtection="0"/>
    <xf numFmtId="3" fontId="1" fillId="5" borderId="7">
      <alignment horizontal="center" vertical="center"/>
    </xf>
    <xf numFmtId="0" fontId="13" fillId="0" borderId="0"/>
    <xf numFmtId="0" fontId="1" fillId="0" borderId="0"/>
    <xf numFmtId="0" fontId="6" fillId="0" borderId="0">
      <alignment vertical="center" wrapText="1"/>
    </xf>
    <xf numFmtId="0" fontId="13" fillId="3" borderId="3" applyNumberFormat="0" applyFont="0" applyAlignment="0" applyProtection="0"/>
    <xf numFmtId="0" fontId="16" fillId="11" borderId="11" applyNumberFormat="0" applyAlignment="0" applyProtection="0"/>
    <xf numFmtId="9" fontId="17" fillId="0" borderId="0" applyFont="0" applyFill="0" applyBorder="0" applyAlignment="0" applyProtection="0"/>
    <xf numFmtId="0" fontId="12" fillId="12" borderId="12" applyNumberFormat="0" applyProtection="0">
      <alignment vertical="center"/>
    </xf>
    <xf numFmtId="0" fontId="16" fillId="13" borderId="0" applyNumberFormat="0" applyBorder="0" applyAlignment="0" applyProtection="0"/>
    <xf numFmtId="0" fontId="1" fillId="14" borderId="0" applyNumberFormat="0" applyBorder="0" applyAlignment="0" applyProtection="0"/>
    <xf numFmtId="0" fontId="23" fillId="0" borderId="0" applyNumberFormat="0" applyFill="0" applyBorder="0" applyAlignment="0" applyProtection="0"/>
  </cellStyleXfs>
  <cellXfs count="187">
    <xf numFmtId="0" fontId="0" fillId="0" borderId="0" xfId="0"/>
    <xf numFmtId="0" fontId="7" fillId="0" borderId="0" xfId="0" applyFont="1"/>
    <xf numFmtId="0" fontId="5" fillId="0" borderId="0" xfId="0" applyFont="1"/>
    <xf numFmtId="0" fontId="3" fillId="2" borderId="2" xfId="2"/>
    <xf numFmtId="0" fontId="4" fillId="4" borderId="4" xfId="0" applyFont="1" applyFill="1" applyBorder="1"/>
    <xf numFmtId="0" fontId="0" fillId="0" borderId="0" xfId="0" applyAlignment="1">
      <alignment horizontal="center"/>
    </xf>
    <xf numFmtId="0" fontId="0" fillId="0" borderId="7" xfId="0" applyBorder="1" applyAlignment="1">
      <alignment wrapText="1"/>
    </xf>
    <xf numFmtId="0" fontId="0" fillId="0" borderId="7" xfId="0" applyBorder="1"/>
    <xf numFmtId="0" fontId="18"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13" xfId="0" applyBorder="1"/>
    <xf numFmtId="0" fontId="19" fillId="0" borderId="14" xfId="0" applyFont="1" applyBorder="1" applyAlignment="1">
      <alignment horizontal="center"/>
    </xf>
    <xf numFmtId="0" fontId="19" fillId="0" borderId="14" xfId="0" applyFont="1" applyBorder="1" applyAlignment="1">
      <alignment horizontal="centerContinuous"/>
    </xf>
    <xf numFmtId="0" fontId="0" fillId="0" borderId="6" xfId="0" applyBorder="1"/>
    <xf numFmtId="0" fontId="0" fillId="0" borderId="15" xfId="0" applyBorder="1"/>
    <xf numFmtId="0" fontId="0" fillId="0" borderId="0" xfId="0" applyAlignment="1">
      <alignment horizontal="left"/>
    </xf>
    <xf numFmtId="0" fontId="5" fillId="0" borderId="16" xfId="0" applyFon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9" xfId="0" applyBorder="1" applyAlignment="1">
      <alignment horizontal="left" vertical="center"/>
    </xf>
    <xf numFmtId="0" fontId="0" fillId="0" borderId="21" xfId="0" applyBorder="1"/>
    <xf numFmtId="0" fontId="0" fillId="0" borderId="22" xfId="0" applyBorder="1"/>
    <xf numFmtId="0" fontId="0" fillId="0" borderId="23" xfId="0" applyBorder="1"/>
    <xf numFmtId="3" fontId="1" fillId="5" borderId="7" xfId="13">
      <alignment horizontal="center" vertical="center"/>
    </xf>
    <xf numFmtId="3" fontId="1" fillId="5" borderId="24" xfId="13" applyBorder="1">
      <alignment horizontal="center" vertical="center"/>
    </xf>
    <xf numFmtId="0" fontId="0" fillId="0" borderId="7" xfId="0" applyBorder="1" applyAlignment="1">
      <alignment horizontal="left"/>
    </xf>
    <xf numFmtId="0" fontId="20" fillId="0" borderId="0" xfId="0" applyFont="1"/>
    <xf numFmtId="0" fontId="0" fillId="0" borderId="0" xfId="0" quotePrefix="1"/>
    <xf numFmtId="0" fontId="0" fillId="0" borderId="0" xfId="0" applyAlignment="1">
      <alignment wrapText="1"/>
    </xf>
    <xf numFmtId="11" fontId="0" fillId="0" borderId="0" xfId="0" applyNumberFormat="1"/>
    <xf numFmtId="0" fontId="0" fillId="0" borderId="7" xfId="0" quotePrefix="1" applyBorder="1"/>
    <xf numFmtId="1" fontId="0" fillId="0" borderId="0" xfId="0" applyNumberFormat="1"/>
    <xf numFmtId="0" fontId="0" fillId="0" borderId="0" xfId="0" applyAlignment="1">
      <alignment horizontal="right" wrapText="1"/>
    </xf>
    <xf numFmtId="11" fontId="0" fillId="0" borderId="0" xfId="0" applyNumberFormat="1" applyAlignment="1">
      <alignment wrapText="1"/>
    </xf>
    <xf numFmtId="2" fontId="0" fillId="0" borderId="0" xfId="0" applyNumberFormat="1" applyAlignment="1">
      <alignment wrapText="1"/>
    </xf>
    <xf numFmtId="0" fontId="0" fillId="0" borderId="25" xfId="0" applyBorder="1"/>
    <xf numFmtId="0" fontId="0" fillId="0" borderId="27" xfId="0" applyBorder="1"/>
    <xf numFmtId="0" fontId="0" fillId="0" borderId="26"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3" xfId="0" applyBorder="1"/>
    <xf numFmtId="0" fontId="0" fillId="0" borderId="34" xfId="0" applyBorder="1"/>
    <xf numFmtId="0" fontId="0" fillId="0" borderId="35" xfId="0" applyBorder="1"/>
    <xf numFmtId="0" fontId="0" fillId="0" borderId="37" xfId="0" applyBorder="1"/>
    <xf numFmtId="0" fontId="0" fillId="0" borderId="39" xfId="0" applyBorder="1"/>
    <xf numFmtId="0" fontId="0" fillId="0" borderId="40" xfId="0" applyBorder="1"/>
    <xf numFmtId="0" fontId="0" fillId="0" borderId="41" xfId="0" applyBorder="1"/>
    <xf numFmtId="0" fontId="16" fillId="11" borderId="11" xfId="18"/>
    <xf numFmtId="0" fontId="16" fillId="11" borderId="7" xfId="18" applyBorder="1"/>
    <xf numFmtId="0" fontId="0" fillId="0" borderId="0" xfId="0"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xf>
    <xf numFmtId="0" fontId="0" fillId="0" borderId="7" xfId="0" applyBorder="1" applyAlignment="1">
      <alignment horizontal="right" vertical="center"/>
    </xf>
    <xf numFmtId="0" fontId="0" fillId="0" borderId="7" xfId="0" applyBorder="1" applyAlignment="1">
      <alignment horizontal="center" vertical="center" wrapText="1"/>
    </xf>
    <xf numFmtId="0" fontId="0" fillId="0" borderId="36" xfId="0" applyBorder="1" applyAlignment="1">
      <alignment horizontal="right"/>
    </xf>
    <xf numFmtId="0" fontId="0" fillId="0" borderId="24" xfId="0" applyBorder="1" applyAlignment="1">
      <alignment horizontal="right"/>
    </xf>
    <xf numFmtId="2" fontId="0" fillId="0" borderId="7" xfId="0" applyNumberFormat="1" applyBorder="1"/>
    <xf numFmtId="0" fontId="0" fillId="0" borderId="44" xfId="0" applyBorder="1"/>
    <xf numFmtId="0" fontId="3" fillId="2" borderId="45" xfId="2" applyNumberFormat="1" applyBorder="1"/>
    <xf numFmtId="0" fontId="0" fillId="0" borderId="43" xfId="0" applyBorder="1"/>
    <xf numFmtId="0" fontId="0" fillId="0" borderId="46" xfId="0" applyBorder="1"/>
    <xf numFmtId="0" fontId="0" fillId="0" borderId="47" xfId="0" applyBorder="1"/>
    <xf numFmtId="0" fontId="0" fillId="0" borderId="48" xfId="0" applyBorder="1"/>
    <xf numFmtId="0" fontId="0" fillId="0" borderId="47" xfId="0" applyBorder="1" applyAlignment="1">
      <alignment horizontal="left" vertical="center"/>
    </xf>
    <xf numFmtId="0" fontId="0" fillId="0" borderId="49" xfId="0" applyBorder="1"/>
    <xf numFmtId="0" fontId="0" fillId="0" borderId="50" xfId="0" applyBorder="1"/>
    <xf numFmtId="0" fontId="1" fillId="14" borderId="7" xfId="22" applyBorder="1"/>
    <xf numFmtId="0" fontId="3" fillId="2" borderId="7" xfId="2" applyBorder="1"/>
    <xf numFmtId="0" fontId="16" fillId="11" borderId="52" xfId="18" applyBorder="1"/>
    <xf numFmtId="0" fontId="16" fillId="11" borderId="53" xfId="18" applyBorder="1"/>
    <xf numFmtId="0" fontId="0" fillId="0" borderId="54" xfId="0" applyBorder="1"/>
    <xf numFmtId="0" fontId="22" fillId="0" borderId="0" xfId="0" applyFont="1"/>
    <xf numFmtId="0" fontId="0" fillId="0" borderId="55" xfId="0" applyBorder="1"/>
    <xf numFmtId="0" fontId="16" fillId="11" borderId="61" xfId="18" applyBorder="1"/>
    <xf numFmtId="0" fontId="16" fillId="11" borderId="62" xfId="18" applyBorder="1"/>
    <xf numFmtId="1" fontId="0" fillId="0" borderId="30" xfId="0" applyNumberFormat="1" applyBorder="1"/>
    <xf numFmtId="1" fontId="0" fillId="0" borderId="60" xfId="0" applyNumberFormat="1" applyBorder="1"/>
    <xf numFmtId="1" fontId="0" fillId="0" borderId="63" xfId="0" applyNumberFormat="1" applyBorder="1"/>
    <xf numFmtId="1" fontId="0" fillId="0" borderId="59" xfId="0" applyNumberFormat="1" applyBorder="1"/>
    <xf numFmtId="1" fontId="0" fillId="0" borderId="32" xfId="0" applyNumberFormat="1" applyBorder="1"/>
    <xf numFmtId="0" fontId="0" fillId="0" borderId="60" xfId="0" applyBorder="1"/>
    <xf numFmtId="0" fontId="0" fillId="0" borderId="59" xfId="0" applyBorder="1"/>
    <xf numFmtId="0" fontId="23" fillId="0" borderId="0" xfId="23"/>
    <xf numFmtId="0" fontId="16" fillId="11" borderId="11" xfId="18" applyAlignment="1">
      <alignment horizontal="center"/>
    </xf>
    <xf numFmtId="0" fontId="0" fillId="0" borderId="64" xfId="0" applyBorder="1"/>
    <xf numFmtId="0" fontId="16" fillId="11" borderId="11" xfId="18" applyAlignment="1">
      <alignment horizontal="left" vertical="center"/>
    </xf>
    <xf numFmtId="11" fontId="0" fillId="0" borderId="0" xfId="0" applyNumberFormat="1" applyAlignment="1">
      <alignment horizontal="center" vertical="center"/>
    </xf>
    <xf numFmtId="0" fontId="23" fillId="15" borderId="0" xfId="23" applyFill="1"/>
    <xf numFmtId="0" fontId="24" fillId="15" borderId="0" xfId="0" applyFont="1" applyFill="1" applyAlignment="1">
      <alignment wrapText="1"/>
    </xf>
    <xf numFmtId="2" fontId="0" fillId="0" borderId="0" xfId="0" applyNumberFormat="1"/>
    <xf numFmtId="164" fontId="0" fillId="0" borderId="0" xfId="0" applyNumberFormat="1"/>
    <xf numFmtId="165" fontId="0" fillId="0" borderId="0" xfId="0" applyNumberFormat="1"/>
    <xf numFmtId="166" fontId="0" fillId="0" borderId="0" xfId="0" applyNumberFormat="1"/>
    <xf numFmtId="11" fontId="0" fillId="0" borderId="0" xfId="0" applyNumberFormat="1" applyAlignment="1">
      <alignment horizontal="right" wrapText="1"/>
    </xf>
    <xf numFmtId="166" fontId="0" fillId="0" borderId="5" xfId="0" applyNumberFormat="1" applyBorder="1"/>
    <xf numFmtId="0" fontId="16" fillId="11" borderId="7" xfId="18" applyBorder="1" applyAlignment="1">
      <alignment horizontal="center"/>
    </xf>
    <xf numFmtId="167" fontId="0" fillId="0" borderId="0" xfId="0" applyNumberFormat="1" applyAlignment="1">
      <alignment wrapText="1"/>
    </xf>
    <xf numFmtId="0" fontId="0" fillId="0" borderId="5" xfId="0" applyBorder="1"/>
    <xf numFmtId="0" fontId="16" fillId="11" borderId="24" xfId="18" applyBorder="1"/>
    <xf numFmtId="0" fontId="16" fillId="11" borderId="66" xfId="18" applyBorder="1"/>
    <xf numFmtId="0" fontId="5" fillId="0" borderId="48" xfId="0" applyFont="1" applyBorder="1"/>
    <xf numFmtId="3" fontId="0" fillId="0" borderId="30" xfId="0" applyNumberFormat="1" applyBorder="1" applyAlignment="1">
      <alignment horizontal="center"/>
    </xf>
    <xf numFmtId="3" fontId="0" fillId="0" borderId="28" xfId="0" applyNumberFormat="1" applyBorder="1" applyAlignment="1">
      <alignment horizontal="center"/>
    </xf>
    <xf numFmtId="3" fontId="0" fillId="0" borderId="67" xfId="0" applyNumberFormat="1" applyBorder="1" applyAlignment="1">
      <alignment horizontal="center"/>
    </xf>
    <xf numFmtId="3" fontId="0" fillId="0" borderId="48" xfId="0" applyNumberFormat="1" applyBorder="1" applyAlignment="1">
      <alignment horizontal="center"/>
    </xf>
    <xf numFmtId="42" fontId="0" fillId="0" borderId="63" xfId="0" applyNumberFormat="1" applyBorder="1" applyAlignment="1">
      <alignment horizontal="center"/>
    </xf>
    <xf numFmtId="42" fontId="0" fillId="0" borderId="65" xfId="0" applyNumberFormat="1" applyBorder="1" applyAlignment="1">
      <alignment horizontal="center"/>
    </xf>
    <xf numFmtId="42" fontId="0" fillId="0" borderId="68" xfId="0" applyNumberFormat="1" applyBorder="1" applyAlignment="1">
      <alignment horizontal="center"/>
    </xf>
    <xf numFmtId="42" fontId="0" fillId="0" borderId="71" xfId="0" applyNumberFormat="1" applyBorder="1" applyAlignment="1">
      <alignment horizontal="center"/>
    </xf>
    <xf numFmtId="42" fontId="0" fillId="0" borderId="32" xfId="0" applyNumberFormat="1" applyBorder="1" applyAlignment="1">
      <alignment horizontal="center"/>
    </xf>
    <xf numFmtId="42" fontId="0" fillId="0" borderId="31" xfId="0" applyNumberFormat="1" applyBorder="1" applyAlignment="1">
      <alignment horizontal="center"/>
    </xf>
    <xf numFmtId="42" fontId="0" fillId="0" borderId="69" xfId="0" applyNumberFormat="1" applyBorder="1" applyAlignment="1">
      <alignment horizontal="center"/>
    </xf>
    <xf numFmtId="42" fontId="0" fillId="0" borderId="72" xfId="0" applyNumberFormat="1" applyBorder="1" applyAlignment="1">
      <alignment horizontal="center"/>
    </xf>
    <xf numFmtId="0" fontId="16" fillId="11" borderId="37" xfId="18" applyBorder="1" applyAlignment="1">
      <alignment horizontal="center"/>
    </xf>
    <xf numFmtId="0" fontId="16" fillId="11" borderId="76" xfId="18" applyBorder="1"/>
    <xf numFmtId="0" fontId="16" fillId="11" borderId="76" xfId="18" applyBorder="1" applyAlignment="1">
      <alignment vertical="center"/>
    </xf>
    <xf numFmtId="2" fontId="0" fillId="0" borderId="34" xfId="0" applyNumberFormat="1" applyBorder="1"/>
    <xf numFmtId="42" fontId="0" fillId="0" borderId="34" xfId="0" applyNumberFormat="1" applyBorder="1"/>
    <xf numFmtId="3" fontId="0" fillId="0" borderId="34" xfId="0" applyNumberFormat="1" applyBorder="1"/>
    <xf numFmtId="170" fontId="0" fillId="0" borderId="7" xfId="0" applyNumberFormat="1" applyBorder="1"/>
    <xf numFmtId="1" fontId="0" fillId="0" borderId="7" xfId="0" applyNumberFormat="1" applyBorder="1"/>
    <xf numFmtId="0" fontId="0" fillId="0" borderId="67" xfId="0" applyBorder="1"/>
    <xf numFmtId="0" fontId="0" fillId="0" borderId="77" xfId="0" applyBorder="1"/>
    <xf numFmtId="0" fontId="16" fillId="11" borderId="80" xfId="18" applyBorder="1"/>
    <xf numFmtId="0" fontId="0" fillId="0" borderId="81" xfId="0" applyBorder="1" applyAlignment="1">
      <alignment horizontal="center"/>
    </xf>
    <xf numFmtId="0" fontId="0" fillId="0" borderId="42" xfId="0" applyBorder="1" applyAlignment="1">
      <alignment horizontal="center"/>
    </xf>
    <xf numFmtId="0" fontId="0" fillId="0" borderId="70" xfId="0" applyBorder="1" applyAlignment="1">
      <alignment horizontal="center"/>
    </xf>
    <xf numFmtId="0" fontId="0" fillId="0" borderId="82" xfId="0" applyBorder="1" applyAlignment="1">
      <alignment horizontal="center"/>
    </xf>
    <xf numFmtId="0" fontId="0" fillId="0" borderId="28" xfId="0" applyBorder="1" applyAlignment="1">
      <alignment horizontal="center"/>
    </xf>
    <xf numFmtId="0" fontId="0" fillId="0" borderId="48" xfId="0" applyBorder="1" applyAlignment="1">
      <alignment horizontal="center"/>
    </xf>
    <xf numFmtId="0" fontId="16" fillId="11" borderId="86" xfId="18" applyBorder="1"/>
    <xf numFmtId="42" fontId="0" fillId="0" borderId="83" xfId="0" applyNumberFormat="1" applyBorder="1" applyAlignment="1">
      <alignment horizontal="center"/>
    </xf>
    <xf numFmtId="42" fontId="0" fillId="0" borderId="85" xfId="0" applyNumberFormat="1" applyBorder="1" applyAlignment="1">
      <alignment horizontal="center"/>
    </xf>
    <xf numFmtId="42" fontId="0" fillId="0" borderId="78" xfId="0" applyNumberFormat="1" applyBorder="1" applyAlignment="1">
      <alignment horizontal="center"/>
    </xf>
    <xf numFmtId="42" fontId="0" fillId="0" borderId="82" xfId="0" applyNumberFormat="1" applyBorder="1" applyAlignment="1">
      <alignment horizontal="center"/>
    </xf>
    <xf numFmtId="42" fontId="0" fillId="0" borderId="28" xfId="0" applyNumberFormat="1" applyBorder="1" applyAlignment="1">
      <alignment horizontal="center"/>
    </xf>
    <xf numFmtId="42" fontId="0" fillId="0" borderId="48" xfId="0" applyNumberFormat="1" applyBorder="1" applyAlignment="1">
      <alignment horizontal="center"/>
    </xf>
    <xf numFmtId="3" fontId="0" fillId="0" borderId="82" xfId="0" applyNumberFormat="1" applyBorder="1" applyAlignment="1">
      <alignment horizontal="center"/>
    </xf>
    <xf numFmtId="3" fontId="0" fillId="0" borderId="84" xfId="0" applyNumberFormat="1" applyBorder="1" applyAlignment="1">
      <alignment horizontal="center"/>
    </xf>
    <xf numFmtId="3" fontId="0" fillId="0" borderId="34" xfId="0" applyNumberFormat="1" applyBorder="1" applyAlignment="1">
      <alignment horizontal="center"/>
    </xf>
    <xf numFmtId="3" fontId="0" fillId="0" borderId="79" xfId="0" applyNumberFormat="1" applyBorder="1" applyAlignment="1">
      <alignment horizontal="center"/>
    </xf>
    <xf numFmtId="42" fontId="0" fillId="0" borderId="87" xfId="0" applyNumberFormat="1" applyBorder="1" applyAlignment="1">
      <alignment horizontal="center"/>
    </xf>
    <xf numFmtId="42" fontId="0" fillId="0" borderId="88" xfId="0" applyNumberFormat="1" applyBorder="1" applyAlignment="1">
      <alignment horizontal="center"/>
    </xf>
    <xf numFmtId="42" fontId="0" fillId="0" borderId="89" xfId="0" applyNumberFormat="1" applyBorder="1" applyAlignment="1">
      <alignment horizontal="center"/>
    </xf>
    <xf numFmtId="1" fontId="0" fillId="0" borderId="26" xfId="0" applyNumberFormat="1" applyBorder="1"/>
    <xf numFmtId="171" fontId="0" fillId="0" borderId="82" xfId="0" applyNumberFormat="1" applyBorder="1" applyAlignment="1">
      <alignment horizontal="center"/>
    </xf>
    <xf numFmtId="171" fontId="0" fillId="0" borderId="28" xfId="0" applyNumberFormat="1" applyBorder="1" applyAlignment="1">
      <alignment horizontal="center"/>
    </xf>
    <xf numFmtId="171" fontId="0" fillId="0" borderId="48" xfId="0" applyNumberFormat="1" applyBorder="1" applyAlignment="1">
      <alignment horizontal="center"/>
    </xf>
    <xf numFmtId="3" fontId="0" fillId="0" borderId="7" xfId="0" applyNumberFormat="1" applyBorder="1"/>
    <xf numFmtId="168" fontId="0" fillId="0" borderId="0" xfId="0" applyNumberFormat="1"/>
    <xf numFmtId="169" fontId="0" fillId="0" borderId="0" xfId="0" applyNumberFormat="1"/>
    <xf numFmtId="170" fontId="0" fillId="0" borderId="0" xfId="0" applyNumberFormat="1"/>
    <xf numFmtId="0" fontId="16" fillId="11" borderId="56" xfId="18" applyBorder="1" applyAlignment="1">
      <alignment vertical="center"/>
    </xf>
    <xf numFmtId="170" fontId="0" fillId="0" borderId="34" xfId="0" applyNumberFormat="1" applyBorder="1"/>
    <xf numFmtId="2" fontId="0" fillId="0" borderId="7" xfId="0" applyNumberFormat="1" applyBorder="1" applyAlignment="1">
      <alignment wrapText="1"/>
    </xf>
    <xf numFmtId="169" fontId="0" fillId="0" borderId="34" xfId="0" applyNumberFormat="1" applyBorder="1"/>
    <xf numFmtId="0" fontId="16" fillId="11" borderId="11" xfId="18" applyAlignment="1">
      <alignment horizontal="center"/>
    </xf>
    <xf numFmtId="0" fontId="16" fillId="11" borderId="24" xfId="18" applyBorder="1" applyAlignment="1">
      <alignment horizontal="center"/>
    </xf>
    <xf numFmtId="0" fontId="16" fillId="11" borderId="7" xfId="18" applyBorder="1" applyAlignment="1">
      <alignment horizontal="center"/>
    </xf>
    <xf numFmtId="0" fontId="16" fillId="11" borderId="66" xfId="18" applyBorder="1" applyAlignment="1">
      <alignment horizontal="center"/>
    </xf>
    <xf numFmtId="0" fontId="0" fillId="0" borderId="7" xfId="0" applyBorder="1" applyAlignment="1">
      <alignment horizontal="right"/>
    </xf>
    <xf numFmtId="0" fontId="4" fillId="4" borderId="4" xfId="0" applyFont="1" applyFill="1" applyBorder="1" applyAlignment="1">
      <alignment horizontal="center"/>
    </xf>
    <xf numFmtId="0" fontId="4" fillId="4" borderId="5" xfId="0" applyFont="1" applyFill="1" applyBorder="1" applyAlignment="1">
      <alignment horizontal="center"/>
    </xf>
    <xf numFmtId="0" fontId="16" fillId="11" borderId="42" xfId="18" applyBorder="1" applyAlignment="1">
      <alignment horizontal="center" vertical="center"/>
    </xf>
    <xf numFmtId="0" fontId="16" fillId="11" borderId="34" xfId="18" applyBorder="1" applyAlignment="1">
      <alignment horizontal="center" vertical="center"/>
    </xf>
    <xf numFmtId="0" fontId="16" fillId="11" borderId="36" xfId="18" applyBorder="1" applyAlignment="1">
      <alignment horizontal="center"/>
    </xf>
    <xf numFmtId="0" fontId="16" fillId="11" borderId="38" xfId="18" applyBorder="1" applyAlignment="1">
      <alignment horizontal="center"/>
    </xf>
    <xf numFmtId="0" fontId="16" fillId="11" borderId="76" xfId="18" applyBorder="1" applyAlignment="1">
      <alignment horizontal="center" vertical="center"/>
    </xf>
    <xf numFmtId="0" fontId="16" fillId="11" borderId="73" xfId="18" applyBorder="1" applyAlignment="1">
      <alignment horizontal="center"/>
    </xf>
    <xf numFmtId="0" fontId="16" fillId="11" borderId="74" xfId="18" applyBorder="1" applyAlignment="1">
      <alignment horizontal="center"/>
    </xf>
    <xf numFmtId="0" fontId="16" fillId="11" borderId="75" xfId="18" applyBorder="1" applyAlignment="1">
      <alignment horizontal="center"/>
    </xf>
    <xf numFmtId="0" fontId="16" fillId="11" borderId="76" xfId="18" applyBorder="1" applyAlignment="1">
      <alignment horizontal="center"/>
    </xf>
    <xf numFmtId="0" fontId="16" fillId="11" borderId="33" xfId="18" applyBorder="1" applyAlignment="1">
      <alignment horizontal="center" vertical="center"/>
    </xf>
    <xf numFmtId="0" fontId="16" fillId="11" borderId="39" xfId="18" applyBorder="1" applyAlignment="1">
      <alignment horizontal="center"/>
    </xf>
    <xf numFmtId="0" fontId="16" fillId="11" borderId="40" xfId="18" applyBorder="1" applyAlignment="1">
      <alignment horizontal="center"/>
    </xf>
    <xf numFmtId="0" fontId="16" fillId="11" borderId="41" xfId="18" applyBorder="1" applyAlignment="1">
      <alignment horizontal="center"/>
    </xf>
    <xf numFmtId="0" fontId="2" fillId="0" borderId="0" xfId="1" applyBorder="1" applyAlignment="1">
      <alignment horizontal="center"/>
    </xf>
    <xf numFmtId="0" fontId="16" fillId="11" borderId="11" xfId="18" applyAlignment="1">
      <alignment horizontal="center" vertical="center"/>
    </xf>
    <xf numFmtId="0" fontId="16" fillId="11" borderId="56" xfId="18" applyBorder="1" applyAlignment="1">
      <alignment horizontal="center" vertical="center"/>
    </xf>
    <xf numFmtId="0" fontId="16" fillId="11" borderId="57" xfId="18" applyBorder="1" applyAlignment="1">
      <alignment horizontal="center" vertical="center"/>
    </xf>
    <xf numFmtId="0" fontId="16" fillId="11" borderId="58" xfId="18" applyBorder="1" applyAlignment="1">
      <alignment horizontal="center" vertical="center"/>
    </xf>
    <xf numFmtId="0" fontId="16" fillId="11" borderId="51" xfId="18" applyBorder="1" applyAlignment="1">
      <alignment horizontal="center" vertical="center"/>
    </xf>
  </cellXfs>
  <cellStyles count="24">
    <cellStyle name="20% - Accent1" xfId="22" builtinId="30"/>
    <cellStyle name="Calculation 2" xfId="4" xr:uid="{BFC154CA-7D9F-42FB-AA8B-A1CC2EA81B20}"/>
    <cellStyle name="Calculation 3" xfId="5" xr:uid="{E4843A34-51A6-4939-BE50-D3075FB43379}"/>
    <cellStyle name="Comma 2" xfId="6" xr:uid="{7CE66698-59DD-478B-898A-359067A7D861}"/>
    <cellStyle name="Comma 3" xfId="7" xr:uid="{7F321D21-DC77-4E2E-A95F-85B379B1A7B7}"/>
    <cellStyle name="Explanatory Text 2" xfId="8" xr:uid="{3C8015CD-AC86-473D-92FC-9638B2291D58}"/>
    <cellStyle name="Heading 2" xfId="1" builtinId="17"/>
    <cellStyle name="Hyperlink" xfId="23" builtinId="8"/>
    <cellStyle name="Hyperlink 2" xfId="9" xr:uid="{E0C80782-7488-41FC-8526-0244F66C3767}"/>
    <cellStyle name="Input" xfId="2" builtinId="20"/>
    <cellStyle name="Input 2" xfId="10" xr:uid="{1B10D9D3-2DD5-4FC7-A0BC-F97C13C5EA77}"/>
    <cellStyle name="Input data" xfId="11" xr:uid="{F3F8F767-E53D-447F-8AE3-1F94B17339F8}"/>
    <cellStyle name="Linked Cell 2" xfId="12" xr:uid="{4FA15EE2-E21A-4BC6-B144-389B424DDE90}"/>
    <cellStyle name="Model calculation" xfId="13" xr:uid="{D8314A1F-A099-480F-9419-516486ACA6BB}"/>
    <cellStyle name="Model input" xfId="3" xr:uid="{3801A187-004F-4D56-9AE2-DAADB1BABF14}"/>
    <cellStyle name="Normal" xfId="0" builtinId="0"/>
    <cellStyle name="Normal 2" xfId="14" xr:uid="{06044D88-3DCD-4685-BA92-0D56E34C326E}"/>
    <cellStyle name="Normal 228" xfId="15" xr:uid="{3FE20E3C-A0D0-4955-946B-7A4AD1F66CB9}"/>
    <cellStyle name="Normal 4" xfId="16" xr:uid="{86CAFA02-4862-4FBA-905D-09BB05C4ED5A}"/>
    <cellStyle name="Note 2" xfId="17" xr:uid="{1C0BEEEC-3801-495F-883A-AFB2B31C73DB}"/>
    <cellStyle name="Output 2" xfId="18" xr:uid="{16063E01-1464-4FCF-84D0-6BDB289A63D0}"/>
    <cellStyle name="Percent 2" xfId="19" xr:uid="{6EC78F83-9F78-4AAF-9BA9-6FFD0301F0A9}"/>
    <cellStyle name="Selection" xfId="20" xr:uid="{EB407E39-6A86-4615-88E1-A1FBA6633E31}"/>
    <cellStyle name="Warning Text 2" xfId="21" xr:uid="{565EE9CF-43A4-4442-8D1D-A311A1C0B6C6}"/>
  </cellStyles>
  <dxfs count="75">
    <dxf>
      <numFmt numFmtId="170" formatCode="0.0"/>
    </dxf>
    <dxf>
      <numFmt numFmtId="170" formatCode="0.0"/>
    </dxf>
    <dxf>
      <numFmt numFmtId="2" formatCode="0.00"/>
    </dxf>
    <dxf>
      <numFmt numFmtId="170" formatCode="0.0"/>
    </dxf>
    <dxf>
      <numFmt numFmtId="169" formatCode="0.000"/>
    </dxf>
    <dxf>
      <numFmt numFmtId="169" formatCode="0.000"/>
    </dxf>
    <dxf>
      <numFmt numFmtId="168" formatCode="0.000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15" formatCode="0.00E+00"/>
    </dxf>
    <dxf>
      <numFmt numFmtId="15" formatCode="0.00E+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5" formatCode="0.00E+00"/>
      <alignment horizontal="general" vertical="bottom" textRotation="0" wrapText="1" indent="0" justifyLastLine="0" shrinkToFit="0" readingOrder="0"/>
    </dxf>
    <dxf>
      <numFmt numFmtId="2" formatCode="0.00"/>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5" formatCode="0.00E+00"/>
    </dxf>
    <dxf>
      <numFmt numFmtId="1" formatCode="0"/>
    </dxf>
    <dxf>
      <numFmt numFmtId="15" formatCode="0.00E+00"/>
    </dxf>
    <dxf>
      <numFmt numFmtId="15" formatCode="0.00E+0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3" formatCode="#,##0"/>
      <border diagonalUp="0" diagonalDown="0">
        <left style="thin">
          <color indexed="64"/>
        </left>
        <right style="thin">
          <color indexed="64"/>
        </right>
        <top/>
        <bottom style="thin">
          <color indexed="64"/>
        </bottom>
        <vertical/>
        <horizontal/>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F5050"/>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BreakEven!$B$6</c:f>
              <c:strCache>
                <c:ptCount val="1"/>
                <c:pt idx="0">
                  <c:v>Cumulative Costs</c:v>
                </c:pt>
              </c:strCache>
            </c:strRef>
          </c:tx>
          <c:spPr>
            <a:ln w="63500" cap="rnd">
              <a:solidFill>
                <a:srgbClr val="FF5050"/>
              </a:solidFill>
              <a:round/>
              <a:tailEnd w="lg" len="lg"/>
            </a:ln>
            <a:effectLst/>
          </c:spPr>
          <c:marker>
            <c:symbol val="x"/>
            <c:size val="5"/>
            <c:spPr>
              <a:solidFill>
                <a:srgbClr val="FF5050"/>
              </a:solidFill>
              <a:ln w="82550">
                <a:solidFill>
                  <a:schemeClr val="tx1">
                    <a:alpha val="98000"/>
                  </a:schemeClr>
                </a:solidFill>
              </a:ln>
              <a:effectLst/>
            </c:spPr>
          </c:marker>
          <c:cat>
            <c:strRef>
              <c:f>BreakEven!$C$5:$L$5</c:f>
              <c:strCache>
                <c:ptCount val="10"/>
                <c:pt idx="0">
                  <c:v>2024/25</c:v>
                </c:pt>
                <c:pt idx="1">
                  <c:v>2025/26</c:v>
                </c:pt>
                <c:pt idx="2">
                  <c:v>2026/27</c:v>
                </c:pt>
                <c:pt idx="3">
                  <c:v>2027/28</c:v>
                </c:pt>
                <c:pt idx="4">
                  <c:v>2028/29</c:v>
                </c:pt>
                <c:pt idx="5">
                  <c:v>2029/30</c:v>
                </c:pt>
                <c:pt idx="6">
                  <c:v>2030/31</c:v>
                </c:pt>
                <c:pt idx="7">
                  <c:v>2031/32</c:v>
                </c:pt>
                <c:pt idx="8">
                  <c:v>2032/33</c:v>
                </c:pt>
                <c:pt idx="9">
                  <c:v>2033/34</c:v>
                </c:pt>
              </c:strCache>
            </c:strRef>
          </c:cat>
          <c:val>
            <c:numRef>
              <c:f>BreakEven!$C$6:$L$6</c:f>
              <c:numCache>
                <c:formatCode>0</c:formatCode>
                <c:ptCount val="10"/>
                <c:pt idx="0">
                  <c:v>11054853.961723594</c:v>
                </c:pt>
                <c:pt idx="1">
                  <c:v>47708288.008411556</c:v>
                </c:pt>
                <c:pt idx="2">
                  <c:v>89199528.133930564</c:v>
                </c:pt>
                <c:pt idx="3">
                  <c:v>201097994.19393826</c:v>
                </c:pt>
                <c:pt idx="4">
                  <c:v>266640412.25462556</c:v>
                </c:pt>
                <c:pt idx="5">
                  <c:v>332182830.31531286</c:v>
                </c:pt>
                <c:pt idx="6">
                  <c:v>397725248.37600017</c:v>
                </c:pt>
                <c:pt idx="7">
                  <c:v>463267666.43668747</c:v>
                </c:pt>
                <c:pt idx="8">
                  <c:v>528810084.49737477</c:v>
                </c:pt>
                <c:pt idx="9">
                  <c:v>594352502.55806208</c:v>
                </c:pt>
              </c:numCache>
            </c:numRef>
          </c:val>
          <c:smooth val="0"/>
          <c:extLst>
            <c:ext xmlns:c16="http://schemas.microsoft.com/office/drawing/2014/chart" uri="{C3380CC4-5D6E-409C-BE32-E72D297353CC}">
              <c16:uniqueId val="{00000000-DB7C-47FD-82E3-96750444233B}"/>
            </c:ext>
          </c:extLst>
        </c:ser>
        <c:ser>
          <c:idx val="1"/>
          <c:order val="1"/>
          <c:tx>
            <c:strRef>
              <c:f>BreakEven!$B$7</c:f>
              <c:strCache>
                <c:ptCount val="1"/>
                <c:pt idx="0">
                  <c:v>Cumulative Revenue</c:v>
                </c:pt>
              </c:strCache>
            </c:strRef>
          </c:tx>
          <c:spPr>
            <a:ln w="63500" cap="rnd">
              <a:solidFill>
                <a:schemeClr val="accent6"/>
              </a:solidFill>
              <a:round/>
            </a:ln>
            <a:effectLst/>
          </c:spPr>
          <c:marker>
            <c:symbol val="circle"/>
            <c:size val="5"/>
            <c:spPr>
              <a:solidFill>
                <a:schemeClr val="accent6"/>
              </a:solidFill>
              <a:ln w="82550">
                <a:solidFill>
                  <a:schemeClr val="accent6"/>
                </a:solidFill>
              </a:ln>
              <a:effectLst/>
            </c:spPr>
          </c:marker>
          <c:cat>
            <c:strRef>
              <c:f>BreakEven!$C$5:$L$5</c:f>
              <c:strCache>
                <c:ptCount val="10"/>
                <c:pt idx="0">
                  <c:v>2024/25</c:v>
                </c:pt>
                <c:pt idx="1">
                  <c:v>2025/26</c:v>
                </c:pt>
                <c:pt idx="2">
                  <c:v>2026/27</c:v>
                </c:pt>
                <c:pt idx="3">
                  <c:v>2027/28</c:v>
                </c:pt>
                <c:pt idx="4">
                  <c:v>2028/29</c:v>
                </c:pt>
                <c:pt idx="5">
                  <c:v>2029/30</c:v>
                </c:pt>
                <c:pt idx="6">
                  <c:v>2030/31</c:v>
                </c:pt>
                <c:pt idx="7">
                  <c:v>2031/32</c:v>
                </c:pt>
                <c:pt idx="8">
                  <c:v>2032/33</c:v>
                </c:pt>
                <c:pt idx="9">
                  <c:v>2033/34</c:v>
                </c:pt>
              </c:strCache>
            </c:strRef>
          </c:cat>
          <c:val>
            <c:numRef>
              <c:f>BreakEven!$C$7:$L$7</c:f>
              <c:numCache>
                <c:formatCode>0</c:formatCode>
                <c:ptCount val="10"/>
                <c:pt idx="0">
                  <c:v>0</c:v>
                </c:pt>
                <c:pt idx="1">
                  <c:v>16733226.448332131</c:v>
                </c:pt>
                <c:pt idx="2">
                  <c:v>66932905.793328524</c:v>
                </c:pt>
                <c:pt idx="3">
                  <c:v>167332264.48332131</c:v>
                </c:pt>
                <c:pt idx="4">
                  <c:v>267731623.17331409</c:v>
                </c:pt>
                <c:pt idx="5">
                  <c:v>368130981.86330688</c:v>
                </c:pt>
                <c:pt idx="6">
                  <c:v>468530340.55329967</c:v>
                </c:pt>
                <c:pt idx="7">
                  <c:v>568929699.24329245</c:v>
                </c:pt>
                <c:pt idx="8">
                  <c:v>669329057.93328524</c:v>
                </c:pt>
                <c:pt idx="9">
                  <c:v>769728416.62327802</c:v>
                </c:pt>
              </c:numCache>
            </c:numRef>
          </c:val>
          <c:smooth val="0"/>
          <c:extLst>
            <c:ext xmlns:c16="http://schemas.microsoft.com/office/drawing/2014/chart" uri="{C3380CC4-5D6E-409C-BE32-E72D297353CC}">
              <c16:uniqueId val="{00000001-DB7C-47FD-82E3-96750444233B}"/>
            </c:ext>
          </c:extLst>
        </c:ser>
        <c:ser>
          <c:idx val="2"/>
          <c:order val="2"/>
          <c:tx>
            <c:strRef>
              <c:f>BreakEven!$B$8</c:f>
              <c:strCache>
                <c:ptCount val="1"/>
                <c:pt idx="0">
                  <c:v>Cumulative Profit</c:v>
                </c:pt>
              </c:strCache>
            </c:strRef>
          </c:tx>
          <c:spPr>
            <a:ln w="63500" cap="rnd">
              <a:solidFill>
                <a:schemeClr val="tx2">
                  <a:lumMod val="75000"/>
                  <a:lumOff val="25000"/>
                </a:schemeClr>
              </a:solidFill>
              <a:round/>
            </a:ln>
            <a:effectLst/>
          </c:spPr>
          <c:marker>
            <c:symbol val="triangle"/>
            <c:size val="5"/>
            <c:spPr>
              <a:solidFill>
                <a:schemeClr val="accent1">
                  <a:lumMod val="60000"/>
                  <a:lumOff val="40000"/>
                </a:schemeClr>
              </a:solidFill>
              <a:ln w="34925">
                <a:solidFill>
                  <a:schemeClr val="tx2">
                    <a:lumMod val="75000"/>
                    <a:lumOff val="25000"/>
                  </a:schemeClr>
                </a:solidFill>
              </a:ln>
              <a:effectLst/>
            </c:spPr>
          </c:marker>
          <c:cat>
            <c:strRef>
              <c:f>BreakEven!$C$5:$L$5</c:f>
              <c:strCache>
                <c:ptCount val="10"/>
                <c:pt idx="0">
                  <c:v>2024/25</c:v>
                </c:pt>
                <c:pt idx="1">
                  <c:v>2025/26</c:v>
                </c:pt>
                <c:pt idx="2">
                  <c:v>2026/27</c:v>
                </c:pt>
                <c:pt idx="3">
                  <c:v>2027/28</c:v>
                </c:pt>
                <c:pt idx="4">
                  <c:v>2028/29</c:v>
                </c:pt>
                <c:pt idx="5">
                  <c:v>2029/30</c:v>
                </c:pt>
                <c:pt idx="6">
                  <c:v>2030/31</c:v>
                </c:pt>
                <c:pt idx="7">
                  <c:v>2031/32</c:v>
                </c:pt>
                <c:pt idx="8">
                  <c:v>2032/33</c:v>
                </c:pt>
                <c:pt idx="9">
                  <c:v>2033/34</c:v>
                </c:pt>
              </c:strCache>
            </c:strRef>
          </c:cat>
          <c:val>
            <c:numRef>
              <c:f>BreakEven!$C$8:$L$8</c:f>
              <c:numCache>
                <c:formatCode>0</c:formatCode>
                <c:ptCount val="10"/>
                <c:pt idx="0">
                  <c:v>-7309000.8583135325</c:v>
                </c:pt>
                <c:pt idx="1">
                  <c:v>-16906298.858141184</c:v>
                </c:pt>
                <c:pt idx="2">
                  <c:v>-29070680.22352951</c:v>
                </c:pt>
                <c:pt idx="3">
                  <c:v>-23878718.903819039</c:v>
                </c:pt>
                <c:pt idx="4">
                  <c:v>-2998400.4302955158</c:v>
                </c:pt>
                <c:pt idx="5">
                  <c:v>17881918.043228008</c:v>
                </c:pt>
                <c:pt idx="6">
                  <c:v>38762236.516751528</c:v>
                </c:pt>
                <c:pt idx="7">
                  <c:v>59642554.990275055</c:v>
                </c:pt>
                <c:pt idx="8">
                  <c:v>80522873.463798583</c:v>
                </c:pt>
                <c:pt idx="9">
                  <c:v>101403191.93732211</c:v>
                </c:pt>
              </c:numCache>
            </c:numRef>
          </c:val>
          <c:smooth val="0"/>
          <c:extLst>
            <c:ext xmlns:c16="http://schemas.microsoft.com/office/drawing/2014/chart" uri="{C3380CC4-5D6E-409C-BE32-E72D297353CC}">
              <c16:uniqueId val="{00000002-DB7C-47FD-82E3-96750444233B}"/>
            </c:ext>
          </c:extLst>
        </c:ser>
        <c:dLbls>
          <c:showLegendKey val="0"/>
          <c:showVal val="0"/>
          <c:showCatName val="0"/>
          <c:showSerName val="0"/>
          <c:showPercent val="0"/>
          <c:showBubbleSize val="0"/>
        </c:dLbls>
        <c:marker val="1"/>
        <c:smooth val="0"/>
        <c:axId val="1621102655"/>
        <c:axId val="1621092575"/>
      </c:lineChart>
      <c:catAx>
        <c:axId val="1621102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4000" b="0" i="0" u="none" strike="noStrike" kern="1200" baseline="0">
                <a:solidFill>
                  <a:schemeClr val="tx1"/>
                </a:solidFill>
                <a:latin typeface="+mn-lt"/>
                <a:ea typeface="+mn-ea"/>
                <a:cs typeface="+mn-cs"/>
              </a:defRPr>
            </a:pPr>
            <a:endParaRPr lang="en-US"/>
          </a:p>
        </c:txPr>
        <c:crossAx val="1621092575"/>
        <c:crosses val="autoZero"/>
        <c:auto val="1"/>
        <c:lblAlgn val="ctr"/>
        <c:lblOffset val="100"/>
        <c:noMultiLvlLbl val="0"/>
      </c:catAx>
      <c:valAx>
        <c:axId val="16210925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4000" b="0" i="0" u="none" strike="noStrike" kern="1200" baseline="0">
                    <a:solidFill>
                      <a:schemeClr val="tx1"/>
                    </a:solidFill>
                    <a:latin typeface="+mn-lt"/>
                    <a:ea typeface="+mn-ea"/>
                    <a:cs typeface="+mn-cs"/>
                  </a:defRPr>
                </a:pPr>
                <a:r>
                  <a:rPr lang="en-GB" sz="4000">
                    <a:solidFill>
                      <a:schemeClr val="tx1"/>
                    </a:solidFill>
                  </a:rPr>
                  <a:t>Value</a:t>
                </a:r>
                <a:r>
                  <a:rPr lang="en-GB" sz="4000" baseline="0">
                    <a:solidFill>
                      <a:schemeClr val="tx1"/>
                    </a:solidFill>
                  </a:rPr>
                  <a:t> (£)</a:t>
                </a:r>
                <a:endParaRPr lang="en-GB" sz="4000">
                  <a:solidFill>
                    <a:schemeClr val="tx1"/>
                  </a:solidFill>
                </a:endParaRPr>
              </a:p>
            </c:rich>
          </c:tx>
          <c:overlay val="0"/>
          <c:spPr>
            <a:noFill/>
            <a:ln>
              <a:noFill/>
            </a:ln>
            <a:effectLst/>
          </c:spPr>
          <c:txPr>
            <a:bodyPr rot="-5400000" spcFirstLastPara="1" vertOverflow="ellipsis" vert="horz" wrap="square" anchor="ctr" anchorCtr="1"/>
            <a:lstStyle/>
            <a:p>
              <a:pPr>
                <a:defRPr sz="4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4000" b="0" i="0" u="none" strike="noStrike" kern="1200" baseline="0">
                <a:solidFill>
                  <a:schemeClr val="tx1"/>
                </a:solidFill>
                <a:latin typeface="+mn-lt"/>
                <a:ea typeface="+mn-ea"/>
                <a:cs typeface="+mn-cs"/>
              </a:defRPr>
            </a:pPr>
            <a:endParaRPr lang="en-US"/>
          </a:p>
        </c:txPr>
        <c:crossAx val="1621102655"/>
        <c:crosses val="autoZero"/>
        <c:crossBetween val="between"/>
        <c:dispUnits>
          <c:builtInUnit val="millions"/>
          <c:dispUnitsLbl>
            <c:tx>
              <c:rich>
                <a:bodyPr rot="-5400000" spcFirstLastPara="1" vertOverflow="ellipsis" vert="horz" wrap="square" anchor="ctr" anchorCtr="1"/>
                <a:lstStyle/>
                <a:p>
                  <a:pPr>
                    <a:defRPr sz="4000" b="0" i="0" u="none" strike="noStrike" kern="1200" baseline="0">
                      <a:solidFill>
                        <a:schemeClr val="tx1"/>
                      </a:solidFill>
                      <a:latin typeface="+mn-lt"/>
                      <a:ea typeface="+mn-ea"/>
                      <a:cs typeface="+mn-cs"/>
                    </a:defRPr>
                  </a:pPr>
                  <a:r>
                    <a:rPr lang="en-GB" sz="4000"/>
                    <a:t>Millions</a:t>
                  </a:r>
                </a:p>
              </c:rich>
            </c:tx>
            <c:spPr>
              <a:noFill/>
              <a:ln>
                <a:noFill/>
              </a:ln>
              <a:effectLst/>
            </c:spPr>
            <c:txPr>
              <a:bodyPr rot="-5400000" spcFirstLastPara="1" vertOverflow="ellipsis" vert="horz" wrap="square" anchor="ctr" anchorCtr="1"/>
              <a:lstStyle/>
              <a:p>
                <a:pPr>
                  <a:defRPr sz="4000" b="0" i="0" u="none" strike="noStrike" kern="1200" baseline="0">
                    <a:solidFill>
                      <a:schemeClr val="tx1"/>
                    </a:solidFill>
                    <a:latin typeface="+mn-lt"/>
                    <a:ea typeface="+mn-ea"/>
                    <a:cs typeface="+mn-cs"/>
                  </a:defRPr>
                </a:pPr>
                <a:endParaRPr lang="en-US"/>
              </a:p>
            </c:txPr>
          </c:dispUnitsLbl>
        </c:dispUnits>
      </c:valAx>
      <c:spPr>
        <a:noFill/>
        <a:ln>
          <a:noFill/>
        </a:ln>
        <a:effectLst/>
      </c:spPr>
    </c:plotArea>
    <c:legend>
      <c:legendPos val="b"/>
      <c:overlay val="0"/>
      <c:spPr>
        <a:noFill/>
        <a:ln w="63500">
          <a:noFill/>
        </a:ln>
        <a:effectLst/>
      </c:spPr>
      <c:txPr>
        <a:bodyPr rot="0" spcFirstLastPara="1" vertOverflow="ellipsis" vert="horz" wrap="square" anchor="ctr" anchorCtr="1"/>
        <a:lstStyle/>
        <a:p>
          <a:pPr>
            <a:defRPr sz="4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BreakEven!$B$6</c:f>
              <c:strCache>
                <c:ptCount val="1"/>
                <c:pt idx="0">
                  <c:v>Cumulative Costs</c:v>
                </c:pt>
              </c:strCache>
            </c:strRef>
          </c:tx>
          <c:spPr>
            <a:ln w="28575" cap="rnd">
              <a:solidFill>
                <a:srgbClr val="FF5050"/>
              </a:solidFill>
              <a:round/>
            </a:ln>
            <a:effectLst/>
          </c:spPr>
          <c:marker>
            <c:symbol val="x"/>
            <c:size val="5"/>
            <c:spPr>
              <a:solidFill>
                <a:srgbClr val="FF5050"/>
              </a:solidFill>
              <a:ln w="9525">
                <a:solidFill>
                  <a:srgbClr val="FF5050"/>
                </a:solidFill>
              </a:ln>
              <a:effectLst/>
            </c:spPr>
          </c:marker>
          <c:cat>
            <c:strRef>
              <c:f>BreakEven!$C$5:$L$5</c:f>
              <c:strCache>
                <c:ptCount val="10"/>
                <c:pt idx="0">
                  <c:v>2024/25</c:v>
                </c:pt>
                <c:pt idx="1">
                  <c:v>2025/26</c:v>
                </c:pt>
                <c:pt idx="2">
                  <c:v>2026/27</c:v>
                </c:pt>
                <c:pt idx="3">
                  <c:v>2027/28</c:v>
                </c:pt>
                <c:pt idx="4">
                  <c:v>2028/29</c:v>
                </c:pt>
                <c:pt idx="5">
                  <c:v>2029/30</c:v>
                </c:pt>
                <c:pt idx="6">
                  <c:v>2030/31</c:v>
                </c:pt>
                <c:pt idx="7">
                  <c:v>2031/32</c:v>
                </c:pt>
                <c:pt idx="8">
                  <c:v>2032/33</c:v>
                </c:pt>
                <c:pt idx="9">
                  <c:v>2033/34</c:v>
                </c:pt>
              </c:strCache>
            </c:strRef>
          </c:cat>
          <c:val>
            <c:numRef>
              <c:f>BreakEven!$C$6:$L$6</c:f>
              <c:numCache>
                <c:formatCode>0</c:formatCode>
                <c:ptCount val="10"/>
                <c:pt idx="0">
                  <c:v>11054853.961723594</c:v>
                </c:pt>
                <c:pt idx="1">
                  <c:v>47708288.008411556</c:v>
                </c:pt>
                <c:pt idx="2">
                  <c:v>89199528.133930564</c:v>
                </c:pt>
                <c:pt idx="3">
                  <c:v>201097994.19393826</c:v>
                </c:pt>
                <c:pt idx="4">
                  <c:v>266640412.25462556</c:v>
                </c:pt>
                <c:pt idx="5">
                  <c:v>332182830.31531286</c:v>
                </c:pt>
                <c:pt idx="6">
                  <c:v>397725248.37600017</c:v>
                </c:pt>
                <c:pt idx="7">
                  <c:v>463267666.43668747</c:v>
                </c:pt>
                <c:pt idx="8">
                  <c:v>528810084.49737477</c:v>
                </c:pt>
                <c:pt idx="9">
                  <c:v>594352502.55806208</c:v>
                </c:pt>
              </c:numCache>
            </c:numRef>
          </c:val>
          <c:smooth val="0"/>
          <c:extLst>
            <c:ext xmlns:c16="http://schemas.microsoft.com/office/drawing/2014/chart" uri="{C3380CC4-5D6E-409C-BE32-E72D297353CC}">
              <c16:uniqueId val="{00000000-D97F-4D6D-BE9B-106ACE2DE877}"/>
            </c:ext>
          </c:extLst>
        </c:ser>
        <c:ser>
          <c:idx val="1"/>
          <c:order val="1"/>
          <c:tx>
            <c:strRef>
              <c:f>BreakEven!$B$7</c:f>
              <c:strCache>
                <c:ptCount val="1"/>
                <c:pt idx="0">
                  <c:v>Cumulative Revenue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BreakEven!$C$5:$L$5</c:f>
              <c:strCache>
                <c:ptCount val="10"/>
                <c:pt idx="0">
                  <c:v>2024/25</c:v>
                </c:pt>
                <c:pt idx="1">
                  <c:v>2025/26</c:v>
                </c:pt>
                <c:pt idx="2">
                  <c:v>2026/27</c:v>
                </c:pt>
                <c:pt idx="3">
                  <c:v>2027/28</c:v>
                </c:pt>
                <c:pt idx="4">
                  <c:v>2028/29</c:v>
                </c:pt>
                <c:pt idx="5">
                  <c:v>2029/30</c:v>
                </c:pt>
                <c:pt idx="6">
                  <c:v>2030/31</c:v>
                </c:pt>
                <c:pt idx="7">
                  <c:v>2031/32</c:v>
                </c:pt>
                <c:pt idx="8">
                  <c:v>2032/33</c:v>
                </c:pt>
                <c:pt idx="9">
                  <c:v>2033/34</c:v>
                </c:pt>
              </c:strCache>
            </c:strRef>
          </c:cat>
          <c:val>
            <c:numRef>
              <c:f>BreakEven!$C$7:$L$7</c:f>
              <c:numCache>
                <c:formatCode>0</c:formatCode>
                <c:ptCount val="10"/>
                <c:pt idx="0">
                  <c:v>0</c:v>
                </c:pt>
                <c:pt idx="1">
                  <c:v>16733226.448332131</c:v>
                </c:pt>
                <c:pt idx="2">
                  <c:v>66932905.793328524</c:v>
                </c:pt>
                <c:pt idx="3">
                  <c:v>167332264.48332131</c:v>
                </c:pt>
                <c:pt idx="4">
                  <c:v>267731623.17331409</c:v>
                </c:pt>
                <c:pt idx="5">
                  <c:v>368130981.86330688</c:v>
                </c:pt>
                <c:pt idx="6">
                  <c:v>468530340.55329967</c:v>
                </c:pt>
                <c:pt idx="7">
                  <c:v>568929699.24329245</c:v>
                </c:pt>
                <c:pt idx="8">
                  <c:v>669329057.93328524</c:v>
                </c:pt>
                <c:pt idx="9">
                  <c:v>769728416.62327802</c:v>
                </c:pt>
              </c:numCache>
            </c:numRef>
          </c:val>
          <c:smooth val="0"/>
          <c:extLst>
            <c:ext xmlns:c16="http://schemas.microsoft.com/office/drawing/2014/chart" uri="{C3380CC4-5D6E-409C-BE32-E72D297353CC}">
              <c16:uniqueId val="{00000001-D97F-4D6D-BE9B-106ACE2DE877}"/>
            </c:ext>
          </c:extLst>
        </c:ser>
        <c:ser>
          <c:idx val="2"/>
          <c:order val="2"/>
          <c:tx>
            <c:strRef>
              <c:f>BreakEven!$B$8</c:f>
              <c:strCache>
                <c:ptCount val="1"/>
                <c:pt idx="0">
                  <c:v>Cumulative Profit</c:v>
                </c:pt>
              </c:strCache>
            </c:strRef>
          </c:tx>
          <c:spPr>
            <a:ln w="28575" cap="rnd">
              <a:solidFill>
                <a:schemeClr val="tx2">
                  <a:lumMod val="75000"/>
                  <a:lumOff val="25000"/>
                </a:schemeClr>
              </a:solidFill>
              <a:round/>
            </a:ln>
            <a:effectLst/>
          </c:spPr>
          <c:marker>
            <c:symbol val="circle"/>
            <c:size val="5"/>
            <c:spPr>
              <a:solidFill>
                <a:schemeClr val="tx2">
                  <a:lumMod val="50000"/>
                  <a:lumOff val="50000"/>
                </a:schemeClr>
              </a:solidFill>
              <a:ln w="9525">
                <a:solidFill>
                  <a:schemeClr val="tx2">
                    <a:lumMod val="50000"/>
                    <a:lumOff val="50000"/>
                  </a:schemeClr>
                </a:solidFill>
              </a:ln>
              <a:effectLst/>
            </c:spPr>
          </c:marker>
          <c:cat>
            <c:strRef>
              <c:f>BreakEven!$C$5:$L$5</c:f>
              <c:strCache>
                <c:ptCount val="10"/>
                <c:pt idx="0">
                  <c:v>2024/25</c:v>
                </c:pt>
                <c:pt idx="1">
                  <c:v>2025/26</c:v>
                </c:pt>
                <c:pt idx="2">
                  <c:v>2026/27</c:v>
                </c:pt>
                <c:pt idx="3">
                  <c:v>2027/28</c:v>
                </c:pt>
                <c:pt idx="4">
                  <c:v>2028/29</c:v>
                </c:pt>
                <c:pt idx="5">
                  <c:v>2029/30</c:v>
                </c:pt>
                <c:pt idx="6">
                  <c:v>2030/31</c:v>
                </c:pt>
                <c:pt idx="7">
                  <c:v>2031/32</c:v>
                </c:pt>
                <c:pt idx="8">
                  <c:v>2032/33</c:v>
                </c:pt>
                <c:pt idx="9">
                  <c:v>2033/34</c:v>
                </c:pt>
              </c:strCache>
            </c:strRef>
          </c:cat>
          <c:val>
            <c:numRef>
              <c:f>BreakEven!$C$8:$L$8</c:f>
              <c:numCache>
                <c:formatCode>0</c:formatCode>
                <c:ptCount val="10"/>
                <c:pt idx="0">
                  <c:v>-7309000.8583135325</c:v>
                </c:pt>
                <c:pt idx="1">
                  <c:v>-16906298.858141184</c:v>
                </c:pt>
                <c:pt idx="2">
                  <c:v>-29070680.22352951</c:v>
                </c:pt>
                <c:pt idx="3">
                  <c:v>-23878718.903819039</c:v>
                </c:pt>
                <c:pt idx="4">
                  <c:v>-2998400.4302955158</c:v>
                </c:pt>
                <c:pt idx="5">
                  <c:v>17881918.043228008</c:v>
                </c:pt>
                <c:pt idx="6">
                  <c:v>38762236.516751528</c:v>
                </c:pt>
                <c:pt idx="7">
                  <c:v>59642554.990275055</c:v>
                </c:pt>
                <c:pt idx="8">
                  <c:v>80522873.463798583</c:v>
                </c:pt>
                <c:pt idx="9">
                  <c:v>101403191.93732211</c:v>
                </c:pt>
              </c:numCache>
            </c:numRef>
          </c:val>
          <c:smooth val="0"/>
          <c:extLst>
            <c:ext xmlns:c16="http://schemas.microsoft.com/office/drawing/2014/chart" uri="{C3380CC4-5D6E-409C-BE32-E72D297353CC}">
              <c16:uniqueId val="{00000002-D97F-4D6D-BE9B-106ACE2DE877}"/>
            </c:ext>
          </c:extLst>
        </c:ser>
        <c:dLbls>
          <c:showLegendKey val="0"/>
          <c:showVal val="0"/>
          <c:showCatName val="0"/>
          <c:showSerName val="0"/>
          <c:showPercent val="0"/>
          <c:showBubbleSize val="0"/>
        </c:dLbls>
        <c:marker val="1"/>
        <c:smooth val="0"/>
        <c:axId val="1712378351"/>
        <c:axId val="1712379311"/>
      </c:lineChart>
      <c:catAx>
        <c:axId val="17123783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379311"/>
        <c:crosses val="autoZero"/>
        <c:auto val="1"/>
        <c:lblAlgn val="ctr"/>
        <c:lblOffset val="100"/>
        <c:noMultiLvlLbl val="0"/>
      </c:catAx>
      <c:valAx>
        <c:axId val="17123793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Value</a:t>
                </a:r>
                <a:r>
                  <a:rPr lang="en-GB" baseline="0"/>
                  <a:t> (£)</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378351"/>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Length (m)  Residual Plot</a:t>
            </a:r>
          </a:p>
        </c:rich>
      </c:tx>
      <c:overlay val="0"/>
    </c:title>
    <c:autoTitleDeleted val="0"/>
    <c:plotArea>
      <c:layout/>
      <c:scatterChart>
        <c:scatterStyle val="lineMarker"/>
        <c:varyColors val="0"/>
        <c:ser>
          <c:idx val="0"/>
          <c:order val="0"/>
          <c:spPr>
            <a:ln w="38100">
              <a:noFill/>
            </a:ln>
          </c:spPr>
          <c:xVal>
            <c:numRef>
              <c:f>Income!$D$45:$D$53</c:f>
              <c:numCache>
                <c:formatCode>General</c:formatCode>
                <c:ptCount val="9"/>
                <c:pt idx="0">
                  <c:v>2.9</c:v>
                </c:pt>
                <c:pt idx="1">
                  <c:v>11</c:v>
                </c:pt>
                <c:pt idx="2">
                  <c:v>0.86</c:v>
                </c:pt>
                <c:pt idx="3">
                  <c:v>6.5</c:v>
                </c:pt>
                <c:pt idx="4">
                  <c:v>2.5</c:v>
                </c:pt>
                <c:pt idx="5">
                  <c:v>1.5</c:v>
                </c:pt>
                <c:pt idx="6">
                  <c:v>0.5</c:v>
                </c:pt>
                <c:pt idx="7">
                  <c:v>3.5</c:v>
                </c:pt>
                <c:pt idx="8">
                  <c:v>2.5</c:v>
                </c:pt>
              </c:numCache>
            </c:numRef>
          </c:xVal>
          <c:yVal>
            <c:numRef>
              <c:f>Income!$I$67:$I$75</c:f>
              <c:numCache>
                <c:formatCode>General</c:formatCode>
                <c:ptCount val="9"/>
                <c:pt idx="0">
                  <c:v>370562.16420480143</c:v>
                </c:pt>
                <c:pt idx="1">
                  <c:v>-299969.43973950669</c:v>
                </c:pt>
                <c:pt idx="2">
                  <c:v>1326841.7932487824</c:v>
                </c:pt>
                <c:pt idx="3">
                  <c:v>3775617.9335105252</c:v>
                </c:pt>
                <c:pt idx="4">
                  <c:v>-2186473.3864627257</c:v>
                </c:pt>
                <c:pt idx="5">
                  <c:v>2010614.3425103419</c:v>
                </c:pt>
                <c:pt idx="6">
                  <c:v>1725168.3490779661</c:v>
                </c:pt>
                <c:pt idx="7">
                  <c:v>-5063984.7803437375</c:v>
                </c:pt>
                <c:pt idx="8">
                  <c:v>-1658376.976006452</c:v>
                </c:pt>
              </c:numCache>
            </c:numRef>
          </c:yVal>
          <c:smooth val="0"/>
          <c:extLst>
            <c:ext xmlns:c16="http://schemas.microsoft.com/office/drawing/2014/chart" uri="{C3380CC4-5D6E-409C-BE32-E72D297353CC}">
              <c16:uniqueId val="{00000001-C19E-4050-A372-AEA15B9E6F91}"/>
            </c:ext>
          </c:extLst>
        </c:ser>
        <c:dLbls>
          <c:showLegendKey val="0"/>
          <c:showVal val="0"/>
          <c:showCatName val="0"/>
          <c:showSerName val="0"/>
          <c:showPercent val="0"/>
          <c:showBubbleSize val="0"/>
        </c:dLbls>
        <c:axId val="506381552"/>
        <c:axId val="1780412863"/>
      </c:scatterChart>
      <c:valAx>
        <c:axId val="506381552"/>
        <c:scaling>
          <c:orientation val="minMax"/>
        </c:scaling>
        <c:delete val="0"/>
        <c:axPos val="b"/>
        <c:title>
          <c:tx>
            <c:rich>
              <a:bodyPr/>
              <a:lstStyle/>
              <a:p>
                <a:pPr>
                  <a:defRPr/>
                </a:pPr>
                <a:r>
                  <a:rPr lang="en-GB"/>
                  <a:t>Length (m)</a:t>
                </a:r>
              </a:p>
            </c:rich>
          </c:tx>
          <c:overlay val="0"/>
        </c:title>
        <c:numFmt formatCode="General" sourceLinked="1"/>
        <c:majorTickMark val="out"/>
        <c:minorTickMark val="none"/>
        <c:tickLblPos val="nextTo"/>
        <c:crossAx val="1780412863"/>
        <c:crosses val="autoZero"/>
        <c:crossBetween val="midCat"/>
      </c:valAx>
      <c:valAx>
        <c:axId val="1780412863"/>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506381552"/>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Wingspan (m)  Residual Plot</a:t>
            </a:r>
          </a:p>
        </c:rich>
      </c:tx>
      <c:overlay val="0"/>
    </c:title>
    <c:autoTitleDeleted val="0"/>
    <c:plotArea>
      <c:layout/>
      <c:scatterChart>
        <c:scatterStyle val="lineMarker"/>
        <c:varyColors val="0"/>
        <c:ser>
          <c:idx val="0"/>
          <c:order val="0"/>
          <c:spPr>
            <a:ln w="38100">
              <a:noFill/>
            </a:ln>
          </c:spPr>
          <c:xVal>
            <c:numRef>
              <c:f>Income!$E$45:$E$53</c:f>
              <c:numCache>
                <c:formatCode>General</c:formatCode>
                <c:ptCount val="9"/>
                <c:pt idx="0">
                  <c:v>2.4900000000000002</c:v>
                </c:pt>
                <c:pt idx="1">
                  <c:v>20.100000000000001</c:v>
                </c:pt>
                <c:pt idx="2">
                  <c:v>1.32</c:v>
                </c:pt>
                <c:pt idx="3">
                  <c:v>10.9</c:v>
                </c:pt>
                <c:pt idx="4">
                  <c:v>4.9000000000000004</c:v>
                </c:pt>
                <c:pt idx="5">
                  <c:v>0.91</c:v>
                </c:pt>
                <c:pt idx="6">
                  <c:v>0.8</c:v>
                </c:pt>
                <c:pt idx="7">
                  <c:v>5</c:v>
                </c:pt>
                <c:pt idx="8">
                  <c:v>3</c:v>
                </c:pt>
              </c:numCache>
            </c:numRef>
          </c:xVal>
          <c:yVal>
            <c:numRef>
              <c:f>Income!$I$67:$I$75</c:f>
              <c:numCache>
                <c:formatCode>General</c:formatCode>
                <c:ptCount val="9"/>
                <c:pt idx="0">
                  <c:v>370562.16420480143</c:v>
                </c:pt>
                <c:pt idx="1">
                  <c:v>-299969.43973950669</c:v>
                </c:pt>
                <c:pt idx="2">
                  <c:v>1326841.7932487824</c:v>
                </c:pt>
                <c:pt idx="3">
                  <c:v>3775617.9335105252</c:v>
                </c:pt>
                <c:pt idx="4">
                  <c:v>-2186473.3864627257</c:v>
                </c:pt>
                <c:pt idx="5">
                  <c:v>2010614.3425103419</c:v>
                </c:pt>
                <c:pt idx="6">
                  <c:v>1725168.3490779661</c:v>
                </c:pt>
                <c:pt idx="7">
                  <c:v>-5063984.7803437375</c:v>
                </c:pt>
                <c:pt idx="8">
                  <c:v>-1658376.976006452</c:v>
                </c:pt>
              </c:numCache>
            </c:numRef>
          </c:yVal>
          <c:smooth val="0"/>
          <c:extLst>
            <c:ext xmlns:c16="http://schemas.microsoft.com/office/drawing/2014/chart" uri="{C3380CC4-5D6E-409C-BE32-E72D297353CC}">
              <c16:uniqueId val="{00000001-6718-4F76-8589-D6AA2AE708D8}"/>
            </c:ext>
          </c:extLst>
        </c:ser>
        <c:dLbls>
          <c:showLegendKey val="0"/>
          <c:showVal val="0"/>
          <c:showCatName val="0"/>
          <c:showSerName val="0"/>
          <c:showPercent val="0"/>
          <c:showBubbleSize val="0"/>
        </c:dLbls>
        <c:axId val="697925840"/>
        <c:axId val="697926320"/>
      </c:scatterChart>
      <c:valAx>
        <c:axId val="697925840"/>
        <c:scaling>
          <c:orientation val="minMax"/>
        </c:scaling>
        <c:delete val="0"/>
        <c:axPos val="b"/>
        <c:title>
          <c:tx>
            <c:rich>
              <a:bodyPr/>
              <a:lstStyle/>
              <a:p>
                <a:pPr>
                  <a:defRPr/>
                </a:pPr>
                <a:r>
                  <a:rPr lang="en-GB"/>
                  <a:t>Wingspan (m)</a:t>
                </a:r>
              </a:p>
            </c:rich>
          </c:tx>
          <c:overlay val="0"/>
        </c:title>
        <c:numFmt formatCode="General" sourceLinked="1"/>
        <c:majorTickMark val="out"/>
        <c:minorTickMark val="none"/>
        <c:tickLblPos val="nextTo"/>
        <c:crossAx val="697926320"/>
        <c:crosses val="autoZero"/>
        <c:crossBetween val="midCat"/>
      </c:valAx>
      <c:valAx>
        <c:axId val="697926320"/>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69792584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Length (m) Line Fit  Plot</a:t>
            </a:r>
          </a:p>
        </c:rich>
      </c:tx>
      <c:overlay val="0"/>
    </c:title>
    <c:autoTitleDeleted val="0"/>
    <c:plotArea>
      <c:layout/>
      <c:scatterChart>
        <c:scatterStyle val="lineMarker"/>
        <c:varyColors val="0"/>
        <c:ser>
          <c:idx val="0"/>
          <c:order val="0"/>
          <c:tx>
            <c:v>Cost (£)</c:v>
          </c:tx>
          <c:spPr>
            <a:ln w="38100">
              <a:noFill/>
            </a:ln>
          </c:spPr>
          <c:xVal>
            <c:numRef>
              <c:f>Income!$D$45:$D$53</c:f>
              <c:numCache>
                <c:formatCode>General</c:formatCode>
                <c:ptCount val="9"/>
                <c:pt idx="0">
                  <c:v>2.9</c:v>
                </c:pt>
                <c:pt idx="1">
                  <c:v>11</c:v>
                </c:pt>
                <c:pt idx="2">
                  <c:v>0.86</c:v>
                </c:pt>
                <c:pt idx="3">
                  <c:v>6.5</c:v>
                </c:pt>
                <c:pt idx="4">
                  <c:v>2.5</c:v>
                </c:pt>
                <c:pt idx="5">
                  <c:v>1.5</c:v>
                </c:pt>
                <c:pt idx="6">
                  <c:v>0.5</c:v>
                </c:pt>
                <c:pt idx="7">
                  <c:v>3.5</c:v>
                </c:pt>
                <c:pt idx="8">
                  <c:v>2.5</c:v>
                </c:pt>
              </c:numCache>
            </c:numRef>
          </c:xVal>
          <c:yVal>
            <c:numRef>
              <c:f>Income!$C$45:$C$53</c:f>
              <c:numCache>
                <c:formatCode>General</c:formatCode>
                <c:ptCount val="9"/>
                <c:pt idx="0">
                  <c:v>1100000</c:v>
                </c:pt>
                <c:pt idx="1">
                  <c:v>30000000</c:v>
                </c:pt>
                <c:pt idx="2">
                  <c:v>500000</c:v>
                </c:pt>
                <c:pt idx="3">
                  <c:v>18700000</c:v>
                </c:pt>
                <c:pt idx="4">
                  <c:v>3000000</c:v>
                </c:pt>
                <c:pt idx="5">
                  <c:v>270000</c:v>
                </c:pt>
                <c:pt idx="6">
                  <c:v>58000</c:v>
                </c:pt>
                <c:pt idx="7">
                  <c:v>31000</c:v>
                </c:pt>
                <c:pt idx="8">
                  <c:v>100000</c:v>
                </c:pt>
              </c:numCache>
            </c:numRef>
          </c:yVal>
          <c:smooth val="0"/>
          <c:extLst>
            <c:ext xmlns:c16="http://schemas.microsoft.com/office/drawing/2014/chart" uri="{C3380CC4-5D6E-409C-BE32-E72D297353CC}">
              <c16:uniqueId val="{00000001-85B9-4FF0-BA0F-A04E3EAB0BA3}"/>
            </c:ext>
          </c:extLst>
        </c:ser>
        <c:ser>
          <c:idx val="1"/>
          <c:order val="1"/>
          <c:tx>
            <c:v>Predicted Cost (£)</c:v>
          </c:tx>
          <c:spPr>
            <a:ln w="38100">
              <a:noFill/>
            </a:ln>
          </c:spPr>
          <c:xVal>
            <c:numRef>
              <c:f>Income!$D$45:$D$53</c:f>
              <c:numCache>
                <c:formatCode>General</c:formatCode>
                <c:ptCount val="9"/>
                <c:pt idx="0">
                  <c:v>2.9</c:v>
                </c:pt>
                <c:pt idx="1">
                  <c:v>11</c:v>
                </c:pt>
                <c:pt idx="2">
                  <c:v>0.86</c:v>
                </c:pt>
                <c:pt idx="3">
                  <c:v>6.5</c:v>
                </c:pt>
                <c:pt idx="4">
                  <c:v>2.5</c:v>
                </c:pt>
                <c:pt idx="5">
                  <c:v>1.5</c:v>
                </c:pt>
                <c:pt idx="6">
                  <c:v>0.5</c:v>
                </c:pt>
                <c:pt idx="7">
                  <c:v>3.5</c:v>
                </c:pt>
                <c:pt idx="8">
                  <c:v>2.5</c:v>
                </c:pt>
              </c:numCache>
            </c:numRef>
          </c:xVal>
          <c:yVal>
            <c:numRef>
              <c:f>Income!$H$67:$H$75</c:f>
              <c:numCache>
                <c:formatCode>General</c:formatCode>
                <c:ptCount val="9"/>
                <c:pt idx="0">
                  <c:v>729437.83579519857</c:v>
                </c:pt>
                <c:pt idx="1">
                  <c:v>30299969.439739507</c:v>
                </c:pt>
                <c:pt idx="2">
                  <c:v>-826841.7932487824</c:v>
                </c:pt>
                <c:pt idx="3">
                  <c:v>14924382.066489475</c:v>
                </c:pt>
                <c:pt idx="4">
                  <c:v>5186473.3864627257</c:v>
                </c:pt>
                <c:pt idx="5">
                  <c:v>-1740614.3425103419</c:v>
                </c:pt>
                <c:pt idx="6">
                  <c:v>-1667168.3490779661</c:v>
                </c:pt>
                <c:pt idx="7">
                  <c:v>5094984.7803437375</c:v>
                </c:pt>
                <c:pt idx="8">
                  <c:v>1758376.976006452</c:v>
                </c:pt>
              </c:numCache>
            </c:numRef>
          </c:yVal>
          <c:smooth val="0"/>
          <c:extLst>
            <c:ext xmlns:c16="http://schemas.microsoft.com/office/drawing/2014/chart" uri="{C3380CC4-5D6E-409C-BE32-E72D297353CC}">
              <c16:uniqueId val="{00000002-85B9-4FF0-BA0F-A04E3EAB0BA3}"/>
            </c:ext>
          </c:extLst>
        </c:ser>
        <c:dLbls>
          <c:showLegendKey val="0"/>
          <c:showVal val="0"/>
          <c:showCatName val="0"/>
          <c:showSerName val="0"/>
          <c:showPercent val="0"/>
          <c:showBubbleSize val="0"/>
        </c:dLbls>
        <c:axId val="697923920"/>
        <c:axId val="697922960"/>
      </c:scatterChart>
      <c:valAx>
        <c:axId val="697923920"/>
        <c:scaling>
          <c:orientation val="minMax"/>
        </c:scaling>
        <c:delete val="0"/>
        <c:axPos val="b"/>
        <c:title>
          <c:tx>
            <c:rich>
              <a:bodyPr/>
              <a:lstStyle/>
              <a:p>
                <a:pPr>
                  <a:defRPr/>
                </a:pPr>
                <a:r>
                  <a:rPr lang="en-GB"/>
                  <a:t>Length (m)</a:t>
                </a:r>
              </a:p>
            </c:rich>
          </c:tx>
          <c:overlay val="0"/>
        </c:title>
        <c:numFmt formatCode="General" sourceLinked="1"/>
        <c:majorTickMark val="out"/>
        <c:minorTickMark val="none"/>
        <c:tickLblPos val="nextTo"/>
        <c:crossAx val="697922960"/>
        <c:crosses val="autoZero"/>
        <c:crossBetween val="midCat"/>
      </c:valAx>
      <c:valAx>
        <c:axId val="697922960"/>
        <c:scaling>
          <c:orientation val="minMax"/>
        </c:scaling>
        <c:delete val="0"/>
        <c:axPos val="l"/>
        <c:title>
          <c:tx>
            <c:rich>
              <a:bodyPr/>
              <a:lstStyle/>
              <a:p>
                <a:pPr>
                  <a:defRPr/>
                </a:pPr>
                <a:r>
                  <a:rPr lang="en-GB"/>
                  <a:t>Cost (£)</a:t>
                </a:r>
              </a:p>
            </c:rich>
          </c:tx>
          <c:overlay val="0"/>
        </c:title>
        <c:numFmt formatCode="General" sourceLinked="1"/>
        <c:majorTickMark val="out"/>
        <c:minorTickMark val="none"/>
        <c:tickLblPos val="nextTo"/>
        <c:crossAx val="697923920"/>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Wingspan (m) Line Fit  Plot</a:t>
            </a:r>
          </a:p>
        </c:rich>
      </c:tx>
      <c:overlay val="0"/>
    </c:title>
    <c:autoTitleDeleted val="0"/>
    <c:plotArea>
      <c:layout/>
      <c:scatterChart>
        <c:scatterStyle val="lineMarker"/>
        <c:varyColors val="0"/>
        <c:ser>
          <c:idx val="0"/>
          <c:order val="0"/>
          <c:tx>
            <c:v>Cost (£)</c:v>
          </c:tx>
          <c:spPr>
            <a:ln w="38100">
              <a:noFill/>
            </a:ln>
          </c:spPr>
          <c:xVal>
            <c:numRef>
              <c:f>Income!$E$45:$E$53</c:f>
              <c:numCache>
                <c:formatCode>General</c:formatCode>
                <c:ptCount val="9"/>
                <c:pt idx="0">
                  <c:v>2.4900000000000002</c:v>
                </c:pt>
                <c:pt idx="1">
                  <c:v>20.100000000000001</c:v>
                </c:pt>
                <c:pt idx="2">
                  <c:v>1.32</c:v>
                </c:pt>
                <c:pt idx="3">
                  <c:v>10.9</c:v>
                </c:pt>
                <c:pt idx="4">
                  <c:v>4.9000000000000004</c:v>
                </c:pt>
                <c:pt idx="5">
                  <c:v>0.91</c:v>
                </c:pt>
                <c:pt idx="6">
                  <c:v>0.8</c:v>
                </c:pt>
                <c:pt idx="7">
                  <c:v>5</c:v>
                </c:pt>
                <c:pt idx="8">
                  <c:v>3</c:v>
                </c:pt>
              </c:numCache>
            </c:numRef>
          </c:xVal>
          <c:yVal>
            <c:numRef>
              <c:f>Income!$C$45:$C$53</c:f>
              <c:numCache>
                <c:formatCode>General</c:formatCode>
                <c:ptCount val="9"/>
                <c:pt idx="0">
                  <c:v>1100000</c:v>
                </c:pt>
                <c:pt idx="1">
                  <c:v>30000000</c:v>
                </c:pt>
                <c:pt idx="2">
                  <c:v>500000</c:v>
                </c:pt>
                <c:pt idx="3">
                  <c:v>18700000</c:v>
                </c:pt>
                <c:pt idx="4">
                  <c:v>3000000</c:v>
                </c:pt>
                <c:pt idx="5">
                  <c:v>270000</c:v>
                </c:pt>
                <c:pt idx="6">
                  <c:v>58000</c:v>
                </c:pt>
                <c:pt idx="7">
                  <c:v>31000</c:v>
                </c:pt>
                <c:pt idx="8">
                  <c:v>100000</c:v>
                </c:pt>
              </c:numCache>
            </c:numRef>
          </c:yVal>
          <c:smooth val="0"/>
          <c:extLst>
            <c:ext xmlns:c16="http://schemas.microsoft.com/office/drawing/2014/chart" uri="{C3380CC4-5D6E-409C-BE32-E72D297353CC}">
              <c16:uniqueId val="{00000001-B89C-4629-B6CD-63428656F4D2}"/>
            </c:ext>
          </c:extLst>
        </c:ser>
        <c:ser>
          <c:idx val="1"/>
          <c:order val="1"/>
          <c:tx>
            <c:v>Predicted Cost (£)</c:v>
          </c:tx>
          <c:spPr>
            <a:ln w="38100">
              <a:noFill/>
            </a:ln>
          </c:spPr>
          <c:xVal>
            <c:numRef>
              <c:f>Income!$E$45:$E$53</c:f>
              <c:numCache>
                <c:formatCode>General</c:formatCode>
                <c:ptCount val="9"/>
                <c:pt idx="0">
                  <c:v>2.4900000000000002</c:v>
                </c:pt>
                <c:pt idx="1">
                  <c:v>20.100000000000001</c:v>
                </c:pt>
                <c:pt idx="2">
                  <c:v>1.32</c:v>
                </c:pt>
                <c:pt idx="3">
                  <c:v>10.9</c:v>
                </c:pt>
                <c:pt idx="4">
                  <c:v>4.9000000000000004</c:v>
                </c:pt>
                <c:pt idx="5">
                  <c:v>0.91</c:v>
                </c:pt>
                <c:pt idx="6">
                  <c:v>0.8</c:v>
                </c:pt>
                <c:pt idx="7">
                  <c:v>5</c:v>
                </c:pt>
                <c:pt idx="8">
                  <c:v>3</c:v>
                </c:pt>
              </c:numCache>
            </c:numRef>
          </c:xVal>
          <c:yVal>
            <c:numRef>
              <c:f>Income!$H$67:$H$75</c:f>
              <c:numCache>
                <c:formatCode>General</c:formatCode>
                <c:ptCount val="9"/>
                <c:pt idx="0">
                  <c:v>729437.83579519857</c:v>
                </c:pt>
                <c:pt idx="1">
                  <c:v>30299969.439739507</c:v>
                </c:pt>
                <c:pt idx="2">
                  <c:v>-826841.7932487824</c:v>
                </c:pt>
                <c:pt idx="3">
                  <c:v>14924382.066489475</c:v>
                </c:pt>
                <c:pt idx="4">
                  <c:v>5186473.3864627257</c:v>
                </c:pt>
                <c:pt idx="5">
                  <c:v>-1740614.3425103419</c:v>
                </c:pt>
                <c:pt idx="6">
                  <c:v>-1667168.3490779661</c:v>
                </c:pt>
                <c:pt idx="7">
                  <c:v>5094984.7803437375</c:v>
                </c:pt>
                <c:pt idx="8">
                  <c:v>1758376.976006452</c:v>
                </c:pt>
              </c:numCache>
            </c:numRef>
          </c:yVal>
          <c:smooth val="0"/>
          <c:extLst>
            <c:ext xmlns:c16="http://schemas.microsoft.com/office/drawing/2014/chart" uri="{C3380CC4-5D6E-409C-BE32-E72D297353CC}">
              <c16:uniqueId val="{00000002-B89C-4629-B6CD-63428656F4D2}"/>
            </c:ext>
          </c:extLst>
        </c:ser>
        <c:dLbls>
          <c:showLegendKey val="0"/>
          <c:showVal val="0"/>
          <c:showCatName val="0"/>
          <c:showSerName val="0"/>
          <c:showPercent val="0"/>
          <c:showBubbleSize val="0"/>
        </c:dLbls>
        <c:axId val="1786138559"/>
        <c:axId val="1786139519"/>
      </c:scatterChart>
      <c:valAx>
        <c:axId val="1786138559"/>
        <c:scaling>
          <c:orientation val="minMax"/>
        </c:scaling>
        <c:delete val="0"/>
        <c:axPos val="b"/>
        <c:title>
          <c:tx>
            <c:rich>
              <a:bodyPr/>
              <a:lstStyle/>
              <a:p>
                <a:pPr>
                  <a:defRPr/>
                </a:pPr>
                <a:r>
                  <a:rPr lang="en-GB"/>
                  <a:t>Wingspan (m)</a:t>
                </a:r>
              </a:p>
            </c:rich>
          </c:tx>
          <c:overlay val="0"/>
        </c:title>
        <c:numFmt formatCode="General" sourceLinked="1"/>
        <c:majorTickMark val="out"/>
        <c:minorTickMark val="none"/>
        <c:tickLblPos val="nextTo"/>
        <c:crossAx val="1786139519"/>
        <c:crosses val="autoZero"/>
        <c:crossBetween val="midCat"/>
      </c:valAx>
      <c:valAx>
        <c:axId val="1786139519"/>
        <c:scaling>
          <c:orientation val="minMax"/>
        </c:scaling>
        <c:delete val="0"/>
        <c:axPos val="l"/>
        <c:title>
          <c:tx>
            <c:rich>
              <a:bodyPr/>
              <a:lstStyle/>
              <a:p>
                <a:pPr>
                  <a:defRPr/>
                </a:pPr>
                <a:r>
                  <a:rPr lang="en-GB"/>
                  <a:t>Cost (£)</a:t>
                </a:r>
              </a:p>
            </c:rich>
          </c:tx>
          <c:overlay val="0"/>
        </c:title>
        <c:numFmt formatCode="General" sourceLinked="1"/>
        <c:majorTickMark val="out"/>
        <c:minorTickMark val="none"/>
        <c:tickLblPos val="nextTo"/>
        <c:crossAx val="1786138559"/>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Normal Probability Plot</a:t>
            </a:r>
          </a:p>
        </c:rich>
      </c:tx>
      <c:overlay val="0"/>
    </c:title>
    <c:autoTitleDeleted val="0"/>
    <c:plotArea>
      <c:layout/>
      <c:scatterChart>
        <c:scatterStyle val="lineMarker"/>
        <c:varyColors val="0"/>
        <c:ser>
          <c:idx val="0"/>
          <c:order val="0"/>
          <c:spPr>
            <a:ln w="38100">
              <a:noFill/>
            </a:ln>
          </c:spPr>
          <c:xVal>
            <c:numRef>
              <c:f>Income!$L$67:$L$75</c:f>
              <c:numCache>
                <c:formatCode>General</c:formatCode>
                <c:ptCount val="9"/>
                <c:pt idx="0">
                  <c:v>5.5555555555555554</c:v>
                </c:pt>
                <c:pt idx="1">
                  <c:v>16.666666666666664</c:v>
                </c:pt>
                <c:pt idx="2">
                  <c:v>27.777777777777779</c:v>
                </c:pt>
                <c:pt idx="3">
                  <c:v>38.888888888888886</c:v>
                </c:pt>
                <c:pt idx="4">
                  <c:v>50</c:v>
                </c:pt>
                <c:pt idx="5">
                  <c:v>61.111111111111114</c:v>
                </c:pt>
                <c:pt idx="6">
                  <c:v>72.222222222222214</c:v>
                </c:pt>
                <c:pt idx="7">
                  <c:v>83.333333333333329</c:v>
                </c:pt>
                <c:pt idx="8">
                  <c:v>94.444444444444443</c:v>
                </c:pt>
              </c:numCache>
            </c:numRef>
          </c:xVal>
          <c:yVal>
            <c:numRef>
              <c:f>Income!$M$67:$M$75</c:f>
              <c:numCache>
                <c:formatCode>General</c:formatCode>
                <c:ptCount val="9"/>
                <c:pt idx="0">
                  <c:v>31000</c:v>
                </c:pt>
                <c:pt idx="1">
                  <c:v>58000</c:v>
                </c:pt>
                <c:pt idx="2">
                  <c:v>100000</c:v>
                </c:pt>
                <c:pt idx="3">
                  <c:v>270000</c:v>
                </c:pt>
                <c:pt idx="4">
                  <c:v>500000</c:v>
                </c:pt>
                <c:pt idx="5">
                  <c:v>1100000</c:v>
                </c:pt>
                <c:pt idx="6">
                  <c:v>3000000</c:v>
                </c:pt>
                <c:pt idx="7">
                  <c:v>18700000</c:v>
                </c:pt>
                <c:pt idx="8">
                  <c:v>30000000</c:v>
                </c:pt>
              </c:numCache>
            </c:numRef>
          </c:yVal>
          <c:smooth val="0"/>
          <c:extLst>
            <c:ext xmlns:c16="http://schemas.microsoft.com/office/drawing/2014/chart" uri="{C3380CC4-5D6E-409C-BE32-E72D297353CC}">
              <c16:uniqueId val="{00000001-6C22-4F5A-BA31-135429987AFB}"/>
            </c:ext>
          </c:extLst>
        </c:ser>
        <c:dLbls>
          <c:showLegendKey val="0"/>
          <c:showVal val="0"/>
          <c:showCatName val="0"/>
          <c:showSerName val="0"/>
          <c:showPercent val="0"/>
          <c:showBubbleSize val="0"/>
        </c:dLbls>
        <c:axId val="1786137599"/>
        <c:axId val="1786138559"/>
      </c:scatterChart>
      <c:valAx>
        <c:axId val="1786137599"/>
        <c:scaling>
          <c:orientation val="minMax"/>
        </c:scaling>
        <c:delete val="0"/>
        <c:axPos val="b"/>
        <c:title>
          <c:tx>
            <c:rich>
              <a:bodyPr/>
              <a:lstStyle/>
              <a:p>
                <a:pPr>
                  <a:defRPr/>
                </a:pPr>
                <a:r>
                  <a:rPr lang="en-GB"/>
                  <a:t>Sample Percentile</a:t>
                </a:r>
              </a:p>
            </c:rich>
          </c:tx>
          <c:overlay val="0"/>
        </c:title>
        <c:numFmt formatCode="General" sourceLinked="1"/>
        <c:majorTickMark val="out"/>
        <c:minorTickMark val="none"/>
        <c:tickLblPos val="nextTo"/>
        <c:crossAx val="1786138559"/>
        <c:crosses val="autoZero"/>
        <c:crossBetween val="midCat"/>
      </c:valAx>
      <c:valAx>
        <c:axId val="1786138559"/>
        <c:scaling>
          <c:orientation val="minMax"/>
        </c:scaling>
        <c:delete val="0"/>
        <c:axPos val="l"/>
        <c:title>
          <c:tx>
            <c:rich>
              <a:bodyPr/>
              <a:lstStyle/>
              <a:p>
                <a:pPr>
                  <a:defRPr/>
                </a:pPr>
                <a:r>
                  <a:rPr lang="en-GB"/>
                  <a:t>Cost (£)</a:t>
                </a:r>
              </a:p>
            </c:rich>
          </c:tx>
          <c:overlay val="0"/>
        </c:title>
        <c:numFmt formatCode="General" sourceLinked="1"/>
        <c:majorTickMark val="out"/>
        <c:minorTickMark val="none"/>
        <c:tickLblPos val="nextTo"/>
        <c:crossAx val="178613759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Wingspan (m)  Residual Plot</a:t>
            </a:r>
          </a:p>
        </c:rich>
      </c:tx>
      <c:overlay val="0"/>
    </c:title>
    <c:autoTitleDeleted val="0"/>
    <c:plotArea>
      <c:layout/>
      <c:scatterChart>
        <c:scatterStyle val="lineMarker"/>
        <c:varyColors val="0"/>
        <c:ser>
          <c:idx val="0"/>
          <c:order val="0"/>
          <c:spPr>
            <a:ln w="38100">
              <a:noFill/>
            </a:ln>
          </c:spPr>
          <c:xVal>
            <c:numRef>
              <c:f>Income!$C$105:$C$116</c:f>
              <c:numCache>
                <c:formatCode>General</c:formatCode>
                <c:ptCount val="12"/>
                <c:pt idx="0">
                  <c:v>2.4900000000000002</c:v>
                </c:pt>
                <c:pt idx="1">
                  <c:v>20.100000000000001</c:v>
                </c:pt>
                <c:pt idx="2">
                  <c:v>1.32</c:v>
                </c:pt>
                <c:pt idx="3">
                  <c:v>10.9</c:v>
                </c:pt>
                <c:pt idx="4">
                  <c:v>4.9000000000000004</c:v>
                </c:pt>
                <c:pt idx="5">
                  <c:v>0.91</c:v>
                </c:pt>
                <c:pt idx="6">
                  <c:v>2.2999999999999998</c:v>
                </c:pt>
                <c:pt idx="7">
                  <c:v>0.8</c:v>
                </c:pt>
                <c:pt idx="8">
                  <c:v>5</c:v>
                </c:pt>
                <c:pt idx="9">
                  <c:v>5</c:v>
                </c:pt>
                <c:pt idx="10">
                  <c:v>3</c:v>
                </c:pt>
                <c:pt idx="11">
                  <c:v>2</c:v>
                </c:pt>
              </c:numCache>
            </c:numRef>
          </c:xVal>
          <c:yVal>
            <c:numRef>
              <c:f>Income!$D$147:$D$158</c:f>
              <c:numCache>
                <c:formatCode>General</c:formatCode>
                <c:ptCount val="12"/>
                <c:pt idx="0">
                  <c:v>620040.70665735099</c:v>
                </c:pt>
                <c:pt idx="1">
                  <c:v>139252.62999882549</c:v>
                </c:pt>
                <c:pt idx="2">
                  <c:v>1972086.2517845784</c:v>
                </c:pt>
                <c:pt idx="3">
                  <c:v>4188670.5916830096</c:v>
                </c:pt>
                <c:pt idx="4">
                  <c:v>-1500839.4333055699</c:v>
                </c:pt>
                <c:pt idx="5">
                  <c:v>2426136.4000770254</c:v>
                </c:pt>
                <c:pt idx="6">
                  <c:v>-147960.44413395319</c:v>
                </c:pt>
                <c:pt idx="7">
                  <c:v>2397662.0496189017</c:v>
                </c:pt>
                <c:pt idx="8">
                  <c:v>-4636680.9328890936</c:v>
                </c:pt>
                <c:pt idx="9">
                  <c:v>-4567680.9328890936</c:v>
                </c:pt>
                <c:pt idx="10">
                  <c:v>-1230850.9412186192</c:v>
                </c:pt>
                <c:pt idx="11">
                  <c:v>340164.0546166175</c:v>
                </c:pt>
              </c:numCache>
            </c:numRef>
          </c:yVal>
          <c:smooth val="0"/>
          <c:extLst>
            <c:ext xmlns:c16="http://schemas.microsoft.com/office/drawing/2014/chart" uri="{C3380CC4-5D6E-409C-BE32-E72D297353CC}">
              <c16:uniqueId val="{00000001-1462-431C-B19D-CE8E5A808DBF}"/>
            </c:ext>
          </c:extLst>
        </c:ser>
        <c:dLbls>
          <c:showLegendKey val="0"/>
          <c:showVal val="0"/>
          <c:showCatName val="0"/>
          <c:showSerName val="0"/>
          <c:showPercent val="0"/>
          <c:showBubbleSize val="0"/>
        </c:dLbls>
        <c:axId val="1892097215"/>
        <c:axId val="1844370463"/>
      </c:scatterChart>
      <c:valAx>
        <c:axId val="1892097215"/>
        <c:scaling>
          <c:orientation val="minMax"/>
        </c:scaling>
        <c:delete val="0"/>
        <c:axPos val="b"/>
        <c:title>
          <c:tx>
            <c:rich>
              <a:bodyPr/>
              <a:lstStyle/>
              <a:p>
                <a:pPr>
                  <a:defRPr/>
                </a:pPr>
                <a:r>
                  <a:rPr lang="en-GB"/>
                  <a:t>Wingspan (m)</a:t>
                </a:r>
              </a:p>
            </c:rich>
          </c:tx>
          <c:overlay val="0"/>
        </c:title>
        <c:numFmt formatCode="General" sourceLinked="1"/>
        <c:majorTickMark val="out"/>
        <c:minorTickMark val="none"/>
        <c:tickLblPos val="nextTo"/>
        <c:crossAx val="1844370463"/>
        <c:crosses val="autoZero"/>
        <c:crossBetween val="midCat"/>
      </c:valAx>
      <c:valAx>
        <c:axId val="1844370463"/>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189209721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Wingspan (m) Line Fit  Plot</a:t>
            </a:r>
          </a:p>
        </c:rich>
      </c:tx>
      <c:overlay val="0"/>
    </c:title>
    <c:autoTitleDeleted val="0"/>
    <c:plotArea>
      <c:layout/>
      <c:scatterChart>
        <c:scatterStyle val="lineMarker"/>
        <c:varyColors val="0"/>
        <c:ser>
          <c:idx val="0"/>
          <c:order val="0"/>
          <c:tx>
            <c:v>Cost (£)</c:v>
          </c:tx>
          <c:spPr>
            <a:ln w="38100">
              <a:noFill/>
            </a:ln>
          </c:spPr>
          <c:marker>
            <c:symbol val="diamond"/>
            <c:size val="4"/>
          </c:marker>
          <c:xVal>
            <c:numRef>
              <c:f>Income!$C$105:$C$116</c:f>
              <c:numCache>
                <c:formatCode>General</c:formatCode>
                <c:ptCount val="12"/>
                <c:pt idx="0">
                  <c:v>2.4900000000000002</c:v>
                </c:pt>
                <c:pt idx="1">
                  <c:v>20.100000000000001</c:v>
                </c:pt>
                <c:pt idx="2">
                  <c:v>1.32</c:v>
                </c:pt>
                <c:pt idx="3">
                  <c:v>10.9</c:v>
                </c:pt>
                <c:pt idx="4">
                  <c:v>4.9000000000000004</c:v>
                </c:pt>
                <c:pt idx="5">
                  <c:v>0.91</c:v>
                </c:pt>
                <c:pt idx="6">
                  <c:v>2.2999999999999998</c:v>
                </c:pt>
                <c:pt idx="7">
                  <c:v>0.8</c:v>
                </c:pt>
                <c:pt idx="8">
                  <c:v>5</c:v>
                </c:pt>
                <c:pt idx="9">
                  <c:v>5</c:v>
                </c:pt>
                <c:pt idx="10">
                  <c:v>3</c:v>
                </c:pt>
                <c:pt idx="11">
                  <c:v>2</c:v>
                </c:pt>
              </c:numCache>
            </c:numRef>
          </c:xVal>
          <c:yVal>
            <c:numRef>
              <c:f>Income!$D$105:$D$116</c:f>
              <c:numCache>
                <c:formatCode>General</c:formatCode>
                <c:ptCount val="12"/>
                <c:pt idx="0">
                  <c:v>1100000</c:v>
                </c:pt>
                <c:pt idx="1">
                  <c:v>30000000</c:v>
                </c:pt>
                <c:pt idx="2">
                  <c:v>500000</c:v>
                </c:pt>
                <c:pt idx="3">
                  <c:v>18700000</c:v>
                </c:pt>
                <c:pt idx="4">
                  <c:v>3000000</c:v>
                </c:pt>
                <c:pt idx="5">
                  <c:v>270000</c:v>
                </c:pt>
                <c:pt idx="6">
                  <c:v>15000</c:v>
                </c:pt>
                <c:pt idx="7">
                  <c:v>58000</c:v>
                </c:pt>
                <c:pt idx="8">
                  <c:v>31000</c:v>
                </c:pt>
                <c:pt idx="9">
                  <c:v>100000</c:v>
                </c:pt>
                <c:pt idx="10">
                  <c:v>100000</c:v>
                </c:pt>
                <c:pt idx="11">
                  <c:v>2600</c:v>
                </c:pt>
              </c:numCache>
            </c:numRef>
          </c:yVal>
          <c:smooth val="0"/>
          <c:extLst>
            <c:ext xmlns:c16="http://schemas.microsoft.com/office/drawing/2014/chart" uri="{C3380CC4-5D6E-409C-BE32-E72D297353CC}">
              <c16:uniqueId val="{00000001-9216-414D-8855-6D19FECB75BC}"/>
            </c:ext>
          </c:extLst>
        </c:ser>
        <c:ser>
          <c:idx val="1"/>
          <c:order val="1"/>
          <c:tx>
            <c:v>Predicted Cost (£)</c:v>
          </c:tx>
          <c:spPr>
            <a:ln w="38100">
              <a:noFill/>
            </a:ln>
          </c:spPr>
          <c:marker>
            <c:symbol val="square"/>
            <c:size val="4"/>
          </c:marker>
          <c:trendline>
            <c:spPr>
              <a:ln>
                <a:prstDash val="sysDash"/>
              </a:ln>
            </c:spPr>
            <c:trendlineType val="linear"/>
            <c:dispRSqr val="0"/>
            <c:dispEq val="0"/>
          </c:trendline>
          <c:xVal>
            <c:numRef>
              <c:f>Income!$C$105:$C$116</c:f>
              <c:numCache>
                <c:formatCode>General</c:formatCode>
                <c:ptCount val="12"/>
                <c:pt idx="0">
                  <c:v>2.4900000000000002</c:v>
                </c:pt>
                <c:pt idx="1">
                  <c:v>20.100000000000001</c:v>
                </c:pt>
                <c:pt idx="2">
                  <c:v>1.32</c:v>
                </c:pt>
                <c:pt idx="3">
                  <c:v>10.9</c:v>
                </c:pt>
                <c:pt idx="4">
                  <c:v>4.9000000000000004</c:v>
                </c:pt>
                <c:pt idx="5">
                  <c:v>0.91</c:v>
                </c:pt>
                <c:pt idx="6">
                  <c:v>2.2999999999999998</c:v>
                </c:pt>
                <c:pt idx="7">
                  <c:v>0.8</c:v>
                </c:pt>
                <c:pt idx="8">
                  <c:v>5</c:v>
                </c:pt>
                <c:pt idx="9">
                  <c:v>5</c:v>
                </c:pt>
                <c:pt idx="10">
                  <c:v>3</c:v>
                </c:pt>
                <c:pt idx="11">
                  <c:v>2</c:v>
                </c:pt>
              </c:numCache>
            </c:numRef>
          </c:xVal>
          <c:yVal>
            <c:numRef>
              <c:f>Income!$C$147:$C$158</c:f>
              <c:numCache>
                <c:formatCode>General</c:formatCode>
                <c:ptCount val="12"/>
                <c:pt idx="0">
                  <c:v>479959.29334264901</c:v>
                </c:pt>
                <c:pt idx="1">
                  <c:v>29860747.370001175</c:v>
                </c:pt>
                <c:pt idx="2">
                  <c:v>-1472086.2517845784</c:v>
                </c:pt>
                <c:pt idx="3">
                  <c:v>14511329.40831699</c:v>
                </c:pt>
                <c:pt idx="4">
                  <c:v>4500839.4333055699</c:v>
                </c:pt>
                <c:pt idx="5">
                  <c:v>-2156136.4000770254</c:v>
                </c:pt>
                <c:pt idx="6">
                  <c:v>162960.44413395319</c:v>
                </c:pt>
                <c:pt idx="7">
                  <c:v>-2339662.0496189017</c:v>
                </c:pt>
                <c:pt idx="8">
                  <c:v>4667680.9328890936</c:v>
                </c:pt>
                <c:pt idx="9">
                  <c:v>4667680.9328890936</c:v>
                </c:pt>
                <c:pt idx="10">
                  <c:v>1330850.9412186192</c:v>
                </c:pt>
                <c:pt idx="11">
                  <c:v>-337564.0546166175</c:v>
                </c:pt>
              </c:numCache>
            </c:numRef>
          </c:yVal>
          <c:smooth val="0"/>
          <c:extLst>
            <c:ext xmlns:c16="http://schemas.microsoft.com/office/drawing/2014/chart" uri="{C3380CC4-5D6E-409C-BE32-E72D297353CC}">
              <c16:uniqueId val="{00000002-9216-414D-8855-6D19FECB75BC}"/>
            </c:ext>
          </c:extLst>
        </c:ser>
        <c:dLbls>
          <c:showLegendKey val="0"/>
          <c:showVal val="0"/>
          <c:showCatName val="0"/>
          <c:showSerName val="0"/>
          <c:showPercent val="0"/>
          <c:showBubbleSize val="0"/>
        </c:dLbls>
        <c:axId val="1621128095"/>
        <c:axId val="1621128575"/>
      </c:scatterChart>
      <c:valAx>
        <c:axId val="1621128095"/>
        <c:scaling>
          <c:orientation val="minMax"/>
        </c:scaling>
        <c:delete val="0"/>
        <c:axPos val="b"/>
        <c:title>
          <c:tx>
            <c:rich>
              <a:bodyPr/>
              <a:lstStyle/>
              <a:p>
                <a:pPr>
                  <a:defRPr/>
                </a:pPr>
                <a:r>
                  <a:rPr lang="en-GB"/>
                  <a:t>Wingspan (m)</a:t>
                </a:r>
              </a:p>
            </c:rich>
          </c:tx>
          <c:overlay val="0"/>
        </c:title>
        <c:numFmt formatCode="General" sourceLinked="1"/>
        <c:majorTickMark val="out"/>
        <c:minorTickMark val="none"/>
        <c:tickLblPos val="nextTo"/>
        <c:crossAx val="1621128575"/>
        <c:crosses val="autoZero"/>
        <c:crossBetween val="midCat"/>
      </c:valAx>
      <c:valAx>
        <c:axId val="1621128575"/>
        <c:scaling>
          <c:orientation val="minMax"/>
        </c:scaling>
        <c:delete val="0"/>
        <c:axPos val="l"/>
        <c:title>
          <c:tx>
            <c:rich>
              <a:bodyPr/>
              <a:lstStyle/>
              <a:p>
                <a:pPr>
                  <a:defRPr/>
                </a:pPr>
                <a:r>
                  <a:rPr lang="en-GB"/>
                  <a:t>Cost (£)</a:t>
                </a:r>
              </a:p>
            </c:rich>
          </c:tx>
          <c:overlay val="0"/>
        </c:title>
        <c:numFmt formatCode="General" sourceLinked="1"/>
        <c:majorTickMark val="out"/>
        <c:minorTickMark val="none"/>
        <c:tickLblPos val="nextTo"/>
        <c:crossAx val="1621128095"/>
        <c:crosses val="autoZero"/>
        <c:crossBetween val="midCat"/>
        <c:dispUnits>
          <c:builtInUnit val="millions"/>
          <c:dispUnitsLbl/>
        </c:dispUnits>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Normal Probability Plot</a:t>
            </a:r>
          </a:p>
        </c:rich>
      </c:tx>
      <c:overlay val="0"/>
    </c:title>
    <c:autoTitleDeleted val="0"/>
    <c:plotArea>
      <c:layout/>
      <c:scatterChart>
        <c:scatterStyle val="lineMarker"/>
        <c:varyColors val="0"/>
        <c:ser>
          <c:idx val="0"/>
          <c:order val="0"/>
          <c:spPr>
            <a:ln w="38100">
              <a:noFill/>
            </a:ln>
          </c:spPr>
          <c:xVal>
            <c:numRef>
              <c:f>Income!$G$147:$G$158</c:f>
              <c:numCache>
                <c:formatCode>General</c:formatCode>
                <c:ptCount val="12"/>
                <c:pt idx="0">
                  <c:v>4.166666666666667</c:v>
                </c:pt>
                <c:pt idx="1">
                  <c:v>12.5</c:v>
                </c:pt>
                <c:pt idx="2">
                  <c:v>20.833333333333336</c:v>
                </c:pt>
                <c:pt idx="3">
                  <c:v>29.166666666666668</c:v>
                </c:pt>
                <c:pt idx="4">
                  <c:v>37.5</c:v>
                </c:pt>
                <c:pt idx="5">
                  <c:v>45.833333333333336</c:v>
                </c:pt>
                <c:pt idx="6">
                  <c:v>54.166666666666664</c:v>
                </c:pt>
                <c:pt idx="7">
                  <c:v>62.5</c:v>
                </c:pt>
                <c:pt idx="8">
                  <c:v>70.833333333333343</c:v>
                </c:pt>
                <c:pt idx="9">
                  <c:v>79.166666666666671</c:v>
                </c:pt>
                <c:pt idx="10">
                  <c:v>87.500000000000014</c:v>
                </c:pt>
                <c:pt idx="11">
                  <c:v>95.833333333333343</c:v>
                </c:pt>
              </c:numCache>
            </c:numRef>
          </c:xVal>
          <c:yVal>
            <c:numRef>
              <c:f>Income!$H$147:$H$158</c:f>
              <c:numCache>
                <c:formatCode>General</c:formatCode>
                <c:ptCount val="12"/>
                <c:pt idx="0">
                  <c:v>2600</c:v>
                </c:pt>
                <c:pt idx="1">
                  <c:v>15000</c:v>
                </c:pt>
                <c:pt idx="2">
                  <c:v>31000</c:v>
                </c:pt>
                <c:pt idx="3">
                  <c:v>58000</c:v>
                </c:pt>
                <c:pt idx="4">
                  <c:v>100000</c:v>
                </c:pt>
                <c:pt idx="5">
                  <c:v>100000</c:v>
                </c:pt>
                <c:pt idx="6">
                  <c:v>270000</c:v>
                </c:pt>
                <c:pt idx="7">
                  <c:v>500000</c:v>
                </c:pt>
                <c:pt idx="8">
                  <c:v>1100000</c:v>
                </c:pt>
                <c:pt idx="9">
                  <c:v>3000000</c:v>
                </c:pt>
                <c:pt idx="10">
                  <c:v>18700000</c:v>
                </c:pt>
                <c:pt idx="11">
                  <c:v>30000000</c:v>
                </c:pt>
              </c:numCache>
            </c:numRef>
          </c:yVal>
          <c:smooth val="0"/>
          <c:extLst>
            <c:ext xmlns:c16="http://schemas.microsoft.com/office/drawing/2014/chart" uri="{C3380CC4-5D6E-409C-BE32-E72D297353CC}">
              <c16:uniqueId val="{00000001-1433-4808-8B73-1AADC1CD8DC7}"/>
            </c:ext>
          </c:extLst>
        </c:ser>
        <c:dLbls>
          <c:showLegendKey val="0"/>
          <c:showVal val="0"/>
          <c:showCatName val="0"/>
          <c:showSerName val="0"/>
          <c:showPercent val="0"/>
          <c:showBubbleSize val="0"/>
        </c:dLbls>
        <c:axId val="1819155279"/>
        <c:axId val="1819155759"/>
      </c:scatterChart>
      <c:valAx>
        <c:axId val="1819155279"/>
        <c:scaling>
          <c:orientation val="minMax"/>
        </c:scaling>
        <c:delete val="0"/>
        <c:axPos val="b"/>
        <c:title>
          <c:tx>
            <c:rich>
              <a:bodyPr/>
              <a:lstStyle/>
              <a:p>
                <a:pPr>
                  <a:defRPr/>
                </a:pPr>
                <a:r>
                  <a:rPr lang="en-GB"/>
                  <a:t>Sample Percentile</a:t>
                </a:r>
              </a:p>
            </c:rich>
          </c:tx>
          <c:overlay val="0"/>
        </c:title>
        <c:numFmt formatCode="General" sourceLinked="1"/>
        <c:majorTickMark val="out"/>
        <c:minorTickMark val="none"/>
        <c:tickLblPos val="nextTo"/>
        <c:crossAx val="1819155759"/>
        <c:crosses val="autoZero"/>
        <c:crossBetween val="midCat"/>
      </c:valAx>
      <c:valAx>
        <c:axId val="1819155759"/>
        <c:scaling>
          <c:orientation val="minMax"/>
        </c:scaling>
        <c:delete val="0"/>
        <c:axPos val="l"/>
        <c:title>
          <c:tx>
            <c:rich>
              <a:bodyPr/>
              <a:lstStyle/>
              <a:p>
                <a:pPr>
                  <a:defRPr/>
                </a:pPr>
                <a:r>
                  <a:rPr lang="en-GB"/>
                  <a:t>Cost (£)</a:t>
                </a:r>
              </a:p>
            </c:rich>
          </c:tx>
          <c:overlay val="0"/>
        </c:title>
        <c:numFmt formatCode="General" sourceLinked="1"/>
        <c:majorTickMark val="out"/>
        <c:minorTickMark val="none"/>
        <c:tickLblPos val="nextTo"/>
        <c:crossAx val="181915527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Historical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'R&amp;D'!$E$48</c:f>
              <c:strCache>
                <c:ptCount val="1"/>
                <c:pt idx="0">
                  <c:v>Percentage</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inear"/>
            <c:dispRSqr val="0"/>
            <c:dispEq val="0"/>
          </c:trendline>
          <c:trendline>
            <c:spPr>
              <a:ln w="19050" cap="rnd">
                <a:solidFill>
                  <a:schemeClr val="accent2"/>
                </a:solidFill>
                <a:prstDash val="sysDot"/>
              </a:ln>
              <a:effectLst/>
            </c:spPr>
            <c:trendlineType val="linear"/>
            <c:dispRSqr val="1"/>
            <c:dispEq val="1"/>
            <c:trendlineLbl>
              <c:layout>
                <c:manualLayout>
                  <c:x val="-4.1455161854768156E-2"/>
                  <c:y val="0.1228058471857684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'R&amp;D'!$D$49:$D$57</c:f>
              <c:numCache>
                <c:formatCode>General</c:formatCode>
                <c:ptCount val="9"/>
                <c:pt idx="0">
                  <c:v>2014</c:v>
                </c:pt>
                <c:pt idx="1">
                  <c:v>2015</c:v>
                </c:pt>
                <c:pt idx="2">
                  <c:v>2016</c:v>
                </c:pt>
                <c:pt idx="3">
                  <c:v>2017</c:v>
                </c:pt>
                <c:pt idx="4">
                  <c:v>2018</c:v>
                </c:pt>
                <c:pt idx="5">
                  <c:v>2019</c:v>
                </c:pt>
                <c:pt idx="6">
                  <c:v>2020</c:v>
                </c:pt>
                <c:pt idx="7">
                  <c:v>2021</c:v>
                </c:pt>
                <c:pt idx="8">
                  <c:v>2022</c:v>
                </c:pt>
              </c:numCache>
            </c:numRef>
          </c:cat>
          <c:val>
            <c:numRef>
              <c:f>'R&amp;D'!$E$49:$E$57</c:f>
              <c:numCache>
                <c:formatCode>General</c:formatCode>
                <c:ptCount val="9"/>
                <c:pt idx="0">
                  <c:v>67.868581093238333</c:v>
                </c:pt>
                <c:pt idx="1">
                  <c:v>89.574379065079313</c:v>
                </c:pt>
                <c:pt idx="2">
                  <c:v>64.917284654877349</c:v>
                </c:pt>
                <c:pt idx="3">
                  <c:v>78.276218881246578</c:v>
                </c:pt>
                <c:pt idx="4">
                  <c:v>71.207734210138881</c:v>
                </c:pt>
                <c:pt idx="5">
                  <c:v>61.855279126213588</c:v>
                </c:pt>
                <c:pt idx="6">
                  <c:v>61.493089870895886</c:v>
                </c:pt>
                <c:pt idx="7">
                  <c:v>51.644069606063837</c:v>
                </c:pt>
                <c:pt idx="8">
                  <c:v>46.77826754494577</c:v>
                </c:pt>
              </c:numCache>
            </c:numRef>
          </c:val>
          <c:smooth val="0"/>
          <c:extLst>
            <c:ext xmlns:c16="http://schemas.microsoft.com/office/drawing/2014/chart" uri="{C3380CC4-5D6E-409C-BE32-E72D297353CC}">
              <c16:uniqueId val="{00000001-07FB-4471-8E11-F30E8DB82045}"/>
            </c:ext>
          </c:extLst>
        </c:ser>
        <c:dLbls>
          <c:showLegendKey val="0"/>
          <c:showVal val="0"/>
          <c:showCatName val="0"/>
          <c:showSerName val="0"/>
          <c:showPercent val="0"/>
          <c:showBubbleSize val="0"/>
        </c:dLbls>
        <c:smooth val="0"/>
        <c:axId val="1251962527"/>
        <c:axId val="1251964447"/>
      </c:lineChart>
      <c:catAx>
        <c:axId val="1251962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964447"/>
        <c:crosses val="autoZero"/>
        <c:auto val="1"/>
        <c:lblAlgn val="ctr"/>
        <c:lblOffset val="100"/>
        <c:noMultiLvlLbl val="0"/>
      </c:catAx>
      <c:valAx>
        <c:axId val="12519644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Percentage</a:t>
                </a:r>
                <a:r>
                  <a:rPr lang="en-GB" baseline="0"/>
                  <a:t> of revenue spent on R&amp;D (%)</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962527"/>
        <c:crosses val="autoZero"/>
        <c:crossBetween val="between"/>
      </c:valAx>
      <c:spPr>
        <a:noFill/>
        <a:ln>
          <a:noFill/>
        </a:ln>
        <a:effectLst/>
      </c:spPr>
    </c:plotArea>
    <c:legend>
      <c:legendPos val="b"/>
      <c:legendEntry>
        <c:idx val="2"/>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Projection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0"/>
          <c:tx>
            <c:strRef>
              <c:f>'R&amp;D'!$O$48</c:f>
              <c:strCache>
                <c:ptCount val="1"/>
                <c:pt idx="0">
                  <c:v>Percentage of revenue spent on R&amp;D</c:v>
                </c:pt>
              </c:strCache>
            </c:strRef>
          </c:tx>
          <c:spPr>
            <a:ln w="28575" cap="rnd">
              <a:solidFill>
                <a:schemeClr val="accent4"/>
              </a:solidFill>
              <a:round/>
            </a:ln>
            <a:effectLst/>
          </c:spPr>
          <c:marker>
            <c:symbol val="none"/>
          </c:marker>
          <c:cat>
            <c:numRef>
              <c:f>'R&amp;D'!$I$50:$I$56</c:f>
              <c:numCache>
                <c:formatCode>General</c:formatCode>
                <c:ptCount val="7"/>
                <c:pt idx="0">
                  <c:v>2023</c:v>
                </c:pt>
                <c:pt idx="1">
                  <c:v>2024</c:v>
                </c:pt>
                <c:pt idx="2">
                  <c:v>2025</c:v>
                </c:pt>
                <c:pt idx="3">
                  <c:v>2026</c:v>
                </c:pt>
                <c:pt idx="4">
                  <c:v>2027</c:v>
                </c:pt>
                <c:pt idx="5">
                  <c:v>2028</c:v>
                </c:pt>
                <c:pt idx="6">
                  <c:v>2029</c:v>
                </c:pt>
              </c:numCache>
            </c:numRef>
          </c:cat>
          <c:val>
            <c:numRef>
              <c:f>'R&amp;D'!$J$50:$J$56</c:f>
              <c:numCache>
                <c:formatCode>General</c:formatCode>
                <c:ptCount val="7"/>
                <c:pt idx="0">
                  <c:v>47.505418903642749</c:v>
                </c:pt>
                <c:pt idx="1">
                  <c:v>43.815060372089647</c:v>
                </c:pt>
                <c:pt idx="2">
                  <c:v>40.124701840535636</c:v>
                </c:pt>
                <c:pt idx="3">
                  <c:v>36.434343308982534</c:v>
                </c:pt>
                <c:pt idx="4">
                  <c:v>32.743984777428523</c:v>
                </c:pt>
                <c:pt idx="5">
                  <c:v>29.053626245875421</c:v>
                </c:pt>
                <c:pt idx="6">
                  <c:v>25.36326771432141</c:v>
                </c:pt>
              </c:numCache>
            </c:numRef>
          </c:val>
          <c:smooth val="0"/>
          <c:extLst>
            <c:ext xmlns:c16="http://schemas.microsoft.com/office/drawing/2014/chart" uri="{C3380CC4-5D6E-409C-BE32-E72D297353CC}">
              <c16:uniqueId val="{0000000A-8FC4-4F58-A8BC-68FE2DC797EC}"/>
            </c:ext>
          </c:extLst>
        </c:ser>
        <c:ser>
          <c:idx val="0"/>
          <c:order val="1"/>
          <c:tx>
            <c:strRef>
              <c:f>'R&amp;D'!$K$49</c:f>
              <c:strCache>
                <c:ptCount val="1"/>
                <c:pt idx="0">
                  <c:v>Upper</c:v>
                </c:pt>
              </c:strCache>
            </c:strRef>
          </c:tx>
          <c:spPr>
            <a:ln w="12700" cap="rnd">
              <a:solidFill>
                <a:schemeClr val="accent1"/>
              </a:solidFill>
              <a:prstDash val="sysDash"/>
              <a:round/>
            </a:ln>
            <a:effectLst/>
          </c:spPr>
          <c:marker>
            <c:symbol val="none"/>
          </c:marker>
          <c:val>
            <c:numRef>
              <c:f>'R&amp;D'!$K$50:$K$56</c:f>
              <c:numCache>
                <c:formatCode>General</c:formatCode>
                <c:ptCount val="7"/>
                <c:pt idx="0">
                  <c:v>73.037038716365927</c:v>
                </c:pt>
                <c:pt idx="1">
                  <c:v>70.835187009335655</c:v>
                </c:pt>
                <c:pt idx="2">
                  <c:v>68.804544160421642</c:v>
                </c:pt>
                <c:pt idx="3">
                  <c:v>66.917157258215923</c:v>
                </c:pt>
                <c:pt idx="4">
                  <c:v>65.14912350268277</c:v>
                </c:pt>
                <c:pt idx="5">
                  <c:v>63.480455378278926</c:v>
                </c:pt>
                <c:pt idx="6">
                  <c:v>61.894659573786356</c:v>
                </c:pt>
              </c:numCache>
            </c:numRef>
          </c:val>
          <c:smooth val="0"/>
          <c:extLst>
            <c:ext xmlns:c16="http://schemas.microsoft.com/office/drawing/2014/chart" uri="{C3380CC4-5D6E-409C-BE32-E72D297353CC}">
              <c16:uniqueId val="{0000000B-8FC4-4F58-A8BC-68FE2DC797EC}"/>
            </c:ext>
          </c:extLst>
        </c:ser>
        <c:ser>
          <c:idx val="1"/>
          <c:order val="2"/>
          <c:tx>
            <c:strRef>
              <c:f>'R&amp;D'!$L$49</c:f>
              <c:strCache>
                <c:ptCount val="1"/>
                <c:pt idx="0">
                  <c:v>Lower</c:v>
                </c:pt>
              </c:strCache>
            </c:strRef>
          </c:tx>
          <c:spPr>
            <a:ln w="12700" cap="rnd">
              <a:solidFill>
                <a:schemeClr val="accent2"/>
              </a:solidFill>
              <a:prstDash val="sysDash"/>
              <a:round/>
            </a:ln>
            <a:effectLst/>
          </c:spPr>
          <c:marker>
            <c:symbol val="none"/>
          </c:marker>
          <c:val>
            <c:numRef>
              <c:f>'R&amp;D'!$L$50:$L$56</c:f>
              <c:numCache>
                <c:formatCode>General</c:formatCode>
                <c:ptCount val="7"/>
                <c:pt idx="0">
                  <c:v>21.973799090919567</c:v>
                </c:pt>
                <c:pt idx="1">
                  <c:v>16.794933734843635</c:v>
                </c:pt>
                <c:pt idx="2">
                  <c:v>11.444859520649626</c:v>
                </c:pt>
                <c:pt idx="3">
                  <c:v>5.9515293597491379</c:v>
                </c:pt>
                <c:pt idx="4">
                  <c:v>0.33884605217427577</c:v>
                </c:pt>
                <c:pt idx="5">
                  <c:v>-5.3732028865280839</c:v>
                </c:pt>
                <c:pt idx="6">
                  <c:v>-11.168124145143537</c:v>
                </c:pt>
              </c:numCache>
            </c:numRef>
          </c:val>
          <c:smooth val="0"/>
          <c:extLst>
            <c:ext xmlns:c16="http://schemas.microsoft.com/office/drawing/2014/chart" uri="{C3380CC4-5D6E-409C-BE32-E72D297353CC}">
              <c16:uniqueId val="{0000000C-8FC4-4F58-A8BC-68FE2DC797EC}"/>
            </c:ext>
          </c:extLst>
        </c:ser>
        <c:dLbls>
          <c:showLegendKey val="0"/>
          <c:showVal val="0"/>
          <c:showCatName val="0"/>
          <c:showSerName val="0"/>
          <c:showPercent val="0"/>
          <c:showBubbleSize val="0"/>
        </c:dLbls>
        <c:smooth val="0"/>
        <c:axId val="1286145536"/>
        <c:axId val="1286148416"/>
      </c:lineChart>
      <c:catAx>
        <c:axId val="1286145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148416"/>
        <c:crosses val="autoZero"/>
        <c:auto val="1"/>
        <c:lblAlgn val="ctr"/>
        <c:lblOffset val="100"/>
        <c:noMultiLvlLbl val="0"/>
      </c:catAx>
      <c:valAx>
        <c:axId val="1286148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Percentage</a:t>
                </a:r>
                <a:r>
                  <a:rPr lang="en-GB" baseline="0"/>
                  <a:t> of revenue spent on R&amp;D (%)</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1455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xdr:col>
      <xdr:colOff>358139</xdr:colOff>
      <xdr:row>10</xdr:row>
      <xdr:rowOff>172402</xdr:rowOff>
    </xdr:from>
    <xdr:to>
      <xdr:col>38</xdr:col>
      <xdr:colOff>500061</xdr:colOff>
      <xdr:row>74</xdr:row>
      <xdr:rowOff>53340</xdr:rowOff>
    </xdr:to>
    <xdr:graphicFrame macro="">
      <xdr:nvGraphicFramePr>
        <xdr:cNvPr id="219" name="Chart 1">
          <a:extLst>
            <a:ext uri="{FF2B5EF4-FFF2-40B4-BE49-F238E27FC236}">
              <a16:creationId xmlns:a16="http://schemas.microsoft.com/office/drawing/2014/main" id="{1C28903F-8A48-9307-2379-00246D868E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69532</xdr:colOff>
      <xdr:row>14</xdr:row>
      <xdr:rowOff>170497</xdr:rowOff>
    </xdr:from>
    <xdr:to>
      <xdr:col>59</xdr:col>
      <xdr:colOff>261937</xdr:colOff>
      <xdr:row>44</xdr:row>
      <xdr:rowOff>47624</xdr:rowOff>
    </xdr:to>
    <xdr:graphicFrame macro="">
      <xdr:nvGraphicFramePr>
        <xdr:cNvPr id="2" name="Chart 1">
          <a:extLst>
            <a:ext uri="{FF2B5EF4-FFF2-40B4-BE49-F238E27FC236}">
              <a16:creationId xmlns:a16="http://schemas.microsoft.com/office/drawing/2014/main" id="{F5D9F829-1EC4-DEF7-322F-BF173D0863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xdr:colOff>
      <xdr:row>54</xdr:row>
      <xdr:rowOff>17145</xdr:rowOff>
    </xdr:from>
    <xdr:to>
      <xdr:col>1</xdr:col>
      <xdr:colOff>2914650</xdr:colOff>
      <xdr:row>62</xdr:row>
      <xdr:rowOff>9525</xdr:rowOff>
    </xdr:to>
    <xdr:graphicFrame macro="">
      <xdr:nvGraphicFramePr>
        <xdr:cNvPr id="2" name="Chart 1">
          <a:extLst>
            <a:ext uri="{FF2B5EF4-FFF2-40B4-BE49-F238E27FC236}">
              <a16:creationId xmlns:a16="http://schemas.microsoft.com/office/drawing/2014/main" id="{D54075B3-A6F1-3417-5C5A-9CB8A18859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3145155</xdr:colOff>
      <xdr:row>54</xdr:row>
      <xdr:rowOff>24765</xdr:rowOff>
    </xdr:from>
    <xdr:to>
      <xdr:col>4</xdr:col>
      <xdr:colOff>1243965</xdr:colOff>
      <xdr:row>62</xdr:row>
      <xdr:rowOff>15240</xdr:rowOff>
    </xdr:to>
    <xdr:graphicFrame macro="">
      <xdr:nvGraphicFramePr>
        <xdr:cNvPr id="3" name="Chart 2">
          <a:extLst>
            <a:ext uri="{FF2B5EF4-FFF2-40B4-BE49-F238E27FC236}">
              <a16:creationId xmlns:a16="http://schemas.microsoft.com/office/drawing/2014/main" id="{77FCB0E9-C510-9429-057C-473C0B40AB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15240</xdr:colOff>
      <xdr:row>63</xdr:row>
      <xdr:rowOff>15240</xdr:rowOff>
    </xdr:from>
    <xdr:to>
      <xdr:col>4</xdr:col>
      <xdr:colOff>1238250</xdr:colOff>
      <xdr:row>78</xdr:row>
      <xdr:rowOff>161925</xdr:rowOff>
    </xdr:to>
    <xdr:graphicFrame macro="">
      <xdr:nvGraphicFramePr>
        <xdr:cNvPr id="4" name="Chart 3">
          <a:extLst>
            <a:ext uri="{FF2B5EF4-FFF2-40B4-BE49-F238E27FC236}">
              <a16:creationId xmlns:a16="http://schemas.microsoft.com/office/drawing/2014/main" id="{7FE15892-1942-ED76-F120-737C1A910F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11429</xdr:colOff>
      <xdr:row>80</xdr:row>
      <xdr:rowOff>19050</xdr:rowOff>
    </xdr:from>
    <xdr:to>
      <xdr:col>4</xdr:col>
      <xdr:colOff>1266824</xdr:colOff>
      <xdr:row>96</xdr:row>
      <xdr:rowOff>171450</xdr:rowOff>
    </xdr:to>
    <xdr:graphicFrame macro="">
      <xdr:nvGraphicFramePr>
        <xdr:cNvPr id="5" name="Chart 4">
          <a:extLst>
            <a:ext uri="{FF2B5EF4-FFF2-40B4-BE49-F238E27FC236}">
              <a16:creationId xmlns:a16="http://schemas.microsoft.com/office/drawing/2014/main" id="{6D3171A0-91F1-B4D5-2F1B-A9730E2CBE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727983</xdr:colOff>
      <xdr:row>64</xdr:row>
      <xdr:rowOff>102871</xdr:rowOff>
    </xdr:from>
    <xdr:to>
      <xdr:col>18</xdr:col>
      <xdr:colOff>195128</xdr:colOff>
      <xdr:row>74</xdr:row>
      <xdr:rowOff>125459</xdr:rowOff>
    </xdr:to>
    <xdr:graphicFrame macro="">
      <xdr:nvGraphicFramePr>
        <xdr:cNvPr id="6" name="Chart 5">
          <a:extLst>
            <a:ext uri="{FF2B5EF4-FFF2-40B4-BE49-F238E27FC236}">
              <a16:creationId xmlns:a16="http://schemas.microsoft.com/office/drawing/2014/main" id="{C65CC5E2-A6A1-6FBE-1F3E-91EC07D157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38100</xdr:colOff>
      <xdr:row>78</xdr:row>
      <xdr:rowOff>19050</xdr:rowOff>
    </xdr:from>
    <xdr:to>
      <xdr:col>12</xdr:col>
      <xdr:colOff>723900</xdr:colOff>
      <xdr:row>97</xdr:row>
      <xdr:rowOff>0</xdr:rowOff>
    </xdr:to>
    <xdr:sp macro="" textlink="">
      <xdr:nvSpPr>
        <xdr:cNvPr id="7" name="TextBox 6">
          <a:extLst>
            <a:ext uri="{FF2B5EF4-FFF2-40B4-BE49-F238E27FC236}">
              <a16:creationId xmlns:a16="http://schemas.microsoft.com/office/drawing/2014/main" id="{60C68A21-EB7D-899F-EE54-D73DFD5A1C82}"/>
            </a:ext>
          </a:extLst>
        </xdr:cNvPr>
        <xdr:cNvSpPr txBox="1"/>
      </xdr:nvSpPr>
      <xdr:spPr>
        <a:xfrm>
          <a:off x="7572375" y="14211300"/>
          <a:ext cx="9001125" cy="3419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Due to the high p-value of the length coefficient, it is removed from the analysis as there is no statistical evidence of non-zero correlation in this regression. Wingspan alone is used - the p-value for wingpan shows statistical correlation at the 85%</a:t>
          </a:r>
          <a:r>
            <a:rPr lang="en-GB" sz="1600" baseline="0"/>
            <a:t> confidence level.</a:t>
          </a:r>
          <a:endParaRPr lang="en-GB" sz="1600"/>
        </a:p>
      </xdr:txBody>
    </xdr:sp>
    <xdr:clientData/>
  </xdr:twoCellAnchor>
  <xdr:twoCellAnchor>
    <xdr:from>
      <xdr:col>9</xdr:col>
      <xdr:colOff>24219</xdr:colOff>
      <xdr:row>166</xdr:row>
      <xdr:rowOff>129811</xdr:rowOff>
    </xdr:from>
    <xdr:to>
      <xdr:col>14</xdr:col>
      <xdr:colOff>640350</xdr:colOff>
      <xdr:row>176</xdr:row>
      <xdr:rowOff>160291</xdr:rowOff>
    </xdr:to>
    <xdr:graphicFrame macro="">
      <xdr:nvGraphicFramePr>
        <xdr:cNvPr id="9" name="Chart 8">
          <a:extLst>
            <a:ext uri="{FF2B5EF4-FFF2-40B4-BE49-F238E27FC236}">
              <a16:creationId xmlns:a16="http://schemas.microsoft.com/office/drawing/2014/main" id="{C4ABE209-8AFA-76F1-25FE-7B3479194D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210913</xdr:colOff>
      <xdr:row>159</xdr:row>
      <xdr:rowOff>56061</xdr:rowOff>
    </xdr:from>
    <xdr:to>
      <xdr:col>7</xdr:col>
      <xdr:colOff>1034142</xdr:colOff>
      <xdr:row>185</xdr:row>
      <xdr:rowOff>108857</xdr:rowOff>
    </xdr:to>
    <xdr:graphicFrame macro="">
      <xdr:nvGraphicFramePr>
        <xdr:cNvPr id="10" name="Chart 9">
          <a:extLst>
            <a:ext uri="{FF2B5EF4-FFF2-40B4-BE49-F238E27FC236}">
              <a16:creationId xmlns:a16="http://schemas.microsoft.com/office/drawing/2014/main" id="{C482B100-8C67-5406-BF5D-76B71AC869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10342</xdr:colOff>
      <xdr:row>144</xdr:row>
      <xdr:rowOff>86811</xdr:rowOff>
    </xdr:from>
    <xdr:to>
      <xdr:col>13</xdr:col>
      <xdr:colOff>84364</xdr:colOff>
      <xdr:row>154</xdr:row>
      <xdr:rowOff>97970</xdr:rowOff>
    </xdr:to>
    <xdr:graphicFrame macro="">
      <xdr:nvGraphicFramePr>
        <xdr:cNvPr id="11" name="Chart 10">
          <a:extLst>
            <a:ext uri="{FF2B5EF4-FFF2-40B4-BE49-F238E27FC236}">
              <a16:creationId xmlns:a16="http://schemas.microsoft.com/office/drawing/2014/main" id="{45404889-8CAF-F4CE-0284-08A54E8F41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0</xdr:colOff>
      <xdr:row>105</xdr:row>
      <xdr:rowOff>0</xdr:rowOff>
    </xdr:from>
    <xdr:to>
      <xdr:col>20</xdr:col>
      <xdr:colOff>508440</xdr:colOff>
      <xdr:row>112</xdr:row>
      <xdr:rowOff>47316</xdr:rowOff>
    </xdr:to>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AEFBA0C2-4663-4229-9367-C5DE8279086C}"/>
                </a:ext>
              </a:extLst>
            </xdr:cNvPr>
            <xdr:cNvSpPr txBox="1"/>
          </xdr:nvSpPr>
          <xdr:spPr>
            <a:xfrm>
              <a:off x="18437679" y="18696214"/>
              <a:ext cx="5080440" cy="1285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equation</a:t>
              </a:r>
              <a:r>
                <a:rPr lang="en-GB" sz="1100" baseline="0"/>
                <a:t> used to calculate the confidence interval for the mean response is:</a:t>
              </a:r>
            </a:p>
            <a:p>
              <a:pPr/>
              <a14:m>
                <m:oMathPara xmlns:m="http://schemas.openxmlformats.org/officeDocument/2006/math">
                  <m:oMathParaPr>
                    <m:jc m:val="centerGroup"/>
                  </m:oMathParaPr>
                  <m:oMath xmlns:m="http://schemas.openxmlformats.org/officeDocument/2006/math">
                    <m:sSub>
                      <m:sSubPr>
                        <m:ctrlPr>
                          <a:rPr lang="en-GB" sz="1100" i="1" baseline="0">
                            <a:latin typeface="Cambria Math" panose="02040503050406030204" pitchFamily="18" charset="0"/>
                          </a:rPr>
                        </m:ctrlPr>
                      </m:sSubPr>
                      <m:e>
                        <m:acc>
                          <m:accPr>
                            <m:chr m:val="̂"/>
                            <m:ctrlPr>
                              <a:rPr lang="en-GB" sz="1100" i="1" baseline="0">
                                <a:latin typeface="Cambria Math" panose="02040503050406030204" pitchFamily="18" charset="0"/>
                              </a:rPr>
                            </m:ctrlPr>
                          </m:accPr>
                          <m:e>
                            <m:r>
                              <a:rPr lang="en-GB" sz="1100" b="0" i="1" baseline="0">
                                <a:latin typeface="Cambria Math" panose="02040503050406030204" pitchFamily="18" charset="0"/>
                              </a:rPr>
                              <m:t>𝑌</m:t>
                            </m:r>
                          </m:e>
                        </m:acc>
                      </m:e>
                      <m:sub>
                        <m:r>
                          <a:rPr lang="en-GB" sz="1100" b="0" i="1" baseline="0">
                            <a:latin typeface="Cambria Math" panose="02040503050406030204" pitchFamily="18" charset="0"/>
                          </a:rPr>
                          <m:t>0</m:t>
                        </m:r>
                      </m:sub>
                    </m:sSub>
                    <m:r>
                      <a:rPr lang="en-GB" sz="1100" i="1" baseline="0">
                        <a:latin typeface="Cambria Math" panose="02040503050406030204" pitchFamily="18" charset="0"/>
                        <a:ea typeface="Cambria Math" panose="02040503050406030204" pitchFamily="18" charset="0"/>
                      </a:rPr>
                      <m:t>±</m:t>
                    </m:r>
                    <m:sSub>
                      <m:sSubPr>
                        <m:ctrlPr>
                          <a:rPr lang="en-GB" sz="1100" i="1" baseline="0">
                            <a:latin typeface="Cambria Math" panose="02040503050406030204" pitchFamily="18" charset="0"/>
                            <a:ea typeface="Cambria Math" panose="02040503050406030204" pitchFamily="18" charset="0"/>
                          </a:rPr>
                        </m:ctrlPr>
                      </m:sSubPr>
                      <m:e>
                        <m:r>
                          <a:rPr lang="en-GB" sz="1100" b="0" i="1" baseline="0">
                            <a:latin typeface="Cambria Math" panose="02040503050406030204" pitchFamily="18" charset="0"/>
                            <a:ea typeface="Cambria Math" panose="02040503050406030204" pitchFamily="18" charset="0"/>
                          </a:rPr>
                          <m:t>𝑡</m:t>
                        </m:r>
                      </m:e>
                      <m:sub>
                        <m:f>
                          <m:fPr>
                            <m:ctrlPr>
                              <a:rPr lang="en-GB" sz="1100" i="1" baseline="0">
                                <a:latin typeface="Cambria Math" panose="02040503050406030204" pitchFamily="18" charset="0"/>
                                <a:ea typeface="Cambria Math" panose="02040503050406030204" pitchFamily="18" charset="0"/>
                              </a:rPr>
                            </m:ctrlPr>
                          </m:fPr>
                          <m:num>
                            <m:r>
                              <a:rPr lang="en-GB" sz="1100" i="1" baseline="0">
                                <a:latin typeface="Cambria Math" panose="02040503050406030204" pitchFamily="18" charset="0"/>
                                <a:ea typeface="Cambria Math" panose="02040503050406030204" pitchFamily="18" charset="0"/>
                              </a:rPr>
                              <m:t>𝛼</m:t>
                            </m:r>
                          </m:num>
                          <m:den>
                            <m:r>
                              <a:rPr lang="en-GB" sz="1100" b="0" i="1" baseline="0">
                                <a:latin typeface="Cambria Math" panose="02040503050406030204" pitchFamily="18" charset="0"/>
                                <a:ea typeface="Cambria Math" panose="02040503050406030204" pitchFamily="18" charset="0"/>
                              </a:rPr>
                              <m:t>2</m:t>
                            </m:r>
                          </m:den>
                        </m:f>
                        <m:r>
                          <a:rPr lang="en-GB" sz="1100" b="0" i="1" baseline="0">
                            <a:latin typeface="Cambria Math" panose="02040503050406030204" pitchFamily="18" charset="0"/>
                            <a:ea typeface="Cambria Math" panose="02040503050406030204" pitchFamily="18" charset="0"/>
                          </a:rPr>
                          <m:t>,  </m:t>
                        </m:r>
                        <m:r>
                          <a:rPr lang="en-GB" sz="1100" b="0" i="1" baseline="0">
                            <a:latin typeface="Cambria Math" panose="02040503050406030204" pitchFamily="18" charset="0"/>
                            <a:ea typeface="Cambria Math" panose="02040503050406030204" pitchFamily="18" charset="0"/>
                          </a:rPr>
                          <m:t>𝑛</m:t>
                        </m:r>
                        <m:r>
                          <a:rPr lang="en-GB" sz="1100" b="0" i="1" baseline="0">
                            <a:latin typeface="Cambria Math" panose="02040503050406030204" pitchFamily="18" charset="0"/>
                            <a:ea typeface="Cambria Math" panose="02040503050406030204" pitchFamily="18" charset="0"/>
                          </a:rPr>
                          <m:t>−2</m:t>
                        </m:r>
                      </m:sub>
                    </m:sSub>
                    <m:r>
                      <a:rPr lang="en-GB" sz="1100" b="0" i="1" baseline="0">
                        <a:latin typeface="Cambria Math" panose="02040503050406030204" pitchFamily="18" charset="0"/>
                        <a:ea typeface="Cambria Math" panose="02040503050406030204" pitchFamily="18" charset="0"/>
                      </a:rPr>
                      <m:t>(</m:t>
                    </m:r>
                    <m:r>
                      <a:rPr lang="en-GB" sz="1100" b="0" i="1" baseline="0">
                        <a:latin typeface="Cambria Math" panose="02040503050406030204" pitchFamily="18" charset="0"/>
                        <a:ea typeface="Cambria Math" panose="02040503050406030204" pitchFamily="18" charset="0"/>
                      </a:rPr>
                      <m:t>𝑆</m:t>
                    </m:r>
                    <m:rad>
                      <m:radPr>
                        <m:degHide m:val="on"/>
                        <m:ctrlPr>
                          <a:rPr lang="en-GB" sz="1100" b="0" i="1" baseline="0">
                            <a:latin typeface="Cambria Math" panose="02040503050406030204" pitchFamily="18" charset="0"/>
                            <a:ea typeface="Cambria Math" panose="02040503050406030204" pitchFamily="18" charset="0"/>
                          </a:rPr>
                        </m:ctrlPr>
                      </m:radPr>
                      <m:deg/>
                      <m:e>
                        <m:f>
                          <m:fPr>
                            <m:ctrlPr>
                              <a:rPr lang="en-GB" sz="1100" b="0" i="1" baseline="0">
                                <a:latin typeface="Cambria Math" panose="02040503050406030204" pitchFamily="18" charset="0"/>
                                <a:ea typeface="Cambria Math" panose="02040503050406030204" pitchFamily="18" charset="0"/>
                              </a:rPr>
                            </m:ctrlPr>
                          </m:fPr>
                          <m:num>
                            <m:r>
                              <a:rPr lang="en-GB" sz="1100" b="0" i="1" baseline="0">
                                <a:latin typeface="Cambria Math" panose="02040503050406030204" pitchFamily="18" charset="0"/>
                                <a:ea typeface="Cambria Math" panose="02040503050406030204" pitchFamily="18" charset="0"/>
                              </a:rPr>
                              <m:t>1</m:t>
                            </m:r>
                          </m:num>
                          <m:den>
                            <m:r>
                              <a:rPr lang="en-GB" sz="1100" b="0" i="1" baseline="0">
                                <a:latin typeface="Cambria Math" panose="02040503050406030204" pitchFamily="18" charset="0"/>
                                <a:ea typeface="Cambria Math" panose="02040503050406030204" pitchFamily="18" charset="0"/>
                              </a:rPr>
                              <m:t>𝑛</m:t>
                            </m:r>
                          </m:den>
                        </m:f>
                        <m:r>
                          <a:rPr lang="en-GB" sz="1100" b="0" i="1" baseline="0">
                            <a:latin typeface="Cambria Math" panose="02040503050406030204" pitchFamily="18" charset="0"/>
                            <a:ea typeface="Cambria Math" panose="02040503050406030204" pitchFamily="18" charset="0"/>
                          </a:rPr>
                          <m:t>+</m:t>
                        </m:r>
                        <m:f>
                          <m:fPr>
                            <m:ctrlPr>
                              <a:rPr lang="en-GB" sz="1100" b="0" i="1" baseline="0">
                                <a:latin typeface="Cambria Math" panose="02040503050406030204" pitchFamily="18" charset="0"/>
                                <a:ea typeface="Cambria Math" panose="02040503050406030204" pitchFamily="18" charset="0"/>
                              </a:rPr>
                            </m:ctrlPr>
                          </m:fPr>
                          <m:num>
                            <m:sSup>
                              <m:sSupPr>
                                <m:ctrlPr>
                                  <a:rPr lang="en-GB" sz="1100" b="0" i="1" baseline="0">
                                    <a:latin typeface="Cambria Math" panose="02040503050406030204" pitchFamily="18" charset="0"/>
                                    <a:ea typeface="Cambria Math" panose="02040503050406030204" pitchFamily="18" charset="0"/>
                                  </a:rPr>
                                </m:ctrlPr>
                              </m:sSupPr>
                              <m:e>
                                <m:r>
                                  <a:rPr lang="en-GB" sz="1100" b="0" i="1" baseline="0">
                                    <a:latin typeface="Cambria Math" panose="02040503050406030204" pitchFamily="18" charset="0"/>
                                    <a:ea typeface="Cambria Math" panose="02040503050406030204" pitchFamily="18" charset="0"/>
                                  </a:rPr>
                                  <m:t>(</m:t>
                                </m:r>
                                <m:sSub>
                                  <m:sSubPr>
                                    <m:ctrlPr>
                                      <a:rPr lang="en-GB" sz="1100" b="0" i="1" baseline="0">
                                        <a:solidFill>
                                          <a:schemeClr val="dk1"/>
                                        </a:solidFill>
                                        <a:effectLst/>
                                        <a:latin typeface="Cambria Math" panose="02040503050406030204" pitchFamily="18" charset="0"/>
                                        <a:ea typeface="+mn-ea"/>
                                        <a:cs typeface="+mn-cs"/>
                                      </a:rPr>
                                    </m:ctrlPr>
                                  </m:sSubPr>
                                  <m:e>
                                    <m:r>
                                      <a:rPr lang="en-GB" sz="1100" b="0" i="1" baseline="0">
                                        <a:solidFill>
                                          <a:schemeClr val="dk1"/>
                                        </a:solidFill>
                                        <a:effectLst/>
                                        <a:latin typeface="Cambria Math" panose="02040503050406030204" pitchFamily="18" charset="0"/>
                                        <a:ea typeface="+mn-ea"/>
                                        <a:cs typeface="+mn-cs"/>
                                      </a:rPr>
                                      <m:t>𝑥</m:t>
                                    </m:r>
                                  </m:e>
                                  <m:sub>
                                    <m:r>
                                      <a:rPr lang="en-GB" sz="1100" b="0" i="1" baseline="0">
                                        <a:solidFill>
                                          <a:schemeClr val="dk1"/>
                                        </a:solidFill>
                                        <a:effectLst/>
                                        <a:latin typeface="Cambria Math" panose="02040503050406030204" pitchFamily="18" charset="0"/>
                                        <a:ea typeface="+mn-ea"/>
                                        <a:cs typeface="+mn-cs"/>
                                      </a:rPr>
                                      <m:t>0</m:t>
                                    </m:r>
                                  </m:sub>
                                </m:sSub>
                                <m:r>
                                  <a:rPr lang="en-GB" sz="1100" b="0" i="1" baseline="0">
                                    <a:solidFill>
                                      <a:schemeClr val="dk1"/>
                                    </a:solidFill>
                                    <a:effectLst/>
                                    <a:latin typeface="Cambria Math" panose="02040503050406030204" pitchFamily="18" charset="0"/>
                                    <a:ea typeface="+mn-ea"/>
                                    <a:cs typeface="+mn-cs"/>
                                  </a:rPr>
                                  <m:t>−</m:t>
                                </m:r>
                                <m:acc>
                                  <m:accPr>
                                    <m:chr m:val="̅"/>
                                    <m:ctrlPr>
                                      <a:rPr lang="en-GB" sz="1100" b="0" i="1" baseline="0">
                                        <a:solidFill>
                                          <a:schemeClr val="dk1"/>
                                        </a:solidFill>
                                        <a:effectLst/>
                                        <a:latin typeface="Cambria Math" panose="02040503050406030204" pitchFamily="18" charset="0"/>
                                        <a:ea typeface="+mn-ea"/>
                                        <a:cs typeface="+mn-cs"/>
                                      </a:rPr>
                                    </m:ctrlPr>
                                  </m:accPr>
                                  <m:e>
                                    <m:r>
                                      <a:rPr lang="en-GB" sz="1100" b="0" i="1" baseline="0">
                                        <a:solidFill>
                                          <a:schemeClr val="dk1"/>
                                        </a:solidFill>
                                        <a:effectLst/>
                                        <a:latin typeface="Cambria Math" panose="02040503050406030204" pitchFamily="18" charset="0"/>
                                        <a:ea typeface="+mn-ea"/>
                                        <a:cs typeface="+mn-cs"/>
                                      </a:rPr>
                                      <m:t>𝑥</m:t>
                                    </m:r>
                                  </m:e>
                                </m:acc>
                                <m:r>
                                  <a:rPr lang="en-GB" sz="1100" b="0" i="1" baseline="0">
                                    <a:solidFill>
                                      <a:schemeClr val="dk1"/>
                                    </a:solidFill>
                                    <a:effectLst/>
                                    <a:latin typeface="Cambria Math" panose="02040503050406030204" pitchFamily="18" charset="0"/>
                                    <a:ea typeface="+mn-ea"/>
                                    <a:cs typeface="+mn-cs"/>
                                  </a:rPr>
                                  <m:t>)</m:t>
                                </m:r>
                              </m:e>
                              <m:sup>
                                <m:r>
                                  <a:rPr lang="en-GB" sz="1100" b="0" i="1" baseline="0">
                                    <a:latin typeface="Cambria Math" panose="02040503050406030204" pitchFamily="18" charset="0"/>
                                    <a:ea typeface="Cambria Math" panose="02040503050406030204" pitchFamily="18" charset="0"/>
                                  </a:rPr>
                                  <m:t>2</m:t>
                                </m:r>
                              </m:sup>
                            </m:sSup>
                          </m:num>
                          <m:den>
                            <m:sSub>
                              <m:sSubPr>
                                <m:ctrlPr>
                                  <a:rPr lang="en-GB" sz="1100" b="0" i="1" baseline="0">
                                    <a:latin typeface="Cambria Math" panose="02040503050406030204" pitchFamily="18" charset="0"/>
                                    <a:ea typeface="Cambria Math" panose="02040503050406030204" pitchFamily="18" charset="0"/>
                                  </a:rPr>
                                </m:ctrlPr>
                              </m:sSubPr>
                              <m:e>
                                <m:r>
                                  <a:rPr lang="en-GB" sz="1100" b="0" i="1" baseline="0">
                                    <a:latin typeface="Cambria Math" panose="02040503050406030204" pitchFamily="18" charset="0"/>
                                    <a:ea typeface="Cambria Math" panose="02040503050406030204" pitchFamily="18" charset="0"/>
                                  </a:rPr>
                                  <m:t>𝑆</m:t>
                                </m:r>
                              </m:e>
                              <m:sub>
                                <m:r>
                                  <a:rPr lang="en-GB" sz="1100" b="0" i="1" baseline="0">
                                    <a:latin typeface="Cambria Math" panose="02040503050406030204" pitchFamily="18" charset="0"/>
                                    <a:ea typeface="Cambria Math" panose="02040503050406030204" pitchFamily="18" charset="0"/>
                                  </a:rPr>
                                  <m:t>𝑥𝑥</m:t>
                                </m:r>
                              </m:sub>
                            </m:sSub>
                          </m:den>
                        </m:f>
                      </m:e>
                    </m:rad>
                  </m:oMath>
                </m:oMathPara>
              </a14:m>
              <a:endParaRPr lang="en-GB" sz="1100" baseline="0"/>
            </a:p>
            <a:p>
              <a:endParaRPr lang="en-GB" sz="1100"/>
            </a:p>
          </xdr:txBody>
        </xdr:sp>
      </mc:Choice>
      <mc:Fallback xmlns="">
        <xdr:sp macro="" textlink="">
          <xdr:nvSpPr>
            <xdr:cNvPr id="12" name="TextBox 11">
              <a:extLst>
                <a:ext uri="{FF2B5EF4-FFF2-40B4-BE49-F238E27FC236}">
                  <a16:creationId xmlns:a16="http://schemas.microsoft.com/office/drawing/2014/main" id="{AEFBA0C2-4663-4229-9367-C5DE8279086C}"/>
                </a:ext>
              </a:extLst>
            </xdr:cNvPr>
            <xdr:cNvSpPr txBox="1"/>
          </xdr:nvSpPr>
          <xdr:spPr>
            <a:xfrm>
              <a:off x="18437679" y="18696214"/>
              <a:ext cx="5080440" cy="1285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equation</a:t>
              </a:r>
              <a:r>
                <a:rPr lang="en-GB" sz="1100" baseline="0"/>
                <a:t> used to calculate the confidence interval for the mean response is:</a:t>
              </a:r>
            </a:p>
            <a:p>
              <a:pPr/>
              <a:r>
                <a:rPr lang="en-GB" sz="1100" b="0" i="0" baseline="0">
                  <a:latin typeface="Cambria Math" panose="02040503050406030204" pitchFamily="18" charset="0"/>
                </a:rPr>
                <a:t>𝑌 ̂_0</a:t>
              </a:r>
              <a:r>
                <a:rPr lang="en-GB" sz="1100" i="0" baseline="0">
                  <a:latin typeface="Cambria Math" panose="02040503050406030204" pitchFamily="18" charset="0"/>
                  <a:ea typeface="Cambria Math" panose="02040503050406030204" pitchFamily="18" charset="0"/>
                </a:rPr>
                <a:t>±</a:t>
              </a:r>
              <a:r>
                <a:rPr lang="en-GB" sz="1100" b="0" i="0" baseline="0">
                  <a:latin typeface="Cambria Math" panose="02040503050406030204" pitchFamily="18" charset="0"/>
                  <a:ea typeface="Cambria Math" panose="02040503050406030204" pitchFamily="18" charset="0"/>
                </a:rPr>
                <a:t>𝑡_(</a:t>
              </a:r>
              <a:r>
                <a:rPr lang="en-GB" sz="1100" i="0" baseline="0">
                  <a:latin typeface="Cambria Math" panose="02040503050406030204" pitchFamily="18" charset="0"/>
                  <a:ea typeface="Cambria Math" panose="02040503050406030204" pitchFamily="18" charset="0"/>
                </a:rPr>
                <a:t>𝛼/</a:t>
              </a:r>
              <a:r>
                <a:rPr lang="en-GB" sz="1100" b="0" i="0" baseline="0">
                  <a:latin typeface="Cambria Math" panose="02040503050406030204" pitchFamily="18" charset="0"/>
                  <a:ea typeface="Cambria Math" panose="02040503050406030204" pitchFamily="18" charset="0"/>
                </a:rPr>
                <a:t>2,  𝑛−2) (𝑆√(1/𝑛+〖(</a:t>
              </a:r>
              <a:r>
                <a:rPr lang="en-GB" sz="1100" b="0" i="0" baseline="0">
                  <a:solidFill>
                    <a:schemeClr val="dk1"/>
                  </a:solidFill>
                  <a:effectLst/>
                  <a:latin typeface="Cambria Math" panose="02040503050406030204" pitchFamily="18" charset="0"/>
                  <a:ea typeface="+mn-ea"/>
                  <a:cs typeface="+mn-cs"/>
                </a:rPr>
                <a:t>𝑥_0−𝑥 ̅)</a:t>
              </a:r>
              <a:r>
                <a:rPr lang="en-GB" sz="1100" b="0" i="0" baseline="0">
                  <a:solidFill>
                    <a:schemeClr val="dk1"/>
                  </a:solidFill>
                  <a:effectLst/>
                  <a:latin typeface="Cambria Math" panose="02040503050406030204" pitchFamily="18" charset="0"/>
                  <a:ea typeface="Cambria Math" panose="02040503050406030204" pitchFamily="18" charset="0"/>
                  <a:cs typeface="+mn-cs"/>
                </a:rPr>
                <a:t>〗^</a:t>
              </a:r>
              <a:r>
                <a:rPr lang="en-GB" sz="1100" b="0" i="0" baseline="0">
                  <a:latin typeface="Cambria Math" panose="02040503050406030204" pitchFamily="18" charset="0"/>
                  <a:ea typeface="Cambria Math" panose="02040503050406030204" pitchFamily="18" charset="0"/>
                </a:rPr>
                <a:t>2/𝑆_𝑥𝑥 )</a:t>
              </a:r>
              <a:endParaRPr lang="en-GB" sz="1100" baseline="0"/>
            </a:p>
            <a:p>
              <a:endParaRPr lang="en-GB" sz="1100"/>
            </a:p>
          </xdr:txBody>
        </xdr:sp>
      </mc:Fallback>
    </mc:AlternateContent>
    <xdr:clientData/>
  </xdr:twoCellAnchor>
  <xdr:twoCellAnchor>
    <xdr:from>
      <xdr:col>11</xdr:col>
      <xdr:colOff>128178</xdr:colOff>
      <xdr:row>13</xdr:row>
      <xdr:rowOff>153488</xdr:rowOff>
    </xdr:from>
    <xdr:to>
      <xdr:col>18</xdr:col>
      <xdr:colOff>470534</xdr:colOff>
      <xdr:row>25</xdr:row>
      <xdr:rowOff>54429</xdr:rowOff>
    </xdr:to>
    <xdr:sp macro="" textlink="">
      <xdr:nvSpPr>
        <xdr:cNvPr id="13" name="TextBox 12">
          <a:extLst>
            <a:ext uri="{FF2B5EF4-FFF2-40B4-BE49-F238E27FC236}">
              <a16:creationId xmlns:a16="http://schemas.microsoft.com/office/drawing/2014/main" id="{B8166301-35B3-1737-1012-489258BAB1FA}"/>
            </a:ext>
          </a:extLst>
        </xdr:cNvPr>
        <xdr:cNvSpPr txBox="1"/>
      </xdr:nvSpPr>
      <xdr:spPr>
        <a:xfrm>
          <a:off x="14660607" y="2453095"/>
          <a:ext cx="7594963" cy="20236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aseline="0"/>
            <a:t>Parametric analysis of competitor products based on the key cost drivers identified gives a range for the sale price of the drone. Within this range, the drone sale price is determined to ensure an initial gross profit margin of 27.8% is achieved, in line with the industry average. As production is scaled up and production rates increase, the operating is expected to increase as the overhead costs and equipment costs per unit decrease and material costs decrease due to expected bulk discounts. </a:t>
          </a:r>
        </a:p>
        <a:p>
          <a:r>
            <a:rPr lang="en-GB" sz="1100" baseline="0"/>
            <a:t>As this product is filling a gap in the market and as there is evidenceof high demand, it is assumed that the sale rate per year will match production rate.</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532858</xdr:colOff>
      <xdr:row>47</xdr:row>
      <xdr:rowOff>135256</xdr:rowOff>
    </xdr:from>
    <xdr:to>
      <xdr:col>27</xdr:col>
      <xdr:colOff>133896</xdr:colOff>
      <xdr:row>62</xdr:row>
      <xdr:rowOff>194311</xdr:rowOff>
    </xdr:to>
    <xdr:graphicFrame macro="">
      <xdr:nvGraphicFramePr>
        <xdr:cNvPr id="2" name="Chart 1">
          <a:extLst>
            <a:ext uri="{FF2B5EF4-FFF2-40B4-BE49-F238E27FC236}">
              <a16:creationId xmlns:a16="http://schemas.microsoft.com/office/drawing/2014/main" id="{A0021F4D-E03C-998D-2B49-10C3918233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521153</xdr:colOff>
      <xdr:row>47</xdr:row>
      <xdr:rowOff>163556</xdr:rowOff>
    </xdr:from>
    <xdr:to>
      <xdr:col>36</xdr:col>
      <xdr:colOff>500742</xdr:colOff>
      <xdr:row>62</xdr:row>
      <xdr:rowOff>185057</xdr:rowOff>
    </xdr:to>
    <xdr:graphicFrame macro="">
      <xdr:nvGraphicFramePr>
        <xdr:cNvPr id="5" name="Chart 4">
          <a:extLst>
            <a:ext uri="{FF2B5EF4-FFF2-40B4-BE49-F238E27FC236}">
              <a16:creationId xmlns:a16="http://schemas.microsoft.com/office/drawing/2014/main" id="{2176EAE3-D40B-6DEE-4F0E-B8CC63045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xdr:row>
      <xdr:rowOff>43544</xdr:rowOff>
    </xdr:from>
    <xdr:to>
      <xdr:col>0</xdr:col>
      <xdr:colOff>6282417</xdr:colOff>
      <xdr:row>3</xdr:row>
      <xdr:rowOff>163286</xdr:rowOff>
    </xdr:to>
    <xdr:sp macro="" textlink="">
      <xdr:nvSpPr>
        <xdr:cNvPr id="6" name="TextBox 5">
          <a:extLst>
            <a:ext uri="{FF2B5EF4-FFF2-40B4-BE49-F238E27FC236}">
              <a16:creationId xmlns:a16="http://schemas.microsoft.com/office/drawing/2014/main" id="{BB2EE5E1-6E2E-4D74-283F-8254951CEC19}"/>
            </a:ext>
          </a:extLst>
        </xdr:cNvPr>
        <xdr:cNvSpPr txBox="1"/>
      </xdr:nvSpPr>
      <xdr:spPr>
        <a:xfrm>
          <a:off x="0" y="315687"/>
          <a:ext cx="6282417" cy="5116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Estimated based on average R&amp;D spend as a percentage of revenue in drone industry. Although distinct concepts, production value is assumed to be analogous to revenue to form this CER.</a:t>
          </a:r>
        </a:p>
      </xdr:txBody>
    </xdr:sp>
    <xdr:clientData/>
  </xdr:twoCellAnchor>
  <xdr:twoCellAnchor>
    <xdr:from>
      <xdr:col>11</xdr:col>
      <xdr:colOff>0</xdr:colOff>
      <xdr:row>82</xdr:row>
      <xdr:rowOff>0</xdr:rowOff>
    </xdr:from>
    <xdr:to>
      <xdr:col>14</xdr:col>
      <xdr:colOff>205740</xdr:colOff>
      <xdr:row>85</xdr:row>
      <xdr:rowOff>60960</xdr:rowOff>
    </xdr:to>
    <xdr:pic>
      <xdr:nvPicPr>
        <xdr:cNvPr id="3" name="Picture 2">
          <a:extLst>
            <a:ext uri="{FF2B5EF4-FFF2-40B4-BE49-F238E27FC236}">
              <a16:creationId xmlns:a16="http://schemas.microsoft.com/office/drawing/2014/main" id="{44B9A6D4-BD04-16E7-9834-3080F6408062}"/>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4249400" y="15514320"/>
          <a:ext cx="2392680" cy="617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43544</xdr:rowOff>
    </xdr:from>
    <xdr:to>
      <xdr:col>0</xdr:col>
      <xdr:colOff>6282417</xdr:colOff>
      <xdr:row>3</xdr:row>
      <xdr:rowOff>163286</xdr:rowOff>
    </xdr:to>
    <xdr:sp macro="" textlink="">
      <xdr:nvSpPr>
        <xdr:cNvPr id="2" name="TextBox 1">
          <a:extLst>
            <a:ext uri="{FF2B5EF4-FFF2-40B4-BE49-F238E27FC236}">
              <a16:creationId xmlns:a16="http://schemas.microsoft.com/office/drawing/2014/main" id="{2AE020BA-4112-4789-A47E-67B811F9655A}"/>
            </a:ext>
          </a:extLst>
        </xdr:cNvPr>
        <xdr:cNvSpPr txBox="1"/>
      </xdr:nvSpPr>
      <xdr:spPr>
        <a:xfrm>
          <a:off x="0" y="310244"/>
          <a:ext cx="6282417" cy="50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Estimated based on average R&amp;D spend as a percentage of revenue in drone industry. Although distinct concepts, production value is assumed to be analogous to revenue to form this CER.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95251</xdr:rowOff>
    </xdr:from>
    <xdr:to>
      <xdr:col>12</xdr:col>
      <xdr:colOff>9525</xdr:colOff>
      <xdr:row>5</xdr:row>
      <xdr:rowOff>152401</xdr:rowOff>
    </xdr:to>
    <xdr:sp macro="" textlink="">
      <xdr:nvSpPr>
        <xdr:cNvPr id="2" name="TextBox 1">
          <a:extLst>
            <a:ext uri="{FF2B5EF4-FFF2-40B4-BE49-F238E27FC236}">
              <a16:creationId xmlns:a16="http://schemas.microsoft.com/office/drawing/2014/main" id="{97C1E7CB-55CA-F0E7-EF59-CBE3EE53C494}"/>
            </a:ext>
          </a:extLst>
        </xdr:cNvPr>
        <xdr:cNvSpPr txBox="1"/>
      </xdr:nvSpPr>
      <xdr:spPr>
        <a:xfrm>
          <a:off x="0" y="361951"/>
          <a:ext cx="7324725"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Costs associated with the manufacture of the product, including raw material costs, manufacture costs, assembly costs, and specialist labour costs, are estimated using a bottom up approach for each subsystem of the product. The overall cost of manufacture is estimated in terms of the unit -</a:t>
          </a:r>
          <a:r>
            <a:rPr lang="en-GB" sz="1100" baseline="0"/>
            <a:t> where the unit is defined as a fully functional UAV</a:t>
          </a:r>
          <a:r>
            <a:rPr lang="en-GB" sz="1100"/>
            <a:t>.</a:t>
          </a:r>
        </a:p>
        <a:p>
          <a:r>
            <a:rPr lang="en-GB" sz="1100"/>
            <a:t>Additionally, the enivronmental impact of the product (per unit) is quantified both in terms of GWP and fiscally in US dollars.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AFF2C84-A00A-4955-AA30-2FB04B88AC45}" name="Table20" displayName="Table20" ref="B22:H23" totalsRowShown="0" headerRowCellStyle="Output 2">
  <autoFilter ref="B22:H23" xr:uid="{8AFF2C84-A00A-4955-AA30-2FB04B88AC4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3999AB3-B291-43D5-8938-536B9755DFEE}" name="Storage space required (m^2)">
      <calculatedColumnFormula array="1">Table3[Floorspace required]+Table18[Floorspace required (m^2)]</calculatedColumnFormula>
    </tableColumn>
    <tableColumn id="2" xr3:uid="{241A7C7A-FF17-4D48-8269-E88D502272FF}" name="Production space required (m^2)">
      <calculatedColumnFormula>'Machine utilisation'!H33</calculatedColumnFormula>
    </tableColumn>
    <tableColumn id="7" xr3:uid="{D05E0622-E06F-41E9-B251-DE88A8A41A63}" name="Correction factor"/>
    <tableColumn id="6" xr3:uid="{930FFFD3-65B8-4E88-A9DB-F8AE44E8E9F9}" name="Total area required (m^3)">
      <calculatedColumnFormula>Table20[[#This Row],[Storage space required (m^2)]]+Table20[[#This Row],[Production space required (m^2)]]</calculatedColumnFormula>
    </tableColumn>
    <tableColumn id="3" xr3:uid="{11CC18BB-DC89-4F31-834F-8B24964A6C70}" name="Rental rate per year (£/m^2)">
      <calculatedColumnFormula>C30</calculatedColumnFormula>
    </tableColumn>
    <tableColumn id="4" xr3:uid="{43440FD0-DE8C-4613-B8E0-20A2C823D5F6}" name="Utility rate per year (£/m^2)">
      <calculatedColumnFormula>F30</calculatedColumnFormula>
    </tableColumn>
    <tableColumn id="5" xr3:uid="{17DDFEB0-9395-42EF-9510-3B8BAF5BAD59}" name="Total facility cost per year (£)">
      <calculatedColumnFormula>(Table20[[#This Row],[Rental rate per year (£/m^2)]]+Table20[[#This Row],[Utility rate per year (£/m^2)]])*(Table20[[#This Row],[Correction factor]]*Table20[[#This Row],[Total area required (m^3)]])</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374CAA5-331F-4F66-B714-FC8CEACB031E}" name="Table205" displayName="Table205" ref="B22:H23" totalsRowShown="0" headerRowDxfId="74" headerRowBorderDxfId="73" headerRowCellStyle="Output 2">
  <autoFilter ref="B22:H23" xr:uid="{9374CAA5-331F-4F66-B714-FC8CEACB031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72CA70F-D846-4614-9D57-0D62DB59735D}" name="Storage space required (m^2)" dataDxfId="72">
      <calculatedColumnFormula>ROUND(Table20[[#This Row],[Storage space required (m^2)]], 2-(1+INT(LOG10(ABS(Table20[[#This Row],[Storage space required (m^2)]])))))</calculatedColumnFormula>
    </tableColumn>
    <tableColumn id="2" xr3:uid="{F08606BB-1A2C-4F32-986C-C6EF093F98AF}" name="Production space required (m^2)">
      <calculatedColumnFormula>ROUND(Table20[[#This Row],[Production space required (m^2)]], 2-(1+INT(LOG10(ABS(Table20[[#This Row],[Production space required (m^2)]])))))</calculatedColumnFormula>
    </tableColumn>
    <tableColumn id="7" xr3:uid="{73A55E13-0A96-48A8-9E92-31EECC774F28}" name="Correction factor">
      <calculatedColumnFormula>ROUND(Table20[[#This Row],[Correction factor]], 2-(1+INT(LOG10(ABS(Table20[[#This Row],[Correction factor]])))))</calculatedColumnFormula>
    </tableColumn>
    <tableColumn id="6" xr3:uid="{761F8868-492C-481F-ADC6-349847CF23AD}" name="Total area required (m^3)">
      <calculatedColumnFormula>ROUND(Table20[[#This Row],[Total area required (m^3)]], 2-(1+INT(LOG10(ABS(Table20[[#This Row],[Total area required (m^3)]])))))</calculatedColumnFormula>
    </tableColumn>
    <tableColumn id="3" xr3:uid="{DC118AFF-62B2-4D18-987B-5D8025D8B3DD}" name="Rental rate per year (£/m^2)">
      <calculatedColumnFormula>ROUND(Table20[[#This Row],[Rental rate per year (£/m^2)]], 2-(1+INT(LOG10(ABS(Table20[[#This Row],[Rental rate per year (£/m^2)]])))))</calculatedColumnFormula>
    </tableColumn>
    <tableColumn id="4" xr3:uid="{47696DE7-024F-45ED-A628-1AA918A3B9A1}" name="Utility rate per year (£/m^2)">
      <calculatedColumnFormula>ROUND(Table20[[#This Row],[Utility rate per year (£/m^2)]], 2-(1+INT(LOG10(ABS(Table20[[#This Row],[Utility rate per year (£/m^2)]])))))</calculatedColumnFormula>
    </tableColumn>
    <tableColumn id="5" xr3:uid="{384817D8-26DA-41B6-980D-E90DF55E5D4C}" name="Total facility cost per year (£)">
      <calculatedColumnFormula>ROUND(Table20[[#This Row],[Total facility cost per year (£)]], 2-(1+INT(LOG10(ABS(Table20[[#This Row],[Total facility cost per year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A65C656-1428-4B51-BDF9-FD90316500C9}" name="Table13" displayName="Table13" ref="D23:E33" totalsRowShown="0" headerRowCellStyle="Output 2">
  <autoFilter ref="D23:E33" xr:uid="{4A65C656-1428-4B51-BDF9-FD90316500C9}">
    <filterColumn colId="0" hiddenButton="1"/>
    <filterColumn colId="1" hiddenButton="1"/>
  </autoFilter>
  <tableColumns count="2">
    <tableColumn id="1" xr3:uid="{EFD9E606-8864-467E-8D0B-BD7BD05E12DC}" name="Year" dataDxfId="71"/>
    <tableColumn id="2" xr3:uid="{16B176A3-12DB-4A7E-97E9-0AE60EBDACBD}" name="Total"/>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17D0071-11A4-4ADA-B1D7-1D1F95374F4F}" name="Table14" displayName="Table14" ref="D35:E45" totalsRowShown="0" headerRowCellStyle="Output 2">
  <autoFilter ref="D35:E45" xr:uid="{917D0071-11A4-4ADA-B1D7-1D1F95374F4F}">
    <filterColumn colId="0" hiddenButton="1"/>
    <filterColumn colId="1" hiddenButton="1"/>
  </autoFilter>
  <tableColumns count="2">
    <tableColumn id="1" xr3:uid="{2E91131D-C705-458D-9858-EB793CBA5C91}" name="Year" dataDxfId="70"/>
    <tableColumn id="2" xr3:uid="{EE561A44-6772-4021-B776-34E79A1121F2}" name="Global"/>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EE3B684-CE1F-4C81-A302-859EA9FBB313}" name="Table15" displayName="Table15" ref="D48:E57" totalsRowShown="0" headerRowCellStyle="Output 2">
  <autoFilter ref="D48:E57" xr:uid="{2EE3B684-CE1F-4C81-A302-859EA9FBB313}">
    <filterColumn colId="0" hiddenButton="1"/>
    <filterColumn colId="1" hiddenButton="1"/>
  </autoFilter>
  <tableColumns count="2">
    <tableColumn id="1" xr3:uid="{C7C44DB5-18D9-4253-A929-9B9580B7C64A}" name="Year" dataDxfId="69"/>
    <tableColumn id="2" xr3:uid="{5ADDC892-6B7A-444B-A606-6EA72D549F10}" name="Percentage">
      <calculatedColumnFormula>(E36/E25)*100</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2424D5B-A8BD-46E9-9DA4-FE297D615DDD}" name="Table16" displayName="Table16" ref="I49:L56" totalsRowShown="0">
  <autoFilter ref="I49:L56" xr:uid="{F2424D5B-A8BD-46E9-9DA4-FE297D615DDD}">
    <filterColumn colId="0" hiddenButton="1"/>
    <filterColumn colId="1" hiddenButton="1"/>
    <filterColumn colId="2" hiddenButton="1"/>
    <filterColumn colId="3" hiddenButton="1"/>
  </autoFilter>
  <tableColumns count="4">
    <tableColumn id="1" xr3:uid="{C6A8CCAB-E8AC-4922-8A55-E9CB0F132314}" name="Year" dataDxfId="68"/>
    <tableColumn id="2" xr3:uid="{69F4CF19-1FBD-44B7-8D80-80940DF807E7}" name="Mean "/>
    <tableColumn id="3" xr3:uid="{E13A7D16-839C-45CA-8472-FFE57554522D}" name="Upper"/>
    <tableColumn id="4" xr3:uid="{E49E3EC1-2367-4298-83A9-871E015B491C}" name="Lower"/>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BB220B4-F51A-4ED5-9FBB-C6688AA4EA1D}" name="Table17" displayName="Table17" ref="A10:D16" totalsRowShown="0" headerRowCellStyle="Output 2">
  <autoFilter ref="A10:D16" xr:uid="{3BB220B4-F51A-4ED5-9FBB-C6688AA4EA1D}">
    <filterColumn colId="0" hiddenButton="1"/>
    <filterColumn colId="1" hiddenButton="1"/>
    <filterColumn colId="2" hiddenButton="1"/>
    <filterColumn colId="3" hiddenButton="1"/>
  </autoFilter>
  <tableColumns count="4">
    <tableColumn id="1" xr3:uid="{C70F66EB-83FE-4C50-8319-4823F6E46798}" name="Year" dataDxfId="67"/>
    <tableColumn id="2" xr3:uid="{4FE6EDF3-A80F-4416-A0CB-4274E4D4AE75}" name="Low"/>
    <tableColumn id="3" xr3:uid="{F95F7000-BC81-4647-A1DD-9C63331E05EF}" name="Average "/>
    <tableColumn id="4" xr3:uid="{2E14787F-3746-4581-BDC9-8CBA09CB62FF}" name="High"/>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87A041-D66B-4CF1-BE42-54DE17E80598}" name="Table173" displayName="Table173" ref="A10:D15" totalsRowShown="0" headerRowDxfId="66" headerRowCellStyle="Output 2">
  <autoFilter ref="A10:D15" xr:uid="{A287A041-D66B-4CF1-BE42-54DE17E80598}">
    <filterColumn colId="0" hiddenButton="1"/>
    <filterColumn colId="1" hiddenButton="1"/>
    <filterColumn colId="2" hiddenButton="1"/>
    <filterColumn colId="3" hiddenButton="1"/>
  </autoFilter>
  <tableColumns count="4">
    <tableColumn id="1" xr3:uid="{F64FDE9A-561D-4315-A8FF-27F5D6469C33}" name="Year" dataDxfId="65"/>
    <tableColumn id="2" xr3:uid="{CA405952-A758-4CC4-B8AE-35B73C1F56D9}" name="Low" dataDxfId="64">
      <calculatedColumnFormula>IF(Table17[[#This Row],[Low]]&gt;0,ROUND(Table17[[#This Row],[Low]], 2-(1+INT(LOG10(ABS(Table17[[#This Row],[Low]]))))),0)</calculatedColumnFormula>
    </tableColumn>
    <tableColumn id="3" xr3:uid="{963D3F5B-371C-4CD6-88B6-BB69256FBA09}" name="Average " dataDxfId="63">
      <calculatedColumnFormula>IF(Table17[[#This Row],[Average ]]&gt;0,ROUND(Table17[[#This Row],[Average ]], 2-(1+INT(LOG10(ABS(Table17[[#This Row],[Average ]]))))),0)</calculatedColumnFormula>
    </tableColumn>
    <tableColumn id="4" xr3:uid="{64F2B8D3-A0F5-40C5-B1D3-FF41642C678D}" name="High" dataDxfId="62">
      <calculatedColumnFormula>IF(Table17[[#This Row],[High]]&gt;0,ROUND(Table17[[#This Row],[High]], 2-(1+INT(LOG10(ABS(Table17[[#This Row],[High]]))))),0)</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1C9330-96E5-4898-ABB4-9C38CBA1F9A4}" name="Table5" displayName="Table5" ref="B4:W28" totalsRowCount="1">
  <autoFilter ref="B4:W27" xr:uid="{491C9330-96E5-4898-ABB4-9C38CBA1F9A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6945D0EF-2950-4E17-8C20-D444D9C14A07}" name="Part ref"/>
    <tableColumn id="2" xr3:uid="{77982015-324F-438A-AD25-2AA861FCD0C0}" name="Part name"/>
    <tableColumn id="3" xr3:uid="{6230036C-8677-4801-9736-94EF4E7D110A}" name="Part volume (mm^3)" dataDxfId="61">
      <calculatedColumnFormula>4182976.79/1000000</calculatedColumnFormula>
    </tableColumn>
    <tableColumn id="4" xr3:uid="{B5DCCEFE-1488-4974-8AE6-13B27EFA9DA3}" name="Part volume m^3" dataDxfId="60">
      <calculatedColumnFormula>Table5[[#This Row],[Part volume (mm^3)]]/(1000^3)</calculatedColumnFormula>
    </tableColumn>
    <tableColumn id="5" xr3:uid="{40AE8AD6-AD1F-40E1-ADF3-F23044E71D09}" name="Quantity"/>
    <tableColumn id="10" xr3:uid="{6DEDBF29-A091-4E3B-9024-69BCADE6B82C}" name="Total volume (m^3)" totalsRowFunction="custom" dataDxfId="59">
      <calculatedColumnFormula>Table5[[#This Row],[Part volume m^3]]*Table5[[#This Row],[Quantity]]</calculatedColumnFormula>
      <totalsRowFormula>SUM(G6,G8,G9,G10,G13,G14,G16,G17,G20,G23)</totalsRowFormula>
    </tableColumn>
    <tableColumn id="9" xr3:uid="{CCFB1A99-F136-486A-8661-2B4509F22F84}" name="Material"/>
    <tableColumn id="8" xr3:uid="{5EFFF5E9-04F2-4084-B56C-6BBAD0BB8292}" name="Material Cost per m^3" dataDxfId="58">
      <calculatedColumnFormula>((0.83*((225000*0.75)+((3930+7290)/2)))+(0.17*((4890+6230)/2)))</calculatedColumnFormula>
    </tableColumn>
    <tableColumn id="6" xr3:uid="{0D7F8839-6B83-4EDB-AB79-92F5E3914B70}" name="Material Cost" dataDxfId="57">
      <calculatedColumnFormula>Table5[[#This Row],[Material Cost per m^3]]*Table5[[#This Row],[Total volume (m^3)]]</calculatedColumnFormula>
    </tableColumn>
    <tableColumn id="7" xr3:uid="{DD7126EE-1335-438A-8E12-7F4A1A4B3559}" name="Material GWP (kgCO2)"/>
    <tableColumn id="11" xr3:uid="{FB5378B2-AE2B-46CC-A509-120359873876}" name="Production method"/>
    <tableColumn id="12" xr3:uid="{2921D0DC-74D9-44F0-BA7B-1F0894AF7810}" name="Machine(s) required"/>
    <tableColumn id="13" xr3:uid="{33103CA5-6968-45E6-9D77-9CBCECA8D588}" name="Machine cost (GBP)"/>
    <tableColumn id="14" xr3:uid="{E2900ABF-0EB4-48A0-BC2E-1B71E35760FB}" name="Tooling cost per unit (GBP) -lower"/>
    <tableColumn id="15" xr3:uid="{F1A31097-6C88-49D1-91E4-E88FDB5AC81C}" name="Tooling cost per unit (GBP) -upper"/>
    <tableColumn id="16" xr3:uid="{F63B0F75-4DDC-4D50-B687-EECBF909F3C7}" name="Manufacture GWP (kgCO2)" dataDxfId="56">
      <calculatedColumnFormula>0.28*1375*Table5[[#This Row],[Part volume m^3]]*Table5[[#This Row],[Quantity]]</calculatedColumnFormula>
    </tableColumn>
    <tableColumn id="17" xr3:uid="{04E96BE2-C1D2-4406-B249-231C8A250B3E}" name="Skilled labour required? Y/N"/>
    <tableColumn id="18" xr3:uid="{801AB46D-7157-4CC5-99F9-A54867D6289B}" name="Labour time per unit (mins) - lower"/>
    <tableColumn id="19" xr3:uid="{FD8CF7A0-D5E3-467A-B4CF-DAC90F8C2283}" name="Labour time per unit (mins) - upper"/>
    <tableColumn id="20" xr3:uid="{CB588FE6-C5C8-4C99-A902-3A2FE064E38A}" name="Press time per unit (mins) - lower"/>
    <tableColumn id="21" xr3:uid="{76F3E297-BD2F-4421-8548-B6A490E30B32}" name="Press time per unit (mins) - upper"/>
    <tableColumn id="22" xr3:uid="{6FC933A8-AF13-4A26-A02B-0F9307EBDE28}" name="Oven adjusted time per unit (mins)" dataDxfId="55">
      <calculatedColumnFormula>180*((Table5[[#This Row],[Total volume (m^3)]])/($D$30))*20</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B7793D-0BDB-40CA-9D2C-979FCC37D8EA}" name="Table57" displayName="Table57" ref="B33:W44" totalsRowShown="0" headerRowCellStyle="Output 2">
  <autoFilter ref="B33:W44" xr:uid="{B2B7793D-0BDB-40CA-9D2C-979FCC37D8E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A5A069C8-903C-4F6A-ACEB-6A977C8EF7F4}" name="Part ref"/>
    <tableColumn id="2" xr3:uid="{1D03A08D-CFA3-4FF9-8386-E597AB73001F}" name="Part name"/>
    <tableColumn id="15" xr3:uid="{71A5F920-8C08-4341-A8FA-D562A875B9C6}" name="Part volume (m^3)" dataDxfId="54">
      <calculatedColumnFormula>178971.069*0.000000001</calculatedColumnFormula>
    </tableColumn>
    <tableColumn id="3" xr3:uid="{12DA44BB-8970-4D9B-8193-479616FE3EEE}" name="Quantity"/>
    <tableColumn id="16" xr3:uid="{262A8CAC-AB8A-49AF-B365-6C7F66CE9708}" name="Total volume (m^3)" dataDxfId="53">
      <calculatedColumnFormula>Table57[[#This Row],[Part volume (m^3)]]*Table57[[#This Row],[Quantity]]</calculatedColumnFormula>
    </tableColumn>
    <tableColumn id="4" xr3:uid="{9C0274F2-E27B-405D-B9B5-61132F517A8D}" name="Material"/>
    <tableColumn id="18" xr3:uid="{BC5954C2-C2BA-4983-9B78-B0D326C2AA91}" name="Material Cost per m^3">
      <calculatedColumnFormula>((0.83*((225000*0.75)+((3930+7290)/2)))+(0.17*((4890+6230)/2)))</calculatedColumnFormula>
    </tableColumn>
    <tableColumn id="19" xr3:uid="{D5977FF5-82F7-48C6-B139-CC5527C27148}" name="Material Cost" dataDxfId="52">
      <calculatedColumnFormula>Table57[[#This Row],[Material Cost per m^3]]*Table57[[#This Row],[Total volume (m^3)]]</calculatedColumnFormula>
    </tableColumn>
    <tableColumn id="13" xr3:uid="{946FFF95-CEA7-4563-A7BC-FE0217CF04F0}" name="Material GWP (kgCO2)">
      <calculatedColumnFormula>4.64*1325*Table57[[#This Row],[Total volume (m^3)]]</calculatedColumnFormula>
    </tableColumn>
    <tableColumn id="5" xr3:uid="{45074B1E-DB7D-49F8-9341-7250BD9E32A7}" name="Production method"/>
    <tableColumn id="10" xr3:uid="{BBFA5239-FC99-49B7-962C-D4CAC4EA2165}" name="Machine(s) required" dataDxfId="51"/>
    <tableColumn id="22" xr3:uid="{78310693-5D86-4FC7-B45A-FA23C031CE91}" name="Press Cost (GBP)" dataDxfId="50"/>
    <tableColumn id="9" xr3:uid="{B5DC751E-C3A4-4D39-9012-4E1E02DFAB93}" name="Oven cost (GBP)"/>
    <tableColumn id="20" xr3:uid="{C79E3094-A401-410A-A21C-0860F5ED4683}" name="Tooling cost per unit (GBP) -lower">
      <calculatedColumnFormula>(776/60000)*Table57[[#This Row],[Quantity]]</calculatedColumnFormula>
    </tableColumn>
    <tableColumn id="21" xr3:uid="{776CA9B1-73FF-493C-9BA8-500173210DA5}" name="Tooling cost per unit (GBP) -upper">
      <calculatedColumnFormula>(3100/60000)*Table57[[#This Row],[Quantity]]</calculatedColumnFormula>
    </tableColumn>
    <tableColumn id="17" xr3:uid="{1C5E5D16-1B0A-433C-A7BB-AB01FA9C29FA}" name="Manufacture GWP (kgCO2)">
      <calculatedColumnFormula>0.28*1325*Table57[[#This Row],[Total volume (m^3)]]</calculatedColumnFormula>
    </tableColumn>
    <tableColumn id="8" xr3:uid="{B7013994-283C-45F7-AE81-71A635943621}" name="Skilled labour required? Y/N"/>
    <tableColumn id="6" xr3:uid="{BEBE06EB-C0D4-4794-8611-42AC8D2820FE}" name="Labour time per unit (mins) - lower" dataDxfId="49">
      <calculatedColumnFormula>30-Table57[[#This Row],[Press time per unit (mins) - lower]]-Table57[[#This Row],[Oven adjusted time per unit (mins)]]</calculatedColumnFormula>
    </tableColumn>
    <tableColumn id="14" xr3:uid="{C028F9BE-2604-4915-A0EA-FB6FDD8CBA89}" name="Labour time per unit (mins) - upper" dataDxfId="48">
      <calculatedColumnFormula>60-Table57[[#This Row],[Press time per unit (mins) - upper]]-Table57[[#This Row],[Oven adjusted time per unit (mins)]]</calculatedColumnFormula>
    </tableColumn>
    <tableColumn id="12" xr3:uid="{80CA53B6-9491-4782-AB72-8D82284763D3}" name="Press time per unit (mins) - lower"/>
    <tableColumn id="7" xr3:uid="{E13379F5-C02F-430A-AC6C-7255BC60E3EF}" name="Press time per unit (mins) - upper"/>
    <tableColumn id="11" xr3:uid="{F4827E89-A4B2-44BF-9E54-764D2BF3B332}" name="Oven adjusted time per unit (mins)" dataDxfId="47">
      <calculatedColumnFormula>60*(Table57[[#This Row],[Total volume (m^3)]]/$D$30)*20</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4B9A712-7E6F-4AF8-9147-04CCF37CC4B1}" name="Table58" displayName="Table58" ref="B46:W55" totalsRowShown="0">
  <autoFilter ref="B46:W55" xr:uid="{D4B9A712-7E6F-4AF8-9147-04CCF37CC4B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57CAB6BD-8C82-454B-A596-9903D8C7AF4B}" name="Part ref"/>
    <tableColumn id="2" xr3:uid="{0AFBEE96-A357-4C74-A029-AC0D727772EB}" name="Part name"/>
    <tableColumn id="3" xr3:uid="{F07B585D-1689-4343-A0CD-7F418950443A}" name="Part volume (m^3)"/>
    <tableColumn id="4" xr3:uid="{6E7C3BB6-EC4C-4F95-9EE4-D634A45AA670}" name="Quantity"/>
    <tableColumn id="5" xr3:uid="{B73C5A95-AFC4-47F1-9225-10D9472C106E}" name="Total volume (m^3)" dataDxfId="46">
      <calculatedColumnFormula>Table58[[#This Row],[Part volume (m^3)]]*Table58[[#This Row],[Quantity]]</calculatedColumnFormula>
    </tableColumn>
    <tableColumn id="10" xr3:uid="{234D2DF0-FCE2-47B9-9B9F-CF48E1D66A96}" name="Material"/>
    <tableColumn id="9" xr3:uid="{ABD70DB5-9763-4DD9-AE26-9944A72D9A9E}" name="Material Cost per m^3" dataDxfId="45"/>
    <tableColumn id="8" xr3:uid="{80A26D64-5782-4F6A-B305-06C14A5E55CB}" name="Material Cost" dataDxfId="44">
      <calculatedColumnFormula>Table58[[#This Row],[Material Cost per m^3]]*Table58[[#This Row],[Total volume (m^3)]]</calculatedColumnFormula>
    </tableColumn>
    <tableColumn id="6" xr3:uid="{25AB6D05-520F-4705-A330-0A594060E58A}" name="Material GWP (kgCO2)" dataDxfId="43"/>
    <tableColumn id="7" xr3:uid="{EAC67A03-C372-49E4-B6BA-8B2071A07C44}" name="Production method"/>
    <tableColumn id="11" xr3:uid="{85D2E5B6-CE07-4AED-A7EB-161A2977212B}" name="Machine(s) required" dataDxfId="42"/>
    <tableColumn id="22" xr3:uid="{7CC0106A-4CE7-4493-96C7-D38F676242E6}" name="Press Cost (GBP)" dataDxfId="41"/>
    <tableColumn id="12" xr3:uid="{2EB1AF5E-B998-419F-90D0-92FEA7EF9CF0}" name="Oven cost (GBP)"/>
    <tableColumn id="13" xr3:uid="{A37EABF4-DE55-4691-BDD4-6BA45D147526}" name="Tooling cost per unit (GBP) -lower" dataDxfId="40">
      <calculatedColumnFormula>(776/60000)*Table58[[#This Row],[Quantity]]</calculatedColumnFormula>
    </tableColumn>
    <tableColumn id="14" xr3:uid="{12898A6C-E4C9-48AE-9D37-689FF8B419D3}" name="Tooling cost per unit (GBP) -upper" dataDxfId="39">
      <calculatedColumnFormula>(3100/60000)*Table58[[#This Row],[Quantity]]</calculatedColumnFormula>
    </tableColumn>
    <tableColumn id="15" xr3:uid="{574807AF-7022-48AF-BF2C-03C3BFC9F6E1}" name="Manufacture GWP (kgCO2)"/>
    <tableColumn id="16" xr3:uid="{4E21768F-73BB-42EE-BB2F-4509A2F07C6E}" name="Skilled labour required? Y/N"/>
    <tableColumn id="17" xr3:uid="{1122ED64-6E61-4C40-9EDB-F6FF4581BC68}" name="Labour time per unit (mins) - lower" dataDxfId="38"/>
    <tableColumn id="18" xr3:uid="{97FC4A71-C9F1-4171-B940-AE767D63C02F}" name="Labour time per unit (mins) - upper" dataDxfId="37"/>
    <tableColumn id="19" xr3:uid="{B22977B9-A6D7-4725-AA54-147B2A52F0DB}" name="Press time per unit (mins) - lower"/>
    <tableColumn id="20" xr3:uid="{9C4AB730-CF6F-4E50-B602-358F310F6A45}" name="Press time per unit (mins) - upper"/>
    <tableColumn id="21" xr3:uid="{D605BDC1-6B1C-4CB6-A398-D6345E0EA2AE}" name="Oven adjusted time per unit (mins)" dataDxfId="36">
      <calculatedColumnFormula>60*(Table58[[#This Row],[Total volume (m^3)]]/D30)</calculatedColumnFormula>
    </tableColumn>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3587446-B248-40E2-A4D7-19415E959DB7}" name="Table579" displayName="Table579" ref="B57:W71" totalsRowShown="0">
  <autoFilter ref="B57:W71" xr:uid="{B3587446-B248-40E2-A4D7-19415E959DB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E505DCFB-2AB2-43F3-8396-38EB3611E57F}" name="Part ref"/>
    <tableColumn id="2" xr3:uid="{C1FC9F06-9947-4997-A444-3E57A6ED2900}" name="Part name" dataDxfId="35"/>
    <tableColumn id="3" xr3:uid="{2F0C9B25-D83D-4A2D-88D2-5AC6D469A6CB}" name="Part volume (mm^3)" dataDxfId="34">
      <calculatedColumnFormula>Table579[[#This Row],[Part volume (m^3)]]*(10^9)</calculatedColumnFormula>
    </tableColumn>
    <tableColumn id="4" xr3:uid="{E92E3387-CCEB-4BB7-9093-C4735D95662B}" name="Part volume (m^3)" dataDxfId="33"/>
    <tableColumn id="5" xr3:uid="{C6D55B2D-3BE4-4B0E-A289-00A51A28AA29}" name="Quantity" dataDxfId="32"/>
    <tableColumn id="10" xr3:uid="{5ED49BBB-BC7A-4644-B005-0C8639FDD159}" name="Total volume (m^3)" dataDxfId="31">
      <calculatedColumnFormula>Table579[[#This Row],[Part volume (m^3)]]*Table579[[#This Row],[Quantity]]</calculatedColumnFormula>
    </tableColumn>
    <tableColumn id="9" xr3:uid="{208B8267-7FF7-4AEC-9217-2899D2101994}" name="Material" dataDxfId="30"/>
    <tableColumn id="8" xr3:uid="{7CB4D81A-3740-4CCE-B0F3-F79EA4696232}" name="Material Cost (GBP per m^3 )" dataDxfId="29"/>
    <tableColumn id="6" xr3:uid="{F84781C7-0ECB-4DCC-878C-4DA0D58BA0F2}" name="Material Cost (Total in GBP)" dataDxfId="28">
      <calculatedColumnFormula>Table579[[#This Row],[Material Cost (GBP per m^3 )]]*Table579[[#This Row],[Total volume (m^3)]]</calculatedColumnFormula>
    </tableColumn>
    <tableColumn id="7" xr3:uid="{56436E3E-D733-4DC1-AB85-E4EAB1DDAC1E}" name="Material GWP (kgCO2)" dataDxfId="27">
      <calculatedColumnFormula>2730*Table579[[#This Row],[Total volume (m^3)]]*13.3</calculatedColumnFormula>
    </tableColumn>
    <tableColumn id="11" xr3:uid="{570999C7-7DFA-4579-BB86-2A3DB003A88E}" name="Production method" dataDxfId="26"/>
    <tableColumn id="12" xr3:uid="{906DE64D-F273-4DBC-8DE0-01A5948E4DA7}" name="Machine(s) required" dataDxfId="25"/>
    <tableColumn id="13" xr3:uid="{9037B289-1EDB-4BBA-B09F-4FF792A49162}" name="Machine cost (GBP) - lower"/>
    <tableColumn id="14" xr3:uid="{2D0DB408-0296-41F3-98EF-258BC1B0F0A5}" name="Machine cost (GBP) - upper2"/>
    <tableColumn id="15" xr3:uid="{C91D6F5F-5BAB-41BE-8D12-9887BA1615E6}" name="Tooling cost per unit (GBP) - lower" dataDxfId="24"/>
    <tableColumn id="16" xr3:uid="{B79BECCE-8DA1-49E5-86DE-5EBBC0A3420E}" name="Tooling cost per unit (GBP) - upper" dataDxfId="23"/>
    <tableColumn id="17" xr3:uid="{0B6AEF6D-AFFD-4C0F-81D5-E9EE48CBABA2}" name="Manufacture GWP (kgCO2)"/>
    <tableColumn id="18" xr3:uid="{4527A0C3-45CE-4209-94CC-EFF47B7F0BA0}" name="Skilled labour required? Y/N"/>
    <tableColumn id="19" xr3:uid="{448DB589-7AB1-46D4-9FF8-4C510703FF20}" name="Labour time per unit (mins) - lower"/>
    <tableColumn id="20" xr3:uid="{0472771E-E837-487D-AF73-A8102936708F}" name="Labour time per unit (mins) - upper"/>
    <tableColumn id="21" xr3:uid="{19D73F3F-5831-4488-8AC9-260A4F21F0FA}" name="Machine time per unit - lower"/>
    <tableColumn id="22" xr3:uid="{B17F0370-D41E-41CC-9CAD-1B9776EBC967}" name="Machine time per unit - upper"/>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3C195B-6EAA-4C3C-BCB8-AFA9A29C7EFB}" name="Table572" displayName="Table572" ref="B73:Y84" totalsRowShown="0" headerRowCellStyle="Output 2">
  <autoFilter ref="B73:Y84" xr:uid="{D73C195B-6EAA-4C3C-BCB8-AFA9A29C7EFB}"/>
  <tableColumns count="24">
    <tableColumn id="1" xr3:uid="{F2D7E974-D251-471D-BF65-D25B5AC4C919}" name="Part ref"/>
    <tableColumn id="2" xr3:uid="{9DBB836B-D903-4E97-9365-4CFF95ED6949}" name="Part name"/>
    <tableColumn id="15" xr3:uid="{D43389E6-2285-4453-A526-A1297DED3023}" name="Part volume (m^3)" dataDxfId="22"/>
    <tableColumn id="3" xr3:uid="{D33647F1-DDBF-4FC7-B741-0B4653890DAC}" name="Quantity"/>
    <tableColumn id="16" xr3:uid="{2FF607AE-8DA9-4400-AC2A-32C1B945493D}" name="Total volume (m^3)" dataDxfId="21">
      <calculatedColumnFormula>Table572[[#This Row],[Part volume (m^3)]]*Table572[[#This Row],[Quantity]]</calculatedColumnFormula>
    </tableColumn>
    <tableColumn id="4" xr3:uid="{A6D3BDB9-9F12-45C6-9973-33A5B4F22672}" name="Material" dataDxfId="20"/>
    <tableColumn id="22" xr3:uid="{856BB768-C56E-4CC6-9E98-1355BCB19E6B}" name="Density kg/m^3" dataDxfId="19"/>
    <tableColumn id="18" xr3:uid="{D9F88501-E1E7-4796-BD7B-7A15214C0CB8}" name="Material Cost per m^3" dataDxfId="18"/>
    <tableColumn id="19" xr3:uid="{4922D183-C757-44A2-80A2-6027812DEEFC}" name="Material Cost" dataDxfId="17">
      <calculatedColumnFormula>Table572[[#This Row],[Part volume (m^3)]]*Table572[[#This Row],[Material Cost per m^3]]</calculatedColumnFormula>
    </tableColumn>
    <tableColumn id="13" xr3:uid="{F1FE06F3-4E9D-4CAB-B05C-0777F4391649}" name="Material GWP (kgCO2)">
      <calculatedColumnFormula>34.1*Table572[[#This Row],[Density kg/m^3]]*Table572[[#This Row],[Total volume (m^3)]]</calculatedColumnFormula>
    </tableColumn>
    <tableColumn id="5" xr3:uid="{9AA6687D-2301-497D-949F-E2C9F92A1A7A}" name="Production method"/>
    <tableColumn id="10" xr3:uid="{E6EF23E8-2999-47EB-BB7E-7EE607FEF8A5}" name="Machine(s) required" dataDxfId="16"/>
    <tableColumn id="24" xr3:uid="{C1DE889B-48DC-49F4-8984-363FF7CC9533}" name="Injection Moulding cost (GBP)" dataDxfId="15"/>
    <tableColumn id="23" xr3:uid="{88D4011D-C6DA-4038-99E7-0AA3F59FE41C}" name="Press cost (GBP)" dataDxfId="14"/>
    <tableColumn id="9" xr3:uid="{785355C2-4F42-4A22-8B2B-EFD77D470BB3}" name="Oven cost (GBP)" dataDxfId="13"/>
    <tableColumn id="20" xr3:uid="{B1B12D53-CF55-45E6-A444-BAA29AA9516E}" name="Tooling cost per unit (GBP) -lower" dataDxfId="12">
      <calculatedColumnFormula>(776/60000)*Table572[[#This Row],[Quantity]]</calculatedColumnFormula>
    </tableColumn>
    <tableColumn id="21" xr3:uid="{FC69D8E7-0453-4AF1-9E8E-A5EEB7D17539}" name="Tooling cost per unit (GBP) -upper" dataDxfId="11">
      <calculatedColumnFormula>(3100/60000)*Table572[[#This Row],[Quantity]]</calculatedColumnFormula>
    </tableColumn>
    <tableColumn id="17" xr3:uid="{475469CE-EEE5-4F33-A12F-C7455433A374}" name="Manufacture GWP (kgCO2)" dataDxfId="10">
      <calculatedColumnFormula>0.28*Table572[[#This Row],[Density kg/m^3]]*Table572[[#This Row],[Total volume (m^3)]]</calculatedColumnFormula>
    </tableColumn>
    <tableColumn id="8" xr3:uid="{2F7442E8-1BE4-4287-8BEE-3AE479F597EB}" name="Skilled labour required? Y/N"/>
    <tableColumn id="6" xr3:uid="{ED375A11-EFEE-4C2B-989B-7CA78F36792A}" name="Labour time per unit (mins) - lower" dataDxfId="9">
      <calculatedColumnFormula>30-Table572[[#This Row],[Press time per unit (mins) - lower]]-Table572[[#This Row],[Oven adjusted time per unit (mins)]]</calculatedColumnFormula>
    </tableColumn>
    <tableColumn id="14" xr3:uid="{EC637F71-5231-4428-9F96-CCB77FD4AAA9}" name="Labour time per unit (mins) - upper" dataDxfId="8">
      <calculatedColumnFormula>90-Table572[[#This Row],[Press time per unit (mins) - upper]]-Table572[[#This Row],[Oven adjusted time per unit (mins)]]</calculatedColumnFormula>
    </tableColumn>
    <tableColumn id="12" xr3:uid="{DD61A49D-6BE9-454F-B7F3-A7D410254C5B}" name="Press time per unit (mins) - lower"/>
    <tableColumn id="7" xr3:uid="{F2D022D3-2161-470A-9C89-DF5955A916FA}" name="Press time per unit (mins) - upper"/>
    <tableColumn id="11" xr3:uid="{AE71F933-FC7A-4316-A2A0-07627D97FFE6}" name="Oven adjusted time per unit (mins)" dataDxfId="7">
      <calculatedColumnFormula>60*(Table572[[#This Row],[Total volume (m^3)]]/$D$30)*20</calculatedColumnFormula>
    </tableColumn>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BE0D5A-A2D3-48AB-B05B-440E593D87E2}" name="Table3" displayName="Table3" ref="B8:G9" totalsRowShown="0" headerRowCellStyle="Output 2">
  <autoFilter ref="B8:G9" xr:uid="{D6BE0D5A-A2D3-48AB-B05B-440E593D87E2}">
    <filterColumn colId="0" hiddenButton="1"/>
    <filterColumn colId="1" hiddenButton="1"/>
    <filterColumn colId="2" hiddenButton="1"/>
    <filterColumn colId="3" hiddenButton="1"/>
    <filterColumn colId="4" hiddenButton="1"/>
    <filterColumn colId="5" hiddenButton="1"/>
  </autoFilter>
  <tableColumns count="6">
    <tableColumn id="1" xr3:uid="{C807EB78-6ABC-4A5A-8DF1-53F2851EFC4D}" name="Production rate per day">
      <calculatedColumnFormula>'Machine utilisation'!G15</calculatedColumnFormula>
    </tableColumn>
    <tableColumn id="2" xr3:uid="{AEE9FE94-D14A-43D9-BAB0-4F1BAAC412EB}" name="Raw material volume per unit (m^3)" dataDxfId="6">
      <calculatedColumnFormula>SUM('Product breakdown'!G5:G25,Table57[Total volume (m^3)],'Product breakdown'!F47:F53,'Product breakdown'!G58:G69,Table572[Total volume (m^3)])</calculatedColumnFormula>
    </tableColumn>
    <tableColumn id="3" xr3:uid="{2E2F6093-FCA9-4F50-BFCB-FE65D7C1588E}" name="Total raw material volume per day (m^3)" dataDxfId="5">
      <calculatedColumnFormula>Table3[[#This Row],[Raw material volume per unit (m^3)]]*Table3[[#This Row],[Production rate per day]]</calculatedColumnFormula>
    </tableColumn>
    <tableColumn id="4" xr3:uid="{15E14E3F-D633-4B7A-AACA-FB0EC18D1BC8}" name="Storage correction factor"/>
    <tableColumn id="5" xr3:uid="{7C92F60F-3D38-489F-8C5D-809FCF01B614}" name="Storage space required (m^3)" dataDxfId="4">
      <calculatedColumnFormula>Table3[[#This Row],[Total raw material volume per day (m^3)]]*Table3[[#This Row],[Storage correction factor]]</calculatedColumnFormula>
    </tableColumn>
    <tableColumn id="6" xr3:uid="{924FD4BA-B031-42F1-A036-A4877F36A4F7}" name="Floorspace required" dataDxfId="3">
      <calculatedColumnFormula>Table3[[#This Row],[Storage space required (m^3)]]/(0.003*10)</calculatedColumnFormula>
    </tableColumn>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36490BF-0492-4FCF-9861-45F50C4D40D8}" name="Table18" displayName="Table18" ref="B15:H16" totalsRowShown="0" headerRowCellStyle="Output 2">
  <autoFilter ref="B15:H16" xr:uid="{D36490BF-0492-4FCF-9861-45F50C4D40D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B604B01-4118-4A50-AA63-1E8669921BC9}" name="Production rate per day" dataDxfId="2">
      <calculatedColumnFormula array="1">Table3[Production rate per day]</calculatedColumnFormula>
    </tableColumn>
    <tableColumn id="3" xr3:uid="{AF3119AE-9F06-4544-A276-4D7AA376E0BF}" name="Packaged Width (m)"/>
    <tableColumn id="4" xr3:uid="{20278233-8679-4C1D-9212-56946FA70DEA}" name="Packaged Length (m)"/>
    <tableColumn id="5" xr3:uid="{B23A23DB-B284-4461-904D-5DF82783111C}" name="Final product packaged area per unit (m^2)">
      <calculatedColumnFormula>Table18[[#This Row],[Packaged Width (m)]]*Table18[[#This Row],[Packaged Length (m)]]</calculatedColumnFormula>
    </tableColumn>
    <tableColumn id="8" xr3:uid="{115D2CFF-62CF-4AE5-8106-6AFF9EA5F8A8}" name="Final product packaged volume per day (m^3)" dataDxfId="1">
      <calculatedColumnFormula>Table18[[#This Row],[Final product packaged area per unit (m^2)]]*Table18[[#This Row],[Production rate per day]]</calculatedColumnFormula>
    </tableColumn>
    <tableColumn id="6" xr3:uid="{BE397AA7-1CC5-4683-AC6C-43C0C20361C9}" name="Storage space correction factor"/>
    <tableColumn id="7" xr3:uid="{0926A8A5-40C8-4DE0-AA9A-026EEEC08E25}" name="Floorspace required (m^2)" dataDxfId="0">
      <calculatedColumnFormula>Table18[[#This Row],[Final product packaged volume per day (m^3)]]*Table18[[#This Row],[Storage space correction factor]]</calculatedColumnFormula>
    </tableColumn>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7F14F3EA-97AC-4811-B08B-47EA34DD0DC4}" name="Table19" displayName="Table19" ref="B23:J24" totalsRowShown="0" headerRowCellStyle="Output 2">
  <autoFilter ref="B23:J24" xr:uid="{7F14F3EA-97AC-4811-B08B-47EA34DD0DC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C3C1CE42-2679-4AF8-8B26-F121F8705050}" name="Production rate per day"/>
    <tableColumn id="2" xr3:uid="{E13DFE2A-3ED3-435D-9917-4032BA7ABDAB}" name="Material"/>
    <tableColumn id="3" xr3:uid="{F1B53F06-258D-4DE6-985C-85E62A16C1B7}" name="Material volume per unit (m^3)"/>
    <tableColumn id="4" xr3:uid="{594AF904-66EA-4EE9-B0FF-38EC8FBA8E81}" name="Material volume per day (m^3)"/>
    <tableColumn id="9" xr3:uid="{0F1017A4-C6D4-4E50-8903-9D48D902488B}" name="Material mass per day (kg)"/>
    <tableColumn id="5" xr3:uid="{0F713BB3-7AAF-4A28-9DE7-83FA57481F7D}" name="Haulage rate (£/m^3)"/>
    <tableColumn id="6" xr3:uid="{00E106B0-C7F0-46AE-9EBC-BCD99D4A1412}" name="Shipping rate (£/m^3)"/>
    <tableColumn id="7" xr3:uid="{668E25D1-DAA1-4928-9058-700ADA68316C}" name="Delivery Costs - lower (£)"/>
    <tableColumn id="8" xr3:uid="{B3F41083-67CA-41DF-B6C6-6C2970CCBA5C}" name="Delivery Costs - upper (£)"/>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thermaticenergy.co.uk/business-energy-costs/"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vmlDrawing" Target="../drawings/vmlDrawing2.vml"/><Relationship Id="rId7"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hyperlink" Target="https://www.statista.com/statistics/428958/global-and-us-production-volume-forecast-for-unmanned-aerial-systems-or-drones/" TargetMode="Externa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2" Type="http://schemas.openxmlformats.org/officeDocument/2006/relationships/hyperlink" Target="https://candrone.com/collections/lidar-drone/products/liair-x3-greenvalley-international" TargetMode="External"/><Relationship Id="rId1" Type="http://schemas.openxmlformats.org/officeDocument/2006/relationships/hyperlink" Target="https://dronedj.com/2021/06/28/iris-automations-detect-and-avoid-a-closer-look/"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10.xml"/><Relationship Id="rId7" Type="http://schemas.openxmlformats.org/officeDocument/2006/relationships/comments" Target="../comments3.xml"/><Relationship Id="rId2" Type="http://schemas.openxmlformats.org/officeDocument/2006/relationships/table" Target="../tables/table9.xml"/><Relationship Id="rId1" Type="http://schemas.openxmlformats.org/officeDocument/2006/relationships/vmlDrawing" Target="../drawings/vmlDrawing3.vml"/><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3" Type="http://schemas.openxmlformats.org/officeDocument/2006/relationships/hyperlink" Target="https://www.industrial-equipment.co.uk/online-tools-store/r095-3534-heavy-duty-pillar-drill-info.html" TargetMode="External"/><Relationship Id="rId2" Type="http://schemas.openxmlformats.org/officeDocument/2006/relationships/hyperlink" Target="https://www.chesterhobbystore.com/shop/metalworking-machines/mills/626-turret-mill/" TargetMode="External"/><Relationship Id="rId1" Type="http://schemas.openxmlformats.org/officeDocument/2006/relationships/hyperlink" Target="https://www.amarc.com/en/prodotti/industrial-ovens-drying-ovens/" TargetMode="External"/><Relationship Id="rId6" Type="http://schemas.openxmlformats.org/officeDocument/2006/relationships/hyperlink" Target="https://www.boy.ltd.uk/files/documents/Space%20Dimensions/Raumbedarf_BOY25E.pdf" TargetMode="External"/><Relationship Id="rId5" Type="http://schemas.openxmlformats.org/officeDocument/2006/relationships/hyperlink" Target="https://newhesta.de/en/portfolio-items/hv200e/" TargetMode="External"/><Relationship Id="rId4" Type="http://schemas.openxmlformats.org/officeDocument/2006/relationships/hyperlink" Target="https://www.angele-shop.com/shop/en/hydraulic-forging-press-an-y04-50t" TargetMode="External"/></Relationships>
</file>

<file path=xl/worksheets/_rels/sheet14.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forrestbrown.co.uk/rd-tax-credits-explained/r-d-tax-credit-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616A9-977F-4A47-B250-9CCA95787833}">
  <dimension ref="B2:L8"/>
  <sheetViews>
    <sheetView zoomScale="80" zoomScaleNormal="80" workbookViewId="0">
      <selection activeCell="L8" sqref="L8"/>
    </sheetView>
  </sheetViews>
  <sheetFormatPr defaultRowHeight="14.4" x14ac:dyDescent="0.3"/>
  <cols>
    <col min="2" max="2" width="18.33203125" bestFit="1" customWidth="1"/>
    <col min="3" max="4" width="9.6640625" bestFit="1" customWidth="1"/>
    <col min="5" max="7" width="10" bestFit="1" customWidth="1"/>
    <col min="8" max="8" width="11.33203125" customWidth="1"/>
    <col min="9" max="9" width="10" bestFit="1" customWidth="1"/>
    <col min="10" max="12" width="11" bestFit="1" customWidth="1"/>
  </cols>
  <sheetData>
    <row r="2" spans="2:12" x14ac:dyDescent="0.3">
      <c r="B2" s="2" t="s">
        <v>2</v>
      </c>
      <c r="C2" t="s">
        <v>3</v>
      </c>
    </row>
    <row r="4" spans="2:12" x14ac:dyDescent="0.3">
      <c r="H4" t="s">
        <v>4</v>
      </c>
    </row>
    <row r="5" spans="2:12" x14ac:dyDescent="0.3">
      <c r="C5" t="s">
        <v>5</v>
      </c>
      <c r="D5" t="s">
        <v>6</v>
      </c>
      <c r="E5" t="s">
        <v>7</v>
      </c>
      <c r="F5" t="s">
        <v>8</v>
      </c>
      <c r="G5" t="s">
        <v>9</v>
      </c>
      <c r="H5" t="s">
        <v>10</v>
      </c>
      <c r="I5" t="s">
        <v>11</v>
      </c>
      <c r="J5" t="s">
        <v>12</v>
      </c>
      <c r="K5" t="s">
        <v>13</v>
      </c>
      <c r="L5" t="s">
        <v>14</v>
      </c>
    </row>
    <row r="6" spans="2:12" x14ac:dyDescent="0.3">
      <c r="B6" t="s">
        <v>15</v>
      </c>
      <c r="C6" s="34">
        <f>SUM(ProfitLoss!D15,ProfitLoss!D23,ProfitLoss!D31)</f>
        <v>11054853.961723594</v>
      </c>
      <c r="D6" s="34">
        <f>SUM(ProfitLoss!G15,ProfitLoss!G23,ProfitLoss!G31,C6)</f>
        <v>47708288.008411556</v>
      </c>
      <c r="E6" s="34">
        <f>SUM(ProfitLoss!J15,ProfitLoss!F23,ProfitLoss!F31,D6)</f>
        <v>89199528.133930564</v>
      </c>
      <c r="F6" s="34">
        <f>SUM(ProfitLoss!M15,ProfitLoss!M23,ProfitLoss!M31,E6)</f>
        <v>201097994.19393826</v>
      </c>
      <c r="G6" s="34">
        <f>SUM(ProfitLoss!$P$15,ProfitLoss!$P$23,ProfitLoss!$P$31,F6)</f>
        <v>266640412.25462556</v>
      </c>
      <c r="H6" s="34">
        <f>SUM(ProfitLoss!$P$15,ProfitLoss!$P$23,ProfitLoss!$P$31,G6)</f>
        <v>332182830.31531286</v>
      </c>
      <c r="I6" s="34">
        <f>SUM(ProfitLoss!$P$15,ProfitLoss!$P$23,ProfitLoss!$P$31,H6)</f>
        <v>397725248.37600017</v>
      </c>
      <c r="J6" s="34">
        <f>SUM(ProfitLoss!$P$15,ProfitLoss!$P$23,ProfitLoss!$P$31,I6)</f>
        <v>463267666.43668747</v>
      </c>
      <c r="K6" s="34">
        <f>SUM(ProfitLoss!$P$15,ProfitLoss!$P$23,ProfitLoss!$P$31,J6)</f>
        <v>528810084.49737477</v>
      </c>
      <c r="L6" s="34">
        <f>SUM(ProfitLoss!$P$15,ProfitLoss!$P$23,ProfitLoss!$P$31,K6)</f>
        <v>594352502.55806208</v>
      </c>
    </row>
    <row r="7" spans="2:12" x14ac:dyDescent="0.3">
      <c r="B7" t="s">
        <v>16</v>
      </c>
      <c r="C7" s="34">
        <f>SUM(ProfitLoss!D8)</f>
        <v>0</v>
      </c>
      <c r="D7" s="34">
        <f>SUM(ProfitLoss!G8,C7)</f>
        <v>16733226.448332131</v>
      </c>
      <c r="E7" s="34">
        <f>SUM(ProfitLoss!J8,D7)</f>
        <v>66932905.793328524</v>
      </c>
      <c r="F7" s="34">
        <f>SUM(ProfitLoss!M8,E7)</f>
        <v>167332264.48332131</v>
      </c>
      <c r="G7" s="34">
        <f>SUM(ProfitLoss!$P$8,F7)</f>
        <v>267731623.17331409</v>
      </c>
      <c r="H7" s="34">
        <f>SUM(ProfitLoss!$P$8,G7)</f>
        <v>368130981.86330688</v>
      </c>
      <c r="I7" s="34">
        <f>SUM(ProfitLoss!$P$8,H7)</f>
        <v>468530340.55329967</v>
      </c>
      <c r="J7" s="34">
        <f>SUM(ProfitLoss!$P$8,I7)</f>
        <v>568929699.24329245</v>
      </c>
      <c r="K7" s="34">
        <f>SUM(ProfitLoss!$P$8,J7)</f>
        <v>669329057.93328524</v>
      </c>
      <c r="L7" s="34">
        <f>SUM(ProfitLoss!$P$8,K7)</f>
        <v>769728416.62327802</v>
      </c>
    </row>
    <row r="8" spans="2:12" x14ac:dyDescent="0.3">
      <c r="B8" t="s">
        <v>17</v>
      </c>
      <c r="C8" s="34">
        <f>ProfitLoss!D33</f>
        <v>-7309000.8583135325</v>
      </c>
      <c r="D8" s="34">
        <f>ProfitLoss!G33+C8</f>
        <v>-16906298.858141184</v>
      </c>
      <c r="E8" s="34">
        <f>ProfitLoss!J33+D8</f>
        <v>-29070680.22352951</v>
      </c>
      <c r="F8" s="34">
        <f>ProfitLoss!M33+E8</f>
        <v>-23878718.903819039</v>
      </c>
      <c r="G8" s="34">
        <f>ProfitLoss!$P$33+F8</f>
        <v>-2998400.4302955158</v>
      </c>
      <c r="H8" s="34">
        <f>ProfitLoss!$P$33+G8</f>
        <v>17881918.043228008</v>
      </c>
      <c r="I8" s="34">
        <f>ProfitLoss!$P$33+H8</f>
        <v>38762236.516751528</v>
      </c>
      <c r="J8" s="34">
        <f>ProfitLoss!$P$33+I8</f>
        <v>59642554.990275055</v>
      </c>
      <c r="K8" s="34">
        <f>ProfitLoss!$P$33+J8</f>
        <v>80522873.463798583</v>
      </c>
      <c r="L8" s="34">
        <f>ProfitLoss!$P$33+K8</f>
        <v>101403191.93732211</v>
      </c>
    </row>
  </sheetData>
  <phoneticPr fontId="2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52637-F736-443D-9AFD-42FDD6CB4BF6}">
  <dimension ref="B2:Q34"/>
  <sheetViews>
    <sheetView topLeftCell="A4" zoomScale="80" zoomScaleNormal="80" workbookViewId="0">
      <selection activeCell="G14" sqref="G14"/>
    </sheetView>
  </sheetViews>
  <sheetFormatPr defaultRowHeight="14.4" x14ac:dyDescent="0.3"/>
  <cols>
    <col min="2" max="2" width="27.88671875" bestFit="1" customWidth="1"/>
    <col min="3" max="3" width="11.109375" bestFit="1" customWidth="1"/>
    <col min="4" max="5" width="10.33203125" bestFit="1" customWidth="1"/>
    <col min="6" max="6" width="10.109375" bestFit="1" customWidth="1"/>
    <col min="7" max="8" width="10.33203125" bestFit="1" customWidth="1"/>
    <col min="9" max="9" width="11.5546875" bestFit="1" customWidth="1"/>
    <col min="10" max="10" width="10.33203125" bestFit="1" customWidth="1"/>
    <col min="11" max="17" width="10.5546875" bestFit="1" customWidth="1"/>
  </cols>
  <sheetData>
    <row r="2" spans="2:17" x14ac:dyDescent="0.3">
      <c r="B2" s="2" t="s">
        <v>18</v>
      </c>
    </row>
    <row r="4" spans="2:17" x14ac:dyDescent="0.3">
      <c r="C4" s="161" t="s">
        <v>19</v>
      </c>
      <c r="D4" s="161"/>
      <c r="E4" s="161"/>
      <c r="F4" s="161" t="s">
        <v>20</v>
      </c>
      <c r="G4" s="161"/>
      <c r="H4" s="161"/>
      <c r="I4" s="161" t="s">
        <v>21</v>
      </c>
      <c r="J4" s="161"/>
      <c r="K4" s="161"/>
      <c r="L4" s="161" t="s">
        <v>22</v>
      </c>
      <c r="M4" s="161"/>
      <c r="N4" s="161"/>
      <c r="O4" s="161" t="s">
        <v>23</v>
      </c>
      <c r="P4" s="161"/>
      <c r="Q4" s="161"/>
    </row>
    <row r="5" spans="2:17" x14ac:dyDescent="0.3">
      <c r="C5" s="52" t="s">
        <v>24</v>
      </c>
      <c r="D5" s="52" t="s">
        <v>25</v>
      </c>
      <c r="E5" s="79" t="s">
        <v>26</v>
      </c>
      <c r="F5" s="78" t="s">
        <v>24</v>
      </c>
      <c r="G5" s="52" t="s">
        <v>25</v>
      </c>
      <c r="H5" s="79" t="s">
        <v>26</v>
      </c>
      <c r="I5" s="78" t="s">
        <v>24</v>
      </c>
      <c r="J5" s="52" t="s">
        <v>25</v>
      </c>
      <c r="K5" s="79" t="s">
        <v>26</v>
      </c>
      <c r="L5" s="78" t="s">
        <v>24</v>
      </c>
      <c r="M5" s="52" t="s">
        <v>25</v>
      </c>
      <c r="N5" s="79" t="s">
        <v>26</v>
      </c>
      <c r="O5" s="78" t="s">
        <v>24</v>
      </c>
      <c r="P5" s="52" t="s">
        <v>25</v>
      </c>
      <c r="Q5" s="79" t="s">
        <v>26</v>
      </c>
    </row>
    <row r="6" spans="2:17" x14ac:dyDescent="0.3">
      <c r="B6" s="2" t="s">
        <v>27</v>
      </c>
      <c r="C6" s="34"/>
      <c r="D6" s="34"/>
      <c r="E6" s="80"/>
      <c r="F6" s="34"/>
      <c r="G6" s="34"/>
      <c r="H6" s="80"/>
      <c r="I6" s="34"/>
      <c r="J6" s="34"/>
      <c r="K6" s="80"/>
      <c r="L6" s="34"/>
      <c r="M6" s="34"/>
      <c r="N6" s="80"/>
      <c r="O6" s="34"/>
      <c r="P6" s="34"/>
      <c r="Q6" s="80"/>
    </row>
    <row r="7" spans="2:17" x14ac:dyDescent="0.3">
      <c r="B7" t="s">
        <v>28</v>
      </c>
      <c r="C7" s="34">
        <f>Income!$H$5</f>
        <v>0</v>
      </c>
      <c r="D7" s="34">
        <f>Income!$H$5</f>
        <v>0</v>
      </c>
      <c r="E7" s="80">
        <f>Income!$H$5</f>
        <v>0</v>
      </c>
      <c r="F7" s="34">
        <f>Income!$H$6</f>
        <v>16733226.448332131</v>
      </c>
      <c r="G7" s="34">
        <f>Income!$H$6</f>
        <v>16733226.448332131</v>
      </c>
      <c r="H7" s="80">
        <f>Income!$H$6</f>
        <v>16733226.448332131</v>
      </c>
      <c r="I7" s="34">
        <f>Income!$H$7</f>
        <v>50199679.344996393</v>
      </c>
      <c r="J7" s="34">
        <f>Income!$H$7</f>
        <v>50199679.344996393</v>
      </c>
      <c r="K7" s="80">
        <f>Income!$H$7</f>
        <v>50199679.344996393</v>
      </c>
      <c r="L7" s="34">
        <f>Income!$H$8</f>
        <v>100399358.68999279</v>
      </c>
      <c r="M7" s="34">
        <f>Income!$H$8</f>
        <v>100399358.68999279</v>
      </c>
      <c r="N7" s="80">
        <f>Income!$H$8</f>
        <v>100399358.68999279</v>
      </c>
      <c r="O7" s="34">
        <f>Income!$H$9</f>
        <v>100399358.68999279</v>
      </c>
      <c r="P7" s="34">
        <f>Income!$H$9</f>
        <v>100399358.68999279</v>
      </c>
      <c r="Q7" s="80">
        <f>Income!$H$9</f>
        <v>100399358.68999279</v>
      </c>
    </row>
    <row r="8" spans="2:17" ht="15" thickBot="1" x14ac:dyDescent="0.35">
      <c r="B8" t="s">
        <v>29</v>
      </c>
      <c r="C8" s="85">
        <f>C7</f>
        <v>0</v>
      </c>
      <c r="D8" s="81">
        <f t="shared" ref="D8:Q8" si="0">D7</f>
        <v>0</v>
      </c>
      <c r="E8" s="82">
        <f t="shared" si="0"/>
        <v>0</v>
      </c>
      <c r="F8" s="81">
        <f t="shared" si="0"/>
        <v>16733226.448332131</v>
      </c>
      <c r="G8" s="81">
        <f t="shared" si="0"/>
        <v>16733226.448332131</v>
      </c>
      <c r="H8" s="82">
        <f t="shared" si="0"/>
        <v>16733226.448332131</v>
      </c>
      <c r="I8" s="81">
        <f t="shared" si="0"/>
        <v>50199679.344996393</v>
      </c>
      <c r="J8" s="81">
        <f t="shared" si="0"/>
        <v>50199679.344996393</v>
      </c>
      <c r="K8" s="82">
        <f t="shared" si="0"/>
        <v>50199679.344996393</v>
      </c>
      <c r="L8" s="81">
        <f t="shared" si="0"/>
        <v>100399358.68999279</v>
      </c>
      <c r="M8" s="81">
        <f t="shared" si="0"/>
        <v>100399358.68999279</v>
      </c>
      <c r="N8" s="82">
        <f t="shared" si="0"/>
        <v>100399358.68999279</v>
      </c>
      <c r="O8" s="81">
        <f t="shared" si="0"/>
        <v>100399358.68999279</v>
      </c>
      <c r="P8" s="81">
        <f t="shared" si="0"/>
        <v>100399358.68999279</v>
      </c>
      <c r="Q8" s="82">
        <f t="shared" si="0"/>
        <v>100399358.68999279</v>
      </c>
    </row>
    <row r="9" spans="2:17" x14ac:dyDescent="0.3">
      <c r="C9" s="34"/>
      <c r="D9" s="34"/>
      <c r="E9" s="80"/>
      <c r="F9" s="34"/>
      <c r="G9" s="34"/>
      <c r="H9" s="80"/>
      <c r="I9" s="34"/>
      <c r="J9" s="34"/>
      <c r="K9" s="80"/>
      <c r="L9" s="34"/>
      <c r="M9" s="34"/>
      <c r="N9" s="80"/>
      <c r="O9" s="34"/>
      <c r="P9" s="34"/>
      <c r="Q9" s="80"/>
    </row>
    <row r="10" spans="2:17" x14ac:dyDescent="0.3">
      <c r="B10" s="2" t="s">
        <v>30</v>
      </c>
      <c r="C10" s="34"/>
      <c r="D10" s="34"/>
      <c r="E10" s="80"/>
      <c r="F10" s="34"/>
      <c r="G10" s="34"/>
      <c r="H10" s="80"/>
      <c r="I10" s="34"/>
      <c r="J10" s="34"/>
      <c r="K10" s="80"/>
      <c r="L10" s="34"/>
      <c r="M10" s="34"/>
      <c r="N10" s="80"/>
      <c r="O10" s="34"/>
      <c r="P10" s="34"/>
      <c r="Q10" s="80"/>
    </row>
    <row r="11" spans="2:17" x14ac:dyDescent="0.3">
      <c r="B11" t="s">
        <v>31</v>
      </c>
      <c r="C11" s="34" t="s">
        <v>197</v>
      </c>
      <c r="D11" s="34">
        <f>Manufacture!$C$20*'Machine utilisation'!C14</f>
        <v>0</v>
      </c>
      <c r="E11" s="80" t="s">
        <v>197</v>
      </c>
      <c r="F11" s="34" t="s">
        <v>197</v>
      </c>
      <c r="G11" s="34">
        <f>Manufacture!$C$20*'Machine utilisation'!D14</f>
        <v>668268.85013241204</v>
      </c>
      <c r="H11" s="80" t="s">
        <v>197</v>
      </c>
      <c r="I11" s="34" t="s">
        <v>197</v>
      </c>
      <c r="J11" s="34">
        <f>Manufacture!$C$20*'Machine utilisation'!E14</f>
        <v>2004806.5503972361</v>
      </c>
      <c r="K11" s="80" t="s">
        <v>197</v>
      </c>
      <c r="L11" s="34" t="s">
        <v>197</v>
      </c>
      <c r="M11" s="34">
        <f>Manufacture!$C$20*'Machine utilisation'!F14</f>
        <v>4009613.1007944723</v>
      </c>
      <c r="N11" s="80" t="s">
        <v>197</v>
      </c>
      <c r="O11" s="34" t="s">
        <v>197</v>
      </c>
      <c r="P11" s="34">
        <f>Manufacture!$C$20*'Machine utilisation'!G14</f>
        <v>4009613.1007944723</v>
      </c>
      <c r="Q11" s="80" t="s">
        <v>197</v>
      </c>
    </row>
    <row r="12" spans="2:17" x14ac:dyDescent="0.3">
      <c r="B12" t="s">
        <v>32</v>
      </c>
      <c r="C12" s="34">
        <f>Manufacture!B41*'Machine utilisation'!$C$14</f>
        <v>0</v>
      </c>
      <c r="D12" s="34">
        <f>Manufacture!C41*'Machine utilisation'!$C$14</f>
        <v>0</v>
      </c>
      <c r="E12" s="80">
        <f>Manufacture!D41*'Machine utilisation'!$C$14</f>
        <v>0</v>
      </c>
      <c r="F12" s="34">
        <f>Manufacture!B41*'Machine utilisation'!$D$14</f>
        <v>2847.6266666666656</v>
      </c>
      <c r="G12" s="34">
        <f>Manufacture!C41*'Machine utilisation'!$D$14</f>
        <v>28952.980000000007</v>
      </c>
      <c r="H12" s="80">
        <f>Manufacture!D41*'Machine utilisation'!$D$14</f>
        <v>55058.33333333335</v>
      </c>
      <c r="I12" s="34">
        <f>Manufacture!B41*'Machine utilisation'!$E$14</f>
        <v>8542.8799999999974</v>
      </c>
      <c r="J12" s="34">
        <f>Manufacture!C41*'Machine utilisation'!$E$14</f>
        <v>86858.940000000017</v>
      </c>
      <c r="K12" s="80">
        <f>Manufacture!D41*'Machine utilisation'!$E$14</f>
        <v>165175.00000000006</v>
      </c>
      <c r="L12" s="34">
        <f>Manufacture!B41*'Machine utilisation'!$F$14</f>
        <v>17085.759999999995</v>
      </c>
      <c r="M12" s="34">
        <f>Manufacture!C41*'Machine utilisation'!$F$14</f>
        <v>173717.88000000003</v>
      </c>
      <c r="N12" s="80">
        <f>Manufacture!D41*'Machine utilisation'!$F$14</f>
        <v>330350.00000000012</v>
      </c>
      <c r="O12" s="34">
        <f>Manufacture!B41*'Machine utilisation'!$G$14</f>
        <v>17085.759999999995</v>
      </c>
      <c r="P12" s="34">
        <f>Manufacture!C41*'Machine utilisation'!$G$14</f>
        <v>173717.88000000003</v>
      </c>
      <c r="Q12" s="80">
        <f>Manufacture!D41*'Machine utilisation'!$G$14</f>
        <v>330350.00000000012</v>
      </c>
    </row>
    <row r="13" spans="2:17" x14ac:dyDescent="0.3">
      <c r="B13" t="s">
        <v>33</v>
      </c>
      <c r="C13" s="34" t="s">
        <v>197</v>
      </c>
      <c r="D13" s="34">
        <f>Manufacture!$D$65*'Machine utilisation'!C14</f>
        <v>0</v>
      </c>
      <c r="E13" s="80" t="s">
        <v>197</v>
      </c>
      <c r="F13" s="34" t="s">
        <v>197</v>
      </c>
      <c r="G13" s="34">
        <f>Manufacture!$D$65*'Machine utilisation'!D14</f>
        <v>8841484.8000000007</v>
      </c>
      <c r="H13" s="80" t="s">
        <v>197</v>
      </c>
      <c r="I13" s="34" t="s">
        <v>197</v>
      </c>
      <c r="J13" s="34">
        <f>Manufacture!$D$65*'Machine utilisation'!E14</f>
        <v>26524454.399999999</v>
      </c>
      <c r="K13" s="80" t="s">
        <v>197</v>
      </c>
      <c r="L13" s="34" t="s">
        <v>197</v>
      </c>
      <c r="M13" s="34">
        <f>Manufacture!$D$65*'Machine utilisation'!F14</f>
        <v>53048908.799999997</v>
      </c>
      <c r="N13" s="80" t="s">
        <v>197</v>
      </c>
      <c r="O13" s="34" t="s">
        <v>197</v>
      </c>
      <c r="P13" s="34">
        <f>Manufacture!$D$65*'Machine utilisation'!G14</f>
        <v>53048908.799999997</v>
      </c>
      <c r="Q13" s="80" t="s">
        <v>197</v>
      </c>
    </row>
    <row r="14" spans="2:17" x14ac:dyDescent="0.3">
      <c r="B14" t="s">
        <v>34</v>
      </c>
      <c r="C14" s="34" t="s">
        <v>197</v>
      </c>
      <c r="D14" s="34">
        <f>Manufacture!$H$54*'Machine utilisation'!C14</f>
        <v>0</v>
      </c>
      <c r="E14" s="80" t="s">
        <v>197</v>
      </c>
      <c r="F14" s="34" t="s">
        <v>197</v>
      </c>
      <c r="G14" s="34">
        <f>Manufacture!$H$54*'Machine utilisation'!D14</f>
        <v>2542682.8655633857</v>
      </c>
      <c r="H14" s="80" t="s">
        <v>197</v>
      </c>
      <c r="I14" s="34" t="s">
        <v>197</v>
      </c>
      <c r="J14" s="34">
        <f>Manufacture!$H$54*'Machine utilisation'!E14</f>
        <v>7628048.5966901574</v>
      </c>
      <c r="K14" s="80" t="s">
        <v>197</v>
      </c>
      <c r="L14" s="34" t="s">
        <v>197</v>
      </c>
      <c r="M14" s="34">
        <f>Manufacture!$H$54*'Machine utilisation'!F14</f>
        <v>15256097.193380315</v>
      </c>
      <c r="N14" s="80" t="s">
        <v>197</v>
      </c>
      <c r="O14" s="34" t="s">
        <v>197</v>
      </c>
      <c r="P14" s="34">
        <f>Manufacture!$H$54*'Machine utilisation'!G14</f>
        <v>15256097.193380315</v>
      </c>
      <c r="Q14" s="80" t="s">
        <v>197</v>
      </c>
    </row>
    <row r="15" spans="2:17" ht="15" thickBot="1" x14ac:dyDescent="0.35">
      <c r="B15" t="s">
        <v>35</v>
      </c>
      <c r="C15" s="81">
        <f>SUM(C11:C14)</f>
        <v>0</v>
      </c>
      <c r="D15" s="81">
        <f>SUM(D11:D14)</f>
        <v>0</v>
      </c>
      <c r="E15" s="82">
        <f>SUM(E11:E14)</f>
        <v>0</v>
      </c>
      <c r="F15" s="81">
        <f>SUM(F11:F14)+G11+G13+G14</f>
        <v>12055284.142362464</v>
      </c>
      <c r="G15" s="81">
        <f>SUM(G11:G14)</f>
        <v>12081389.495695798</v>
      </c>
      <c r="H15" s="82">
        <f>SUM(H11:H14)+G11+G13+G14</f>
        <v>12107494.849029131</v>
      </c>
      <c r="I15" s="81">
        <f t="shared" ref="I15" si="1">SUM(I11:I14)+J11+J13+J14</f>
        <v>36165852.427087389</v>
      </c>
      <c r="J15" s="81">
        <f t="shared" ref="J15" si="2">SUM(J11:J14)</f>
        <v>36244168.487087391</v>
      </c>
      <c r="K15" s="82">
        <f t="shared" ref="K15" si="3">SUM(K11:K14)+J11+J13+J14</f>
        <v>36322484.547087394</v>
      </c>
      <c r="L15" s="81">
        <f t="shared" ref="L15" si="4">SUM(L11:L14)+M11+M13+M14</f>
        <v>72331704.854174778</v>
      </c>
      <c r="M15" s="81">
        <f t="shared" ref="M15" si="5">SUM(M11:M14)</f>
        <v>72488336.974174783</v>
      </c>
      <c r="N15" s="82">
        <f t="shared" ref="N15" si="6">SUM(N11:N14)+M11+M13+M14</f>
        <v>72644969.094174787</v>
      </c>
      <c r="O15" s="81">
        <f t="shared" ref="O15" si="7">SUM(O11:O14)+P11+P13+P14</f>
        <v>72331704.854174778</v>
      </c>
      <c r="P15" s="81">
        <f t="shared" ref="P15" si="8">SUM(P11:P14)</f>
        <v>72488336.974174783</v>
      </c>
      <c r="Q15" s="82">
        <f t="shared" ref="Q15" si="9">SUM(Q11:Q14)+P11+P13+P14</f>
        <v>72644969.094174787</v>
      </c>
    </row>
    <row r="16" spans="2:17" x14ac:dyDescent="0.3">
      <c r="C16" s="34"/>
      <c r="D16" s="34"/>
      <c r="E16" s="80"/>
      <c r="F16" s="34"/>
      <c r="G16" s="34"/>
      <c r="H16" s="80"/>
      <c r="I16" s="34"/>
      <c r="J16" s="34"/>
      <c r="K16" s="80"/>
      <c r="L16" s="34"/>
      <c r="M16" s="34"/>
      <c r="N16" s="80"/>
      <c r="O16" s="34"/>
      <c r="P16" s="34"/>
      <c r="Q16" s="80"/>
    </row>
    <row r="17" spans="2:17" ht="15" thickBot="1" x14ac:dyDescent="0.35">
      <c r="B17" s="2" t="s">
        <v>36</v>
      </c>
      <c r="C17" s="86">
        <f>C8-C15</f>
        <v>0</v>
      </c>
      <c r="D17" s="83">
        <f>D8-D15</f>
        <v>0</v>
      </c>
      <c r="E17" s="84">
        <f>E8-E15</f>
        <v>0</v>
      </c>
      <c r="F17" s="83">
        <f>F8-H15</f>
        <v>4625731.5993029997</v>
      </c>
      <c r="G17" s="83">
        <f>G8-G15</f>
        <v>4651836.9526363332</v>
      </c>
      <c r="H17" s="84">
        <f>H8-F15</f>
        <v>4677942.3059696667</v>
      </c>
      <c r="I17" s="83">
        <f t="shared" ref="I17" si="10">I8-K15</f>
        <v>13877194.797908999</v>
      </c>
      <c r="J17" s="83">
        <f t="shared" ref="J17" si="11">J8-J15</f>
        <v>13955510.857909001</v>
      </c>
      <c r="K17" s="84">
        <f t="shared" ref="K17" si="12">K8-I15</f>
        <v>14033826.917909004</v>
      </c>
      <c r="L17" s="83">
        <f t="shared" ref="L17" si="13">L8-N15</f>
        <v>27754389.595817998</v>
      </c>
      <c r="M17" s="83">
        <f t="shared" ref="M17" si="14">M8-M15</f>
        <v>27911021.715818003</v>
      </c>
      <c r="N17" s="84">
        <f t="shared" ref="N17" si="15">N8-L15</f>
        <v>28067653.835818008</v>
      </c>
      <c r="O17" s="83">
        <f t="shared" ref="O17" si="16">O8-Q15</f>
        <v>27754389.595817998</v>
      </c>
      <c r="P17" s="83">
        <f t="shared" ref="P17" si="17">P8-P15</f>
        <v>27911021.715818003</v>
      </c>
      <c r="Q17" s="84">
        <f t="shared" ref="Q17" si="18">Q8-O15</f>
        <v>28067653.835818008</v>
      </c>
    </row>
    <row r="18" spans="2:17" ht="15" thickTop="1" x14ac:dyDescent="0.3">
      <c r="C18" s="34"/>
      <c r="D18" s="34"/>
      <c r="E18" s="80"/>
      <c r="F18" s="34"/>
      <c r="G18" s="34"/>
      <c r="H18" s="80"/>
      <c r="I18" s="34"/>
      <c r="J18" s="34"/>
      <c r="K18" s="80"/>
      <c r="L18" s="34"/>
      <c r="M18" s="34"/>
      <c r="N18" s="80"/>
      <c r="O18" s="34"/>
      <c r="P18" s="34"/>
      <c r="Q18" s="80"/>
    </row>
    <row r="19" spans="2:17" x14ac:dyDescent="0.3">
      <c r="B19" s="2" t="s">
        <v>37</v>
      </c>
      <c r="C19" s="34"/>
      <c r="D19" s="34"/>
      <c r="E19" s="80"/>
      <c r="F19" s="34"/>
      <c r="G19" s="34"/>
      <c r="H19" s="80"/>
      <c r="I19" s="34"/>
      <c r="J19" s="34"/>
      <c r="K19" s="80"/>
      <c r="L19" s="34"/>
      <c r="M19" s="34"/>
      <c r="N19" s="80"/>
      <c r="O19" s="34"/>
      <c r="P19" s="34"/>
      <c r="Q19" s="80"/>
    </row>
    <row r="20" spans="2:17" x14ac:dyDescent="0.3">
      <c r="B20" t="s">
        <v>38</v>
      </c>
      <c r="C20" s="34" t="s">
        <v>197</v>
      </c>
      <c r="D20" s="34" cm="1">
        <f t="array" ref="D20">Table20[Total facility cost per year (£)]</f>
        <v>42392.164403506664</v>
      </c>
      <c r="E20" s="80" t="s">
        <v>197</v>
      </c>
      <c r="F20" s="34" t="s">
        <v>197</v>
      </c>
      <c r="G20" s="34" cm="1">
        <f t="array" ref="G20">Table20[Total facility cost per year (£)]</f>
        <v>42392.164403506664</v>
      </c>
      <c r="H20" s="80" t="s">
        <v>197</v>
      </c>
      <c r="I20" s="34" t="s">
        <v>197</v>
      </c>
      <c r="J20" s="34" cm="1">
        <f t="array" ref="J20">Table20[Total facility cost per year (£)]</f>
        <v>42392.164403506664</v>
      </c>
      <c r="K20" s="80" t="s">
        <v>197</v>
      </c>
      <c r="L20" s="34" t="s">
        <v>197</v>
      </c>
      <c r="M20" s="34" cm="1">
        <f t="array" ref="M20">Table20[Total facility cost per year (£)]</f>
        <v>42392.164403506664</v>
      </c>
      <c r="N20" s="80" t="s">
        <v>197</v>
      </c>
      <c r="O20" s="34" t="s">
        <v>197</v>
      </c>
      <c r="P20" s="34" cm="1">
        <f t="array" ref="P20">Table20[Total facility cost per year (£)]</f>
        <v>42392.164403506664</v>
      </c>
      <c r="Q20" s="80" t="s">
        <v>197</v>
      </c>
    </row>
    <row r="21" spans="2:17" x14ac:dyDescent="0.3">
      <c r="B21" t="s">
        <v>39</v>
      </c>
      <c r="C21" s="34">
        <f>'R&amp;D'!B11</f>
        <v>2362714.276991256</v>
      </c>
      <c r="D21" s="34">
        <f>'R&amp;D'!C11</f>
        <v>7022915.2456150567</v>
      </c>
      <c r="E21" s="80">
        <f>'R&amp;D'!D11</f>
        <v>11683116.214238856</v>
      </c>
      <c r="F21" s="34">
        <f>'R&amp;D'!B12</f>
        <v>4366465.7177843936</v>
      </c>
      <c r="G21" s="34">
        <f>'R&amp;D'!C12</f>
        <v>19216197.587324567</v>
      </c>
      <c r="H21" s="80">
        <f>'R&amp;D'!D12</f>
        <v>34065929.456864744</v>
      </c>
      <c r="I21" s="34">
        <f>'R&amp;D'!B13</f>
        <v>3157748.2863820498</v>
      </c>
      <c r="J21" s="34">
        <f>'R&amp;D'!C13</f>
        <v>34727298.87560793</v>
      </c>
      <c r="K21" s="80">
        <f>'R&amp;D'!D13</f>
        <v>66296849.464833796</v>
      </c>
      <c r="L21" s="34">
        <f>'R&amp;D'!B14</f>
        <v>0</v>
      </c>
      <c r="M21" s="34">
        <f>'R&amp;D'!C14</f>
        <v>31022202.576566722</v>
      </c>
      <c r="N21" s="80">
        <f>'R&amp;D'!D14</f>
        <v>64571636.141061969</v>
      </c>
      <c r="O21" s="34">
        <f>'R&amp;D'!B15</f>
        <v>0</v>
      </c>
      <c r="P21" s="34">
        <f>'R&amp;D'!C15</f>
        <v>0</v>
      </c>
      <c r="Q21" s="80">
        <f>'R&amp;D'!D15</f>
        <v>0</v>
      </c>
    </row>
    <row r="22" spans="2:17" x14ac:dyDescent="0.3">
      <c r="B22" t="s">
        <v>40</v>
      </c>
      <c r="C22" s="34" t="s">
        <v>197</v>
      </c>
      <c r="D22" s="34">
        <f>Manufacture!D35</f>
        <v>2116620</v>
      </c>
      <c r="E22" s="80" t="s">
        <v>197</v>
      </c>
      <c r="F22" s="34" t="s">
        <v>197</v>
      </c>
      <c r="G22" s="34">
        <f>Manufacture!E35</f>
        <v>152000</v>
      </c>
      <c r="H22" s="80" t="s">
        <v>197</v>
      </c>
      <c r="I22" s="34" t="s">
        <v>197</v>
      </c>
      <c r="J22" s="34">
        <f>Manufacture!F35</f>
        <v>695000</v>
      </c>
      <c r="K22" s="80" t="s">
        <v>197</v>
      </c>
      <c r="L22" s="34" t="s">
        <v>197</v>
      </c>
      <c r="M22" s="34">
        <f>Manufacture!G35</f>
        <v>0</v>
      </c>
      <c r="N22" s="80" t="s">
        <v>197</v>
      </c>
      <c r="O22" s="34" t="s">
        <v>197</v>
      </c>
      <c r="P22" s="34">
        <f>Manufacture!H35</f>
        <v>0</v>
      </c>
      <c r="Q22" s="80" t="s">
        <v>197</v>
      </c>
    </row>
    <row r="23" spans="2:17" ht="15" thickBot="1" x14ac:dyDescent="0.35">
      <c r="B23" t="s">
        <v>41</v>
      </c>
      <c r="C23" s="81">
        <f>SUM(C20:C22)+D22+D20</f>
        <v>4521726.4413947621</v>
      </c>
      <c r="D23" s="81">
        <f>SUM(D20:D22)</f>
        <v>9181927.4100185633</v>
      </c>
      <c r="E23" s="82">
        <f>SUM(E20:E22)+D22+D20</f>
        <v>13842128.378642363</v>
      </c>
      <c r="F23" s="81">
        <f>SUM(F20:F22)+G22+G20</f>
        <v>4560857.8821879001</v>
      </c>
      <c r="G23" s="81">
        <f>SUM(G20:G22)</f>
        <v>19410589.751728073</v>
      </c>
      <c r="H23" s="82">
        <f>SUM(H20:H22)+G22+G20</f>
        <v>34260321.62126825</v>
      </c>
      <c r="I23" s="81">
        <f>SUM(I20:I22)+J22+J20</f>
        <v>3895140.4507855563</v>
      </c>
      <c r="J23" s="81">
        <f>SUM(J20:J22)</f>
        <v>35464691.040011436</v>
      </c>
      <c r="K23" s="82">
        <f>SUM(K20:K22)+J22+J20</f>
        <v>67034241.629237302</v>
      </c>
      <c r="L23" s="81">
        <f>SUM(L20:L22)+M22+M20</f>
        <v>42392.164403506664</v>
      </c>
      <c r="M23" s="81">
        <f>SUM(M20:M22)</f>
        <v>31064594.740970228</v>
      </c>
      <c r="N23" s="82">
        <f>SUM(N20:N22)+M22+M20</f>
        <v>64614028.305465475</v>
      </c>
      <c r="O23" s="81">
        <f>SUM(O20:O22)+P22+P20</f>
        <v>42392.164403506664</v>
      </c>
      <c r="P23" s="81">
        <f>SUM(P20:P22)</f>
        <v>42392.164403506664</v>
      </c>
      <c r="Q23" s="82">
        <f>SUM(Q20:Q22)+P22+P20</f>
        <v>42392.164403506664</v>
      </c>
    </row>
    <row r="24" spans="2:17" x14ac:dyDescent="0.3">
      <c r="C24" s="34"/>
      <c r="D24" s="34"/>
      <c r="E24" s="80"/>
      <c r="F24" s="34"/>
      <c r="G24" s="34"/>
      <c r="H24" s="80"/>
      <c r="I24" s="34"/>
      <c r="J24" s="34"/>
      <c r="K24" s="80"/>
      <c r="L24" s="34"/>
      <c r="M24" s="34"/>
      <c r="N24" s="80"/>
      <c r="O24" s="34"/>
      <c r="P24" s="34"/>
      <c r="Q24" s="80"/>
    </row>
    <row r="25" spans="2:17" ht="15" thickBot="1" x14ac:dyDescent="0.35">
      <c r="B25" s="2" t="s">
        <v>42</v>
      </c>
      <c r="C25" s="83">
        <f>C17-E23</f>
        <v>-13842128.378642363</v>
      </c>
      <c r="D25" s="83">
        <f>D17-D23</f>
        <v>-9181927.4100185633</v>
      </c>
      <c r="E25" s="84">
        <f>E17-C23</f>
        <v>-4521726.4413947621</v>
      </c>
      <c r="F25" s="83">
        <f t="shared" ref="F25" si="19">F17-H23</f>
        <v>-29634590.02196525</v>
      </c>
      <c r="G25" s="83">
        <f t="shared" ref="G25" si="20">G17-G23</f>
        <v>-14758752.79909174</v>
      </c>
      <c r="H25" s="84">
        <f t="shared" ref="H25" si="21">H17-F23</f>
        <v>117084.42378176656</v>
      </c>
      <c r="I25" s="83">
        <f t="shared" ref="I25" si="22">I17-K23</f>
        <v>-53157046.831328303</v>
      </c>
      <c r="J25" s="83">
        <f t="shared" ref="J25" si="23">J17-J23</f>
        <v>-21509180.182102434</v>
      </c>
      <c r="K25" s="84">
        <f t="shared" ref="K25" si="24">K17-I23</f>
        <v>10138686.467123447</v>
      </c>
      <c r="L25" s="83">
        <f t="shared" ref="L25" si="25">L17-N23</f>
        <v>-36859638.709647477</v>
      </c>
      <c r="M25" s="83">
        <f t="shared" ref="M25" si="26">M17-M23</f>
        <v>-3153573.025152225</v>
      </c>
      <c r="N25" s="84">
        <f t="shared" ref="N25" si="27">N17-L23</f>
        <v>28025261.671414502</v>
      </c>
      <c r="O25" s="83">
        <f t="shared" ref="O25" si="28">O17-Q23</f>
        <v>27711997.431414492</v>
      </c>
      <c r="P25" s="83">
        <f t="shared" ref="P25" si="29">P17-P23</f>
        <v>27868629.551414497</v>
      </c>
      <c r="Q25" s="84">
        <f t="shared" ref="Q25" si="30">Q17-O23</f>
        <v>28025261.671414502</v>
      </c>
    </row>
    <row r="26" spans="2:17" ht="15" thickTop="1" x14ac:dyDescent="0.3">
      <c r="C26" s="34"/>
      <c r="D26" s="34"/>
      <c r="E26" s="80"/>
      <c r="F26" s="34"/>
      <c r="G26" s="34"/>
      <c r="H26" s="80"/>
      <c r="I26" s="34"/>
      <c r="J26" s="34"/>
      <c r="K26" s="80"/>
      <c r="L26" s="34"/>
      <c r="M26" s="34"/>
      <c r="N26" s="80"/>
      <c r="O26" s="34"/>
      <c r="P26" s="34"/>
      <c r="Q26" s="80"/>
    </row>
    <row r="27" spans="2:17" x14ac:dyDescent="0.3">
      <c r="B27" s="2" t="s">
        <v>43</v>
      </c>
      <c r="C27" s="34"/>
      <c r="D27" s="34"/>
      <c r="E27" s="80"/>
      <c r="F27" s="34"/>
      <c r="G27" s="34"/>
      <c r="H27" s="80"/>
      <c r="I27" s="34"/>
      <c r="J27" s="34"/>
      <c r="K27" s="80"/>
      <c r="L27" s="34"/>
      <c r="M27" s="34"/>
      <c r="N27" s="80"/>
      <c r="O27" s="34"/>
      <c r="P27" s="34"/>
      <c r="Q27" s="80"/>
    </row>
    <row r="28" spans="2:17" x14ac:dyDescent="0.3">
      <c r="B28" t="s">
        <v>44</v>
      </c>
      <c r="C28" s="34">
        <f>Taxes!C13*-1</f>
        <v>0</v>
      </c>
      <c r="D28" s="34">
        <f>Taxes!D13*-1</f>
        <v>0</v>
      </c>
      <c r="E28" s="80">
        <f>Taxes!E13*-1</f>
        <v>0</v>
      </c>
      <c r="F28" s="34">
        <f>Taxes!F13*-1</f>
        <v>0</v>
      </c>
      <c r="G28" s="34">
        <f>Taxes!G13*-1</f>
        <v>0</v>
      </c>
      <c r="H28" s="80">
        <f>Taxes!H13*-1</f>
        <v>-29271.105945441639</v>
      </c>
      <c r="I28" s="34">
        <f>Taxes!I13*-1</f>
        <v>0</v>
      </c>
      <c r="J28" s="34">
        <f>Taxes!J13*-1</f>
        <v>0</v>
      </c>
      <c r="K28" s="80">
        <f>Taxes!K13*-1</f>
        <v>-2534671.6167808617</v>
      </c>
      <c r="L28" s="34">
        <f>Taxes!L13*-1</f>
        <v>0</v>
      </c>
      <c r="M28" s="34">
        <f>Taxes!M13*-1</f>
        <v>0</v>
      </c>
      <c r="N28" s="80">
        <f>Taxes!N13*-1</f>
        <v>-7006315.4178536255</v>
      </c>
      <c r="O28" s="34">
        <f>Taxes!O13*-1</f>
        <v>-6927999.3578536231</v>
      </c>
      <c r="P28" s="34">
        <f>Taxes!P13*-1</f>
        <v>-6967157.3878536243</v>
      </c>
      <c r="Q28" s="80">
        <f>Taxes!Q13*-1</f>
        <v>-7006315.4178536255</v>
      </c>
    </row>
    <row r="29" spans="2:17" x14ac:dyDescent="0.3">
      <c r="B29" t="s">
        <v>45</v>
      </c>
      <c r="C29" s="34">
        <f>Taxes!C25*-1</f>
        <v>-21153.690037349825</v>
      </c>
      <c r="D29" s="34">
        <f>Taxes!D25*-1</f>
        <v>-21153.690037349825</v>
      </c>
      <c r="E29" s="80">
        <f>Taxes!E25*-1</f>
        <v>-21153.690037349825</v>
      </c>
      <c r="F29" s="34">
        <f>Taxes!F25*-1</f>
        <v>-21153.690037349825</v>
      </c>
      <c r="G29" s="34">
        <f>Taxes!G25*-1</f>
        <v>-21153.690037349825</v>
      </c>
      <c r="H29" s="80">
        <f>Taxes!H25*-1</f>
        <v>-21153.690037349825</v>
      </c>
      <c r="I29" s="34">
        <f>Taxes!I25*-1</f>
        <v>-21153.690037349825</v>
      </c>
      <c r="J29" s="34">
        <f>Taxes!J25*-1</f>
        <v>-21153.690037349825</v>
      </c>
      <c r="K29" s="80">
        <f>Taxes!K25*-1</f>
        <v>-21153.690037349825</v>
      </c>
      <c r="L29" s="34">
        <f>Taxes!L25*-1</f>
        <v>-21153.690037349825</v>
      </c>
      <c r="M29" s="34">
        <f>Taxes!M25*-1</f>
        <v>-21153.690037349825</v>
      </c>
      <c r="N29" s="80">
        <f>Taxes!N25*-1</f>
        <v>-21153.690037349825</v>
      </c>
      <c r="O29" s="34">
        <f>Taxes!O25*-1</f>
        <v>-21153.690037349825</v>
      </c>
      <c r="P29" s="34">
        <f>Taxes!P25*-1</f>
        <v>-21153.690037349825</v>
      </c>
      <c r="Q29" s="80">
        <f>Taxes!Q25*-1</f>
        <v>-21153.690037349825</v>
      </c>
    </row>
    <row r="30" spans="2:17" x14ac:dyDescent="0.3">
      <c r="B30" t="s">
        <v>46</v>
      </c>
      <c r="C30" s="34">
        <f>IF(ISNUMBER(Taxes!C20),Taxes!C20,Taxes!C21)</f>
        <v>637224.04050454183</v>
      </c>
      <c r="D30" s="34">
        <f>IF(ISNUMBER(Taxes!D20),Taxes!D20,Taxes!D21)</f>
        <v>1894080.2417423807</v>
      </c>
      <c r="E30" s="80">
        <f>IF(ISNUMBER(Taxes!E20),Taxes!E20,Taxes!E21)</f>
        <v>3150936.4429802191</v>
      </c>
      <c r="F30" s="34">
        <f>IF(ISNUMBER(Taxes!F20),Taxes!F20,Taxes!F21)</f>
        <v>707367.44628107187</v>
      </c>
      <c r="G30" s="34">
        <f>IF(ISNUMBER(Taxes!G20),Taxes!G20,Taxes!G21)</f>
        <v>5182608.4893014356</v>
      </c>
      <c r="H30" s="80">
        <f>IF(ISNUMBER(Taxes!H20),Taxes!H20,Taxes!H21)</f>
        <v>5109889.4185297117</v>
      </c>
      <c r="I30" s="34">
        <f>IF(ISNUMBER(Taxes!I20),Taxes!I20,Taxes!I21)</f>
        <v>511555.22239389218</v>
      </c>
      <c r="J30" s="34">
        <f>IF(ISNUMBER(Taxes!J20),Taxes!J20,Taxes!J21)</f>
        <v>9365952.5067514591</v>
      </c>
      <c r="K30" s="80">
        <f>IF(ISNUMBER(Taxes!K20),Taxes!K20,Taxes!K21)</f>
        <v>9944527.4197250698</v>
      </c>
      <c r="L30" s="34">
        <f>IF(ISNUMBER(Taxes!L20),Taxes!L20,Taxes!L21)</f>
        <v>0</v>
      </c>
      <c r="M30" s="34">
        <f>IF(ISNUMBER(Taxes!M20),Taxes!M20,Taxes!M21)</f>
        <v>8366688.034900045</v>
      </c>
      <c r="N30" s="80">
        <f>IF(ISNUMBER(Taxes!N20),Taxes!N20,Taxes!N21)</f>
        <v>9685745.4211592954</v>
      </c>
      <c r="O30" s="34">
        <f>IF(ISNUMBER(Taxes!O20),Taxes!O20,Taxes!O21)</f>
        <v>0</v>
      </c>
      <c r="P30" s="34">
        <f>IF(ISNUMBER(Taxes!P20),Taxes!P20,Taxes!P21)</f>
        <v>0</v>
      </c>
      <c r="Q30" s="80">
        <f>IF(ISNUMBER(Taxes!Q20),Taxes!Q20,Taxes!Q21)</f>
        <v>0</v>
      </c>
    </row>
    <row r="31" spans="2:17" ht="15" thickBot="1" x14ac:dyDescent="0.35">
      <c r="B31" t="s">
        <v>47</v>
      </c>
      <c r="C31" s="81">
        <f>Taxes!C26*-1</f>
        <v>616070.35046719201</v>
      </c>
      <c r="D31" s="81">
        <f>Taxes!D26*-1</f>
        <v>1872926.5517050307</v>
      </c>
      <c r="E31" s="82">
        <f>Taxes!E26*-1</f>
        <v>3129782.7529428694</v>
      </c>
      <c r="F31" s="81">
        <f>Taxes!F26*-1</f>
        <v>686213.75624372205</v>
      </c>
      <c r="G31" s="81">
        <f>Taxes!G26*-1</f>
        <v>5161454.7992640855</v>
      </c>
      <c r="H31" s="82">
        <f>Taxes!H26*-1</f>
        <v>5059464.6225469206</v>
      </c>
      <c r="I31" s="81">
        <f>Taxes!I26*-1</f>
        <v>490401.53235654236</v>
      </c>
      <c r="J31" s="81">
        <f>Taxes!J26*-1</f>
        <v>9344798.8167141099</v>
      </c>
      <c r="K31" s="82">
        <f>Taxes!K26*-1</f>
        <v>7388702.1129068583</v>
      </c>
      <c r="L31" s="81">
        <f>Taxes!L26*-1</f>
        <v>-21153.690037349825</v>
      </c>
      <c r="M31" s="81">
        <f>Taxes!M26*-1</f>
        <v>8345534.3448626949</v>
      </c>
      <c r="N31" s="82">
        <f>Taxes!N26*-1</f>
        <v>2658276.3132683197</v>
      </c>
      <c r="O31" s="81">
        <f>Taxes!O26*-1</f>
        <v>-6949153.0478909733</v>
      </c>
      <c r="P31" s="81">
        <f>Taxes!P26*-1</f>
        <v>-6988311.0778909745</v>
      </c>
      <c r="Q31" s="82">
        <f>Taxes!Q26*-1</f>
        <v>-7027469.1078909757</v>
      </c>
    </row>
    <row r="32" spans="2:17" x14ac:dyDescent="0.3">
      <c r="C32" s="34"/>
      <c r="D32" s="34"/>
      <c r="E32" s="80"/>
      <c r="F32" s="34"/>
      <c r="G32" s="34"/>
      <c r="H32" s="80"/>
      <c r="I32" s="34"/>
      <c r="J32" s="34"/>
      <c r="K32" s="80"/>
      <c r="L32" s="34"/>
      <c r="M32" s="34"/>
      <c r="N32" s="80"/>
      <c r="O32" s="34"/>
      <c r="P32" s="34"/>
      <c r="Q32" s="80"/>
    </row>
    <row r="33" spans="2:17" ht="15" thickBot="1" x14ac:dyDescent="0.35">
      <c r="B33" s="2" t="s">
        <v>48</v>
      </c>
      <c r="C33" s="83">
        <f>C25+C31</f>
        <v>-13226058.028175171</v>
      </c>
      <c r="D33" s="83">
        <f t="shared" ref="D33:Q33" si="31">D25+D31</f>
        <v>-7309000.8583135325</v>
      </c>
      <c r="E33" s="84">
        <f t="shared" si="31"/>
        <v>-1391943.6884518927</v>
      </c>
      <c r="F33" s="83">
        <f t="shared" si="31"/>
        <v>-28948376.26572153</v>
      </c>
      <c r="G33" s="83">
        <f t="shared" si="31"/>
        <v>-9597297.9998276532</v>
      </c>
      <c r="H33" s="84">
        <f t="shared" si="31"/>
        <v>5176549.0463286871</v>
      </c>
      <c r="I33" s="83">
        <f t="shared" si="31"/>
        <v>-52666645.298971757</v>
      </c>
      <c r="J33" s="83">
        <f t="shared" si="31"/>
        <v>-12164381.365388324</v>
      </c>
      <c r="K33" s="84">
        <f t="shared" si="31"/>
        <v>17527388.580030307</v>
      </c>
      <c r="L33" s="83">
        <f t="shared" si="31"/>
        <v>-36880792.399684824</v>
      </c>
      <c r="M33" s="83">
        <f t="shared" si="31"/>
        <v>5191961.3197104698</v>
      </c>
      <c r="N33" s="84">
        <f t="shared" si="31"/>
        <v>30683537.984682821</v>
      </c>
      <c r="O33" s="83">
        <f t="shared" si="31"/>
        <v>20762844.38352352</v>
      </c>
      <c r="P33" s="83">
        <f t="shared" si="31"/>
        <v>20880318.473523524</v>
      </c>
      <c r="Q33" s="84">
        <f t="shared" si="31"/>
        <v>20997792.563523527</v>
      </c>
    </row>
    <row r="34" spans="2:17" ht="15" thickTop="1" x14ac:dyDescent="0.3"/>
  </sheetData>
  <mergeCells count="5">
    <mergeCell ref="C4:E4"/>
    <mergeCell ref="F4:H4"/>
    <mergeCell ref="I4:K4"/>
    <mergeCell ref="L4:N4"/>
    <mergeCell ref="O4:Q4"/>
  </mergeCells>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9BB05-04B2-4849-8305-9B8FCBDA08CF}">
  <dimension ref="B2:Q34"/>
  <sheetViews>
    <sheetView topLeftCell="H7" zoomScale="90" zoomScaleNormal="90" workbookViewId="0">
      <selection activeCell="M35" sqref="M35"/>
    </sheetView>
  </sheetViews>
  <sheetFormatPr defaultRowHeight="14.4" x14ac:dyDescent="0.3"/>
  <cols>
    <col min="2" max="2" width="28.6640625" bestFit="1" customWidth="1"/>
    <col min="3" max="11" width="13.33203125" bestFit="1" customWidth="1"/>
    <col min="12" max="17" width="14.5546875" bestFit="1" customWidth="1"/>
  </cols>
  <sheetData>
    <row r="2" spans="2:17" x14ac:dyDescent="0.3">
      <c r="B2" s="2" t="s">
        <v>18</v>
      </c>
    </row>
    <row r="4" spans="2:17" x14ac:dyDescent="0.3">
      <c r="B4" s="67"/>
      <c r="C4" s="162" t="s">
        <v>19</v>
      </c>
      <c r="D4" s="163"/>
      <c r="E4" s="164"/>
      <c r="F4" s="162" t="s">
        <v>20</v>
      </c>
      <c r="G4" s="163"/>
      <c r="H4" s="164"/>
      <c r="I4" s="162" t="s">
        <v>21</v>
      </c>
      <c r="J4" s="163"/>
      <c r="K4" s="164"/>
      <c r="L4" s="162" t="s">
        <v>22</v>
      </c>
      <c r="M4" s="163"/>
      <c r="N4" s="164"/>
      <c r="O4" s="162" t="s">
        <v>23</v>
      </c>
      <c r="P4" s="163"/>
      <c r="Q4" s="164"/>
    </row>
    <row r="5" spans="2:17" x14ac:dyDescent="0.3">
      <c r="B5" s="67"/>
      <c r="C5" s="103" t="s">
        <v>24</v>
      </c>
      <c r="D5" s="53" t="s">
        <v>25</v>
      </c>
      <c r="E5" s="104" t="s">
        <v>26</v>
      </c>
      <c r="F5" s="103" t="s">
        <v>24</v>
      </c>
      <c r="G5" s="53" t="s">
        <v>25</v>
      </c>
      <c r="H5" s="104" t="s">
        <v>26</v>
      </c>
      <c r="I5" s="103" t="s">
        <v>24</v>
      </c>
      <c r="J5" s="53" t="s">
        <v>25</v>
      </c>
      <c r="K5" s="104" t="s">
        <v>26</v>
      </c>
      <c r="L5" s="103" t="s">
        <v>24</v>
      </c>
      <c r="M5" s="53" t="s">
        <v>25</v>
      </c>
      <c r="N5" s="104" t="s">
        <v>26</v>
      </c>
      <c r="O5" s="103" t="s">
        <v>24</v>
      </c>
      <c r="P5" s="53" t="s">
        <v>25</v>
      </c>
      <c r="Q5" s="104" t="s">
        <v>26</v>
      </c>
    </row>
    <row r="6" spans="2:17" x14ac:dyDescent="0.3">
      <c r="B6" s="105" t="s">
        <v>27</v>
      </c>
      <c r="C6" s="106"/>
      <c r="D6" s="107"/>
      <c r="E6" s="108"/>
      <c r="F6" s="106"/>
      <c r="G6" s="107"/>
      <c r="H6" s="109"/>
      <c r="I6" s="106"/>
      <c r="J6" s="107"/>
      <c r="K6" s="109"/>
      <c r="L6" s="106"/>
      <c r="M6" s="107"/>
      <c r="N6" s="109"/>
      <c r="O6" s="106"/>
      <c r="P6" s="107"/>
      <c r="Q6" s="108"/>
    </row>
    <row r="7" spans="2:17" x14ac:dyDescent="0.3">
      <c r="B7" s="67" t="s">
        <v>28</v>
      </c>
      <c r="C7" s="106">
        <f>IF(ProfitLoss!C7&gt;0,ROUND(ProfitLoss!C7, 3-(1+INT(LOG10(ABS(ProfitLoss!C7))))),0)</f>
        <v>0</v>
      </c>
      <c r="D7" s="107">
        <f>IF(ProfitLoss!D7&gt;0,ROUND(ProfitLoss!D7, 3-(1+INT(LOG10(ABS(ProfitLoss!D7))))),0)</f>
        <v>0</v>
      </c>
      <c r="E7" s="108">
        <f>IF(ProfitLoss!E7&gt;0,ROUND(ProfitLoss!E7, 3-(1+INT(LOG10(ABS(ProfitLoss!E7))))),0)</f>
        <v>0</v>
      </c>
      <c r="F7" s="106">
        <f>IF(ProfitLoss!F7&gt;0,ROUND(ProfitLoss!F7, 3-(1+INT(LOG10(ABS(ProfitLoss!F7))))),0)</f>
        <v>16700000</v>
      </c>
      <c r="G7" s="107">
        <f>IF(ProfitLoss!G7&gt;0,ROUND(ProfitLoss!G7, 3-(1+INT(LOG10(ABS(ProfitLoss!G7))))),0)</f>
        <v>16700000</v>
      </c>
      <c r="H7" s="109">
        <f>IF(ProfitLoss!H7&gt;0,ROUND(ProfitLoss!H7, 3-(1+INT(LOG10(ABS(ProfitLoss!H7))))),0)</f>
        <v>16700000</v>
      </c>
      <c r="I7" s="106">
        <f>IF(ProfitLoss!I7&gt;0,ROUND(ProfitLoss!I7, 3-(1+INT(LOG10(ABS(ProfitLoss!I7))))),0)</f>
        <v>50200000</v>
      </c>
      <c r="J7" s="107">
        <f>IF(ProfitLoss!J7&gt;0,ROUND(ProfitLoss!J7, 3-(1+INT(LOG10(ABS(ProfitLoss!J7))))),0)</f>
        <v>50200000</v>
      </c>
      <c r="K7" s="109">
        <f>IF(ProfitLoss!K7&gt;0,ROUND(ProfitLoss!K7, 3-(1+INT(LOG10(ABS(ProfitLoss!K7))))),0)</f>
        <v>50200000</v>
      </c>
      <c r="L7" s="106">
        <f>IF(ProfitLoss!L7&gt;0,ROUND(ProfitLoss!L7, 3-(1+INT(LOG10(ABS(ProfitLoss!L7))))),0)</f>
        <v>100000000</v>
      </c>
      <c r="M7" s="107">
        <f>IF(ProfitLoss!M7&gt;0,ROUND(ProfitLoss!M7, 3-(1+INT(LOG10(ABS(ProfitLoss!M7))))),0)</f>
        <v>100000000</v>
      </c>
      <c r="N7" s="109">
        <f>IF(ProfitLoss!N7&gt;0,ROUND(ProfitLoss!N7, 3-(1+INT(LOG10(ABS(ProfitLoss!N7))))),0)</f>
        <v>100000000</v>
      </c>
      <c r="O7" s="106">
        <f>IF(ProfitLoss!O7&gt;0,ROUND(ProfitLoss!O7, 3-(1+INT(LOG10(ABS(ProfitLoss!O7))))),0)</f>
        <v>100000000</v>
      </c>
      <c r="P7" s="107">
        <f>IF(ProfitLoss!P7&gt;0,ROUND(ProfitLoss!P7, 3-(1+INT(LOG10(ABS(ProfitLoss!P7))))),0)</f>
        <v>100000000</v>
      </c>
      <c r="Q7" s="108">
        <f>IF(ProfitLoss!Q7&gt;0,ROUND(ProfitLoss!Q7, 3-(1+INT(LOG10(ABS(ProfitLoss!Q7))))),0)</f>
        <v>100000000</v>
      </c>
    </row>
    <row r="8" spans="2:17" ht="15" thickBot="1" x14ac:dyDescent="0.35">
      <c r="B8" s="67" t="s">
        <v>29</v>
      </c>
      <c r="C8" s="110">
        <f>IF(ProfitLoss!C8&gt;0,ROUND(ProfitLoss!C8, 3-(1+INT(LOG10(ABS(ProfitLoss!C8))))),0)</f>
        <v>0</v>
      </c>
      <c r="D8" s="111">
        <f>IF(ProfitLoss!D8&gt;0,ROUND(ProfitLoss!D8, 3-(1+INT(LOG10(ABS(ProfitLoss!D8))))),0)</f>
        <v>0</v>
      </c>
      <c r="E8" s="112">
        <f>IF(ProfitLoss!E8&gt;0,ROUND(ProfitLoss!E8, 3-(1+INT(LOG10(ABS(ProfitLoss!E8))))),0)</f>
        <v>0</v>
      </c>
      <c r="F8" s="110">
        <f>IF(ProfitLoss!F8&gt;0,ROUND(ProfitLoss!F8, 3-(1+INT(LOG10(ABS(ProfitLoss!F8))))),0)</f>
        <v>16700000</v>
      </c>
      <c r="G8" s="111">
        <f>IF(ProfitLoss!G8&gt;0,ROUND(ProfitLoss!G8, 3-(1+INT(LOG10(ABS(ProfitLoss!G8))))),0)</f>
        <v>16700000</v>
      </c>
      <c r="H8" s="113">
        <f>IF(ProfitLoss!H8&gt;0,ROUND(ProfitLoss!H8, 3-(1+INT(LOG10(ABS(ProfitLoss!H8))))),0)</f>
        <v>16700000</v>
      </c>
      <c r="I8" s="110">
        <f>IF(ProfitLoss!I8&gt;0,ROUND(ProfitLoss!I8, 3-(1+INT(LOG10(ABS(ProfitLoss!I8))))),0)</f>
        <v>50200000</v>
      </c>
      <c r="J8" s="111">
        <f>IF(ProfitLoss!J8&gt;0,ROUND(ProfitLoss!J8, 3-(1+INT(LOG10(ABS(ProfitLoss!J8))))),0)</f>
        <v>50200000</v>
      </c>
      <c r="K8" s="113">
        <f>IF(ProfitLoss!K8&gt;0,ROUND(ProfitLoss!K8, 3-(1+INT(LOG10(ABS(ProfitLoss!K8))))),0)</f>
        <v>50200000</v>
      </c>
      <c r="L8" s="110">
        <f>IF(ProfitLoss!L8&gt;0,ROUND(ProfitLoss!L8, 3-(1+INT(LOG10(ABS(ProfitLoss!L8))))),0)</f>
        <v>100000000</v>
      </c>
      <c r="M8" s="111">
        <f>IF(ProfitLoss!M8&gt;0,ROUND(ProfitLoss!M8, 3-(1+INT(LOG10(ABS(ProfitLoss!M8))))),0)</f>
        <v>100000000</v>
      </c>
      <c r="N8" s="113">
        <f>IF(ProfitLoss!N8&gt;0,ROUND(ProfitLoss!N8, 3-(1+INT(LOG10(ABS(ProfitLoss!N8))))),0)</f>
        <v>100000000</v>
      </c>
      <c r="O8" s="110">
        <f>IF(ProfitLoss!O8&gt;0,ROUND(ProfitLoss!O8, 3-(1+INT(LOG10(ABS(ProfitLoss!O8))))),0)</f>
        <v>100000000</v>
      </c>
      <c r="P8" s="111">
        <f>IF(ProfitLoss!P8&gt;0,ROUND(ProfitLoss!P8, 3-(1+INT(LOG10(ABS(ProfitLoss!P8))))),0)</f>
        <v>100000000</v>
      </c>
      <c r="Q8" s="112">
        <f>IF(ProfitLoss!Q8&gt;0,ROUND(ProfitLoss!Q8, 3-(1+INT(LOG10(ABS(ProfitLoss!Q8))))),0)</f>
        <v>100000000</v>
      </c>
    </row>
    <row r="9" spans="2:17" x14ac:dyDescent="0.3">
      <c r="B9" s="67"/>
      <c r="C9" s="106"/>
      <c r="D9" s="107"/>
      <c r="E9" s="108"/>
      <c r="F9" s="106"/>
      <c r="G9" s="107"/>
      <c r="H9" s="109"/>
      <c r="I9" s="106"/>
      <c r="J9" s="107"/>
      <c r="K9" s="109"/>
      <c r="L9" s="106"/>
      <c r="M9" s="107"/>
      <c r="N9" s="109"/>
      <c r="O9" s="106"/>
      <c r="P9" s="107"/>
      <c r="Q9" s="108"/>
    </row>
    <row r="10" spans="2:17" x14ac:dyDescent="0.3">
      <c r="B10" s="105" t="s">
        <v>30</v>
      </c>
      <c r="C10" s="106"/>
      <c r="D10" s="107"/>
      <c r="E10" s="108"/>
      <c r="F10" s="106"/>
      <c r="G10" s="107"/>
      <c r="H10" s="109"/>
      <c r="I10" s="106"/>
      <c r="J10" s="107"/>
      <c r="K10" s="109"/>
      <c r="L10" s="106"/>
      <c r="M10" s="107"/>
      <c r="N10" s="109"/>
      <c r="O10" s="106"/>
      <c r="P10" s="107"/>
      <c r="Q10" s="108"/>
    </row>
    <row r="11" spans="2:17" x14ac:dyDescent="0.3">
      <c r="B11" s="67" t="s">
        <v>31</v>
      </c>
      <c r="C11" s="106" t="str">
        <f>IF(ISNUMBER(ProfitLoss!C11),IF(ProfitLoss!C11&gt;0,ROUND(ProfitLoss!C11, 3-(1+INT(LOG10(ABS(ProfitLoss!C11))))),0),"N/A")</f>
        <v>N/A</v>
      </c>
      <c r="D11" s="107">
        <f>IF(ISNUMBER(ProfitLoss!D11),IF(ProfitLoss!D11&gt;0,ROUND(ProfitLoss!D11, 3-(1+INT(LOG10(ABS(ProfitLoss!D11))))),0),"N/A")</f>
        <v>0</v>
      </c>
      <c r="E11" s="108" t="str">
        <f>IF(ISNUMBER(ProfitLoss!E11),IF(ProfitLoss!E11&gt;0,ROUND(ProfitLoss!E11, 3-(1+INT(LOG10(ABS(ProfitLoss!E11))))),0),"N/A")</f>
        <v>N/A</v>
      </c>
      <c r="F11" s="106" t="str">
        <f>IF(ISNUMBER(ProfitLoss!F11),IF(ProfitLoss!F11&gt;0,ROUND(ProfitLoss!F11, 3-(1+INT(LOG10(ABS(ProfitLoss!F11))))),0),"N/A")</f>
        <v>N/A</v>
      </c>
      <c r="G11" s="107">
        <f>IF(ISNUMBER(ProfitLoss!G11),IF(ProfitLoss!G11&gt;0,ROUND(ProfitLoss!G11, 3-(1+INT(LOG10(ABS(ProfitLoss!G11))))),0),"N/A")</f>
        <v>668000</v>
      </c>
      <c r="H11" s="109" t="str">
        <f>IF(ISNUMBER(ProfitLoss!H11),IF(ProfitLoss!H11&gt;0,ROUND(ProfitLoss!H11, 3-(1+INT(LOG10(ABS(ProfitLoss!H11))))),0),"N/A")</f>
        <v>N/A</v>
      </c>
      <c r="I11" s="106" t="str">
        <f>IF(ISNUMBER(ProfitLoss!I11),IF(ProfitLoss!I11&gt;0,ROUND(ProfitLoss!I11, 3-(1+INT(LOG10(ABS(ProfitLoss!I11))))),0),"N/A")</f>
        <v>N/A</v>
      </c>
      <c r="J11" s="107">
        <f>IF(ISNUMBER(ProfitLoss!J11),IF(ProfitLoss!J11&gt;0,ROUND(ProfitLoss!J11, 3-(1+INT(LOG10(ABS(ProfitLoss!J11))))),0),"N/A")</f>
        <v>2000000</v>
      </c>
      <c r="K11" s="109" t="str">
        <f>IF(ISNUMBER(ProfitLoss!K11),IF(ProfitLoss!K11&gt;0,ROUND(ProfitLoss!K11, 3-(1+INT(LOG10(ABS(ProfitLoss!K11))))),0),"N/A")</f>
        <v>N/A</v>
      </c>
      <c r="L11" s="106" t="str">
        <f>IF(ISNUMBER(ProfitLoss!L11),IF(ProfitLoss!L11&gt;0,ROUND(ProfitLoss!L11, 3-(1+INT(LOG10(ABS(ProfitLoss!L11))))),0),"N/A")</f>
        <v>N/A</v>
      </c>
      <c r="M11" s="107">
        <f>IF(ISNUMBER(ProfitLoss!M11),IF(ProfitLoss!M11&gt;0,ROUND(ProfitLoss!M11, 3-(1+INT(LOG10(ABS(ProfitLoss!M11))))),0),"N/A")</f>
        <v>4010000</v>
      </c>
      <c r="N11" s="109" t="str">
        <f>IF(ISNUMBER(ProfitLoss!N11),IF(ProfitLoss!N11&gt;0,ROUND(ProfitLoss!N11, 3-(1+INT(LOG10(ABS(ProfitLoss!N11))))),0),"N/A")</f>
        <v>N/A</v>
      </c>
      <c r="O11" s="106" t="str">
        <f>IF(ISNUMBER(ProfitLoss!O11),IF(ProfitLoss!O11&gt;0,ROUND(ProfitLoss!O11, 3-(1+INT(LOG10(ABS(ProfitLoss!O11))))),0),"N/A")</f>
        <v>N/A</v>
      </c>
      <c r="P11" s="107">
        <f>IF(ISNUMBER(ProfitLoss!P11),IF(ProfitLoss!P11&gt;0,ROUND(ProfitLoss!P11, 3-(1+INT(LOG10(ABS(ProfitLoss!P11))))),0),"N/A")</f>
        <v>4010000</v>
      </c>
      <c r="Q11" s="108" t="str">
        <f>IF(ISNUMBER(ProfitLoss!Q11),IF(ProfitLoss!Q11&gt;0,ROUND(ProfitLoss!Q11, 3-(1+INT(LOG10(ABS(ProfitLoss!Q11))))),0),"N/A")</f>
        <v>N/A</v>
      </c>
    </row>
    <row r="12" spans="2:17" x14ac:dyDescent="0.3">
      <c r="B12" s="67" t="s">
        <v>32</v>
      </c>
      <c r="C12" s="106">
        <f>IF(ProfitLoss!C12&gt;0,ROUND(ProfitLoss!C12, 3-(1+INT(LOG10(ABS(ProfitLoss!C12))))),0)</f>
        <v>0</v>
      </c>
      <c r="D12" s="107">
        <f>IF(ProfitLoss!D12&gt;0,ROUND(ProfitLoss!D12, 3-(1+INT(LOG10(ABS(ProfitLoss!D12))))),0)</f>
        <v>0</v>
      </c>
      <c r="E12" s="108">
        <f>IF(ProfitLoss!E12&gt;0,ROUND(ProfitLoss!E12, 3-(1+INT(LOG10(ABS(ProfitLoss!E12))))),0)</f>
        <v>0</v>
      </c>
      <c r="F12" s="106">
        <f>IF(ProfitLoss!F12&gt;0,ROUND(ProfitLoss!F12, 3-(1+INT(LOG10(ABS(ProfitLoss!F12))))),0)</f>
        <v>2850</v>
      </c>
      <c r="G12" s="107">
        <f>IF(ProfitLoss!G12&gt;0,ROUND(ProfitLoss!G12, 3-(1+INT(LOG10(ABS(ProfitLoss!G12))))),0)</f>
        <v>29000</v>
      </c>
      <c r="H12" s="109">
        <f>IF(ProfitLoss!H12&gt;0,ROUND(ProfitLoss!H12, 3-(1+INT(LOG10(ABS(ProfitLoss!H12))))),0)</f>
        <v>55100</v>
      </c>
      <c r="I12" s="106">
        <f>IF(ProfitLoss!I12&gt;0,ROUND(ProfitLoss!I12, 3-(1+INT(LOG10(ABS(ProfitLoss!I12))))),0)</f>
        <v>8540</v>
      </c>
      <c r="J12" s="107">
        <f>IF(ProfitLoss!J12&gt;0,ROUND(ProfitLoss!J12, 3-(1+INT(LOG10(ABS(ProfitLoss!J12))))),0)</f>
        <v>86900</v>
      </c>
      <c r="K12" s="109">
        <f>IF(ProfitLoss!K12&gt;0,ROUND(ProfitLoss!K12, 3-(1+INT(LOG10(ABS(ProfitLoss!K12))))),0)</f>
        <v>165000</v>
      </c>
      <c r="L12" s="106">
        <f>IF(ProfitLoss!L12&gt;0,ROUND(ProfitLoss!L12, 3-(1+INT(LOG10(ABS(ProfitLoss!L12))))),0)</f>
        <v>17100</v>
      </c>
      <c r="M12" s="107">
        <f>IF(ProfitLoss!M12&gt;0,ROUND(ProfitLoss!M12, 3-(1+INT(LOG10(ABS(ProfitLoss!M12))))),0)</f>
        <v>174000</v>
      </c>
      <c r="N12" s="109">
        <f>IF(ProfitLoss!N12&gt;0,ROUND(ProfitLoss!N12, 3-(1+INT(LOG10(ABS(ProfitLoss!N12))))),0)</f>
        <v>330000</v>
      </c>
      <c r="O12" s="106">
        <f>IF(ProfitLoss!O12&gt;0,ROUND(ProfitLoss!O12, 3-(1+INT(LOG10(ABS(ProfitLoss!O12))))),0)</f>
        <v>17100</v>
      </c>
      <c r="P12" s="107">
        <f>IF(ProfitLoss!P12&gt;0,ROUND(ProfitLoss!P12, 3-(1+INT(LOG10(ABS(ProfitLoss!P12))))),0)</f>
        <v>174000</v>
      </c>
      <c r="Q12" s="108">
        <f>IF(ProfitLoss!Q12&gt;0,ROUND(ProfitLoss!Q12, 3-(1+INT(LOG10(ABS(ProfitLoss!Q12))))),0)</f>
        <v>330000</v>
      </c>
    </row>
    <row r="13" spans="2:17" x14ac:dyDescent="0.3">
      <c r="B13" s="67" t="s">
        <v>33</v>
      </c>
      <c r="C13" s="106" t="str">
        <f>IF(ISNUMBER(ProfitLoss!C13),IF(ProfitLoss!C13&gt;0,ROUND(ProfitLoss!C13, 3-(1+INT(LOG10(ABS(ProfitLoss!C13))))),0),"N/A")</f>
        <v>N/A</v>
      </c>
      <c r="D13" s="106">
        <f>IF(ISNUMBER(ProfitLoss!D13),IF(ProfitLoss!D13&gt;0,ROUND(ProfitLoss!D13, 3-(1+INT(LOG10(ABS(ProfitLoss!D13))))),0),"N/A")</f>
        <v>0</v>
      </c>
      <c r="E13" s="108" t="str">
        <f>IF(ISNUMBER(ProfitLoss!E13),IF(ProfitLoss!E13&gt;0,ROUND(ProfitLoss!E13, 3-(1+INT(LOG10(ABS(ProfitLoss!E13))))),0),"N/A")</f>
        <v>N/A</v>
      </c>
      <c r="F13" s="106" t="str">
        <f>IF(ISNUMBER(ProfitLoss!F13),IF(ProfitLoss!F13&gt;0,ROUND(ProfitLoss!F13, 3-(1+INT(LOG10(ABS(ProfitLoss!F13))))),0),"N/A")</f>
        <v>N/A</v>
      </c>
      <c r="G13" s="106">
        <f>IF(ISNUMBER(ProfitLoss!G13),IF(ProfitLoss!G13&gt;0,ROUND(ProfitLoss!G13, 3-(1+INT(LOG10(ABS(ProfitLoss!G13))))),0),"N/A")</f>
        <v>8840000</v>
      </c>
      <c r="H13" s="108" t="str">
        <f>IF(ISNUMBER(ProfitLoss!H13),IF(ProfitLoss!H13&gt;0,ROUND(ProfitLoss!H13, 3-(1+INT(LOG10(ABS(ProfitLoss!H13))))),0),"N/A")</f>
        <v>N/A</v>
      </c>
      <c r="I13" s="106" t="str">
        <f>IF(ISNUMBER(ProfitLoss!I13),IF(ProfitLoss!I13&gt;0,ROUND(ProfitLoss!I13, 3-(1+INT(LOG10(ABS(ProfitLoss!I13))))),0),"N/A")</f>
        <v>N/A</v>
      </c>
      <c r="J13" s="106">
        <f>IF(ISNUMBER(ProfitLoss!J13),IF(ProfitLoss!J13&gt;0,ROUND(ProfitLoss!J13, 3-(1+INT(LOG10(ABS(ProfitLoss!J13))))),0),"N/A")</f>
        <v>26500000</v>
      </c>
      <c r="K13" s="108" t="str">
        <f>IF(ISNUMBER(ProfitLoss!K13),IF(ProfitLoss!K13&gt;0,ROUND(ProfitLoss!K13, 3-(1+INT(LOG10(ABS(ProfitLoss!K13))))),0),"N/A")</f>
        <v>N/A</v>
      </c>
      <c r="L13" s="106" t="str">
        <f>IF(ISNUMBER(ProfitLoss!L13),IF(ProfitLoss!L13&gt;0,ROUND(ProfitLoss!L13, 3-(1+INT(LOG10(ABS(ProfitLoss!L13))))),0),"N/A")</f>
        <v>N/A</v>
      </c>
      <c r="M13" s="106">
        <f>IF(ISNUMBER(ProfitLoss!M13),IF(ProfitLoss!M13&gt;0,ROUND(ProfitLoss!M13, 3-(1+INT(LOG10(ABS(ProfitLoss!M13))))),0),"N/A")</f>
        <v>53000000</v>
      </c>
      <c r="N13" s="108" t="str">
        <f>IF(ISNUMBER(ProfitLoss!N13),IF(ProfitLoss!N13&gt;0,ROUND(ProfitLoss!N13, 3-(1+INT(LOG10(ABS(ProfitLoss!N13))))),0),"N/A")</f>
        <v>N/A</v>
      </c>
      <c r="O13" s="106" t="str">
        <f>IF(ISNUMBER(ProfitLoss!O13),IF(ProfitLoss!O13&gt;0,ROUND(ProfitLoss!O13, 3-(1+INT(LOG10(ABS(ProfitLoss!O13))))),0),"N/A")</f>
        <v>N/A</v>
      </c>
      <c r="P13" s="106">
        <f>IF(ISNUMBER(ProfitLoss!P13),IF(ProfitLoss!P13&gt;0,ROUND(ProfitLoss!P13, 3-(1+INT(LOG10(ABS(ProfitLoss!P13))))),0),"N/A")</f>
        <v>53000000</v>
      </c>
      <c r="Q13" s="108" t="str">
        <f>IF(ISNUMBER(ProfitLoss!Q13),IF(ProfitLoss!Q13&gt;0,ROUND(ProfitLoss!Q13, 3-(1+INT(LOG10(ABS(ProfitLoss!Q13))))),0),"N/A")</f>
        <v>N/A</v>
      </c>
    </row>
    <row r="14" spans="2:17" x14ac:dyDescent="0.3">
      <c r="B14" s="67" t="s">
        <v>34</v>
      </c>
      <c r="C14" s="106" t="str">
        <f>IF(ISNUMBER(ProfitLoss!C14),IF(ProfitLoss!C14&gt;0,ROUND(ProfitLoss!C14, 3-(1+INT(LOG10(ABS(ProfitLoss!C14))))),0),"N/A")</f>
        <v>N/A</v>
      </c>
      <c r="D14" s="107">
        <f>IF(ISNUMBER(ProfitLoss!D14),IF(ProfitLoss!D14&gt;0,ROUND(ProfitLoss!D14, 3-(1+INT(LOG10(ABS(ProfitLoss!D14))))),0),"N/A")</f>
        <v>0</v>
      </c>
      <c r="E14" s="108" t="str">
        <f>IF(ISNUMBER(ProfitLoss!E14),IF(ProfitLoss!E14&gt;0,ROUND(ProfitLoss!E14, 3-(1+INT(LOG10(ABS(ProfitLoss!E14))))),0),"N/A")</f>
        <v>N/A</v>
      </c>
      <c r="F14" s="106" t="str">
        <f>IF(ISNUMBER(ProfitLoss!F14),IF(ProfitLoss!F14&gt;0,ROUND(ProfitLoss!F14, 3-(1+INT(LOG10(ABS(ProfitLoss!F14))))),0),"N/A")</f>
        <v>N/A</v>
      </c>
      <c r="G14" s="107">
        <f>IF(ISNUMBER(ProfitLoss!G14),IF(ProfitLoss!G14&gt;0,ROUND(ProfitLoss!G14, 3-(1+INT(LOG10(ABS(ProfitLoss!G14))))),0),"N/A")</f>
        <v>2540000</v>
      </c>
      <c r="H14" s="109" t="str">
        <f>IF(ISNUMBER(ProfitLoss!H14),IF(ProfitLoss!H14&gt;0,ROUND(ProfitLoss!H14, 3-(1+INT(LOG10(ABS(ProfitLoss!H14))))),0),"N/A")</f>
        <v>N/A</v>
      </c>
      <c r="I14" s="106" t="str">
        <f>IF(ISNUMBER(ProfitLoss!I14),IF(ProfitLoss!I14&gt;0,ROUND(ProfitLoss!I14, 3-(1+INT(LOG10(ABS(ProfitLoss!I14))))),0),"N/A")</f>
        <v>N/A</v>
      </c>
      <c r="J14" s="107">
        <f>IF(ISNUMBER(ProfitLoss!J14),IF(ProfitLoss!J14&gt;0,ROUND(ProfitLoss!J14, 3-(1+INT(LOG10(ABS(ProfitLoss!J14))))),0),"N/A")</f>
        <v>7630000</v>
      </c>
      <c r="K14" s="109" t="str">
        <f>IF(ISNUMBER(ProfitLoss!K14),IF(ProfitLoss!K14&gt;0,ROUND(ProfitLoss!K14, 3-(1+INT(LOG10(ABS(ProfitLoss!K14))))),0),"N/A")</f>
        <v>N/A</v>
      </c>
      <c r="L14" s="106" t="str">
        <f>IF(ISNUMBER(ProfitLoss!L14),IF(ProfitLoss!L14&gt;0,ROUND(ProfitLoss!L14, 3-(1+INT(LOG10(ABS(ProfitLoss!L14))))),0),"N/A")</f>
        <v>N/A</v>
      </c>
      <c r="M14" s="107">
        <f>IF(ISNUMBER(ProfitLoss!M14),IF(ProfitLoss!M14&gt;0,ROUND(ProfitLoss!M14, 3-(1+INT(LOG10(ABS(ProfitLoss!M14))))),0),"N/A")</f>
        <v>15300000</v>
      </c>
      <c r="N14" s="109" t="str">
        <f>IF(ISNUMBER(ProfitLoss!N14),IF(ProfitLoss!N14&gt;0,ROUND(ProfitLoss!N14, 3-(1+INT(LOG10(ABS(ProfitLoss!N14))))),0),"N/A")</f>
        <v>N/A</v>
      </c>
      <c r="O14" s="106" t="str">
        <f>IF(ISNUMBER(ProfitLoss!O14),IF(ProfitLoss!O14&gt;0,ROUND(ProfitLoss!O14, 3-(1+INT(LOG10(ABS(ProfitLoss!O14))))),0),"N/A")</f>
        <v>N/A</v>
      </c>
      <c r="P14" s="107">
        <f>IF(ISNUMBER(ProfitLoss!P14),IF(ProfitLoss!P14&gt;0,ROUND(ProfitLoss!P14, 3-(1+INT(LOG10(ABS(ProfitLoss!P14))))),0),"N/A")</f>
        <v>15300000</v>
      </c>
      <c r="Q14" s="108" t="str">
        <f>IF(ISNUMBER(ProfitLoss!Q14),IF(ProfitLoss!Q14&gt;0,ROUND(ProfitLoss!Q14, 3-(1+INT(LOG10(ABS(ProfitLoss!Q14))))),0),"N/A")</f>
        <v>N/A</v>
      </c>
    </row>
    <row r="15" spans="2:17" ht="15" thickBot="1" x14ac:dyDescent="0.35">
      <c r="B15" s="67" t="s">
        <v>35</v>
      </c>
      <c r="C15" s="110">
        <f>IF(ProfitLoss!C15&gt;0,ROUND(ProfitLoss!C15, 3-(1+INT(LOG10(ABS(ProfitLoss!C15))))),0)</f>
        <v>0</v>
      </c>
      <c r="D15" s="111">
        <f>IF(ProfitLoss!D15&gt;0,ROUND(ProfitLoss!D15, 3-(1+INT(LOG10(ABS(ProfitLoss!D15))))),0)</f>
        <v>0</v>
      </c>
      <c r="E15" s="112">
        <f>IF(ProfitLoss!E15&gt;0,ROUND(ProfitLoss!E15, 3-(1+INT(LOG10(ABS(ProfitLoss!E15))))),0)</f>
        <v>0</v>
      </c>
      <c r="F15" s="110">
        <f>IF(ProfitLoss!F15&gt;0,ROUND(ProfitLoss!F15, 3-(1+INT(LOG10(ABS(ProfitLoss!F15))))),0)</f>
        <v>12100000</v>
      </c>
      <c r="G15" s="111">
        <f>IF(ProfitLoss!G15&gt;0,ROUND(ProfitLoss!G15, 3-(1+INT(LOG10(ABS(ProfitLoss!G15))))),0)</f>
        <v>12100000</v>
      </c>
      <c r="H15" s="113">
        <f>IF(ProfitLoss!H15&gt;0,ROUND(ProfitLoss!H15, 3-(1+INT(LOG10(ABS(ProfitLoss!H15))))),0)</f>
        <v>12100000</v>
      </c>
      <c r="I15" s="110">
        <f>IF(ProfitLoss!I15&gt;0,ROUND(ProfitLoss!I15, 3-(1+INT(LOG10(ABS(ProfitLoss!I15))))),0)</f>
        <v>36200000</v>
      </c>
      <c r="J15" s="111">
        <f>IF(ProfitLoss!J15&gt;0,ROUND(ProfitLoss!J15, 3-(1+INT(LOG10(ABS(ProfitLoss!J15))))),0)</f>
        <v>36200000</v>
      </c>
      <c r="K15" s="113">
        <f>IF(ProfitLoss!K15&gt;0,ROUND(ProfitLoss!K15, 3-(1+INT(LOG10(ABS(ProfitLoss!K15))))),0)</f>
        <v>36300000</v>
      </c>
      <c r="L15" s="110">
        <f>IF(ProfitLoss!L15&gt;0,ROUND(ProfitLoss!L15, 3-(1+INT(LOG10(ABS(ProfitLoss!L15))))),0)</f>
        <v>72300000</v>
      </c>
      <c r="M15" s="111">
        <f>IF(ProfitLoss!M15&gt;0,ROUND(ProfitLoss!M15, 3-(1+INT(LOG10(ABS(ProfitLoss!M15))))),0)</f>
        <v>72500000</v>
      </c>
      <c r="N15" s="113">
        <f>IF(ProfitLoss!N15&gt;0,ROUND(ProfitLoss!N15, 3-(1+INT(LOG10(ABS(ProfitLoss!N15))))),0)</f>
        <v>72600000</v>
      </c>
      <c r="O15" s="110">
        <f>IF(ProfitLoss!O15&gt;0,ROUND(ProfitLoss!O15, 3-(1+INT(LOG10(ABS(ProfitLoss!O15))))),0)</f>
        <v>72300000</v>
      </c>
      <c r="P15" s="111">
        <f>IF(ProfitLoss!P15&gt;0,ROUND(ProfitLoss!P15, 3-(1+INT(LOG10(ABS(ProfitLoss!P15))))),0)</f>
        <v>72500000</v>
      </c>
      <c r="Q15" s="112">
        <f>IF(ProfitLoss!Q15&gt;0,ROUND(ProfitLoss!Q15, 3-(1+INT(LOG10(ABS(ProfitLoss!Q15))))),0)</f>
        <v>72600000</v>
      </c>
    </row>
    <row r="16" spans="2:17" x14ac:dyDescent="0.3">
      <c r="B16" s="67"/>
      <c r="C16" s="106"/>
      <c r="D16" s="107"/>
      <c r="E16" s="108"/>
      <c r="F16" s="106"/>
      <c r="G16" s="107"/>
      <c r="H16" s="109"/>
      <c r="I16" s="106"/>
      <c r="J16" s="107"/>
      <c r="K16" s="109"/>
      <c r="L16" s="106"/>
      <c r="M16" s="107"/>
      <c r="N16" s="109"/>
      <c r="O16" s="106"/>
      <c r="P16" s="107"/>
      <c r="Q16" s="108"/>
    </row>
    <row r="17" spans="2:17" ht="15" thickBot="1" x14ac:dyDescent="0.35">
      <c r="B17" s="105" t="s">
        <v>36</v>
      </c>
      <c r="C17" s="114">
        <f>IF(ProfitLoss!C17&gt;0,ROUND(ProfitLoss!C17, 3-(1+INT(LOG10(ABS(ProfitLoss!C17))))),0)</f>
        <v>0</v>
      </c>
      <c r="D17" s="115">
        <f>IF(ProfitLoss!D17&gt;0,ROUND(ProfitLoss!D17, 3-(1+INT(LOG10(ABS(ProfitLoss!D17))))),0)</f>
        <v>0</v>
      </c>
      <c r="E17" s="116">
        <f>IF(ProfitLoss!E17&gt;0,ROUND(ProfitLoss!E17, 3-(1+INT(LOG10(ABS(ProfitLoss!E17))))),0)</f>
        <v>0</v>
      </c>
      <c r="F17" s="114">
        <f>IF(ProfitLoss!F17&gt;0,ROUND(ProfitLoss!F17, 3-(1+INT(LOG10(ABS(ProfitLoss!F17))))),0)</f>
        <v>4630000</v>
      </c>
      <c r="G17" s="115">
        <f>IF(ProfitLoss!G17&gt;0,ROUND(ProfitLoss!G17, 3-(1+INT(LOG10(ABS(ProfitLoss!G17))))),0)</f>
        <v>4650000</v>
      </c>
      <c r="H17" s="117">
        <f>IF(ProfitLoss!H17&gt;0,ROUND(ProfitLoss!H17, 3-(1+INT(LOG10(ABS(ProfitLoss!H17))))),0)</f>
        <v>4680000</v>
      </c>
      <c r="I17" s="114">
        <f>IF(ProfitLoss!I17&gt;0,ROUND(ProfitLoss!I17, 3-(1+INT(LOG10(ABS(ProfitLoss!I17))))),0)</f>
        <v>13900000</v>
      </c>
      <c r="J17" s="115">
        <f>IF(ProfitLoss!J17&gt;0,ROUND(ProfitLoss!J17, 3-(1+INT(LOG10(ABS(ProfitLoss!J17))))),0)</f>
        <v>14000000</v>
      </c>
      <c r="K17" s="117">
        <f>IF(ProfitLoss!K17&gt;0,ROUND(ProfitLoss!K17, 3-(1+INT(LOG10(ABS(ProfitLoss!K17))))),0)</f>
        <v>14000000</v>
      </c>
      <c r="L17" s="114">
        <f>IF(ProfitLoss!L17&gt;0,ROUND(ProfitLoss!L17, 3-(1+INT(LOG10(ABS(ProfitLoss!L17))))),0)</f>
        <v>27800000</v>
      </c>
      <c r="M17" s="115">
        <f>IF(ProfitLoss!M17&gt;0,ROUND(ProfitLoss!M17, 3-(1+INT(LOG10(ABS(ProfitLoss!M17))))),0)</f>
        <v>27900000</v>
      </c>
      <c r="N17" s="117">
        <f>IF(ProfitLoss!N17&gt;0,ROUND(ProfitLoss!N17, 3-(1+INT(LOG10(ABS(ProfitLoss!N17))))),0)</f>
        <v>28100000</v>
      </c>
      <c r="O17" s="114">
        <f>IF(ProfitLoss!O17&gt;0,ROUND(ProfitLoss!O17, 3-(1+INT(LOG10(ABS(ProfitLoss!O17))))),0)</f>
        <v>27800000</v>
      </c>
      <c r="P17" s="115">
        <f>IF(ProfitLoss!P17&gt;0,ROUND(ProfitLoss!P17, 3-(1+INT(LOG10(ABS(ProfitLoss!P17))))),0)</f>
        <v>27900000</v>
      </c>
      <c r="Q17" s="116">
        <f>IF(ProfitLoss!Q17&gt;0,ROUND(ProfitLoss!Q17, 3-(1+INT(LOG10(ABS(ProfitLoss!Q17))))),0)</f>
        <v>28100000</v>
      </c>
    </row>
    <row r="18" spans="2:17" ht="15" thickTop="1" x14ac:dyDescent="0.3">
      <c r="B18" s="67"/>
      <c r="C18" s="106"/>
      <c r="D18" s="107"/>
      <c r="E18" s="108"/>
      <c r="F18" s="106"/>
      <c r="G18" s="107"/>
      <c r="H18" s="109"/>
      <c r="I18" s="106"/>
      <c r="J18" s="107"/>
      <c r="K18" s="109"/>
      <c r="L18" s="106"/>
      <c r="M18" s="107"/>
      <c r="N18" s="109"/>
      <c r="O18" s="106"/>
      <c r="P18" s="107"/>
      <c r="Q18" s="108"/>
    </row>
    <row r="19" spans="2:17" x14ac:dyDescent="0.3">
      <c r="B19" s="105" t="s">
        <v>37</v>
      </c>
      <c r="C19" s="106"/>
      <c r="D19" s="107"/>
      <c r="E19" s="108"/>
      <c r="F19" s="106"/>
      <c r="G19" s="107"/>
      <c r="H19" s="109"/>
      <c r="I19" s="106"/>
      <c r="J19" s="107"/>
      <c r="K19" s="109"/>
      <c r="L19" s="106"/>
      <c r="M19" s="107"/>
      <c r="N19" s="109"/>
      <c r="O19" s="106"/>
      <c r="P19" s="107"/>
      <c r="Q19" s="108"/>
    </row>
    <row r="20" spans="2:17" x14ac:dyDescent="0.3">
      <c r="B20" s="67" t="s">
        <v>38</v>
      </c>
      <c r="C20" s="106" t="str">
        <f>IF(ISNUMBER(ProfitLoss!C20),IF(ProfitLoss!C20&gt;0,ROUND(ProfitLoss!C20, 3-(1+INT(LOG10(ABS(ProfitLoss!C20))))),0),"N/A")</f>
        <v>N/A</v>
      </c>
      <c r="D20" s="107">
        <f>IF(ISNUMBER(ProfitLoss!D20),IF(ProfitLoss!D20&gt;0,ROUND(ProfitLoss!D20, 3-(1+INT(LOG10(ABS(ProfitLoss!D20))))),0),"N/A")</f>
        <v>42400</v>
      </c>
      <c r="E20" s="108" t="str">
        <f>IF(ISNUMBER(ProfitLoss!E20),IF(ProfitLoss!E20&gt;0,ROUND(ProfitLoss!E20, 3-(1+INT(LOG10(ABS(ProfitLoss!E20))))),0),"N/A")</f>
        <v>N/A</v>
      </c>
      <c r="F20" s="106" t="str">
        <f>IF(ISNUMBER(ProfitLoss!F20),IF(ProfitLoss!F20&gt;0,ROUND(ProfitLoss!F20, 3-(1+INT(LOG10(ABS(ProfitLoss!F20))))),0),"N/A")</f>
        <v>N/A</v>
      </c>
      <c r="G20" s="107">
        <f>IF(ISNUMBER(ProfitLoss!G20),IF(ProfitLoss!G20&gt;0,ROUND(ProfitLoss!G20, 3-(1+INT(LOG10(ABS(ProfitLoss!G20))))),0),"N/A")</f>
        <v>42400</v>
      </c>
      <c r="H20" s="109" t="str">
        <f>IF(ISNUMBER(ProfitLoss!H20),IF(ProfitLoss!H20&gt;0,ROUND(ProfitLoss!H20, 3-(1+INT(LOG10(ABS(ProfitLoss!H20))))),0),"N/A")</f>
        <v>N/A</v>
      </c>
      <c r="I20" s="106" t="str">
        <f>IF(ISNUMBER(ProfitLoss!I20),IF(ProfitLoss!I20&gt;0,ROUND(ProfitLoss!I20, 3-(1+INT(LOG10(ABS(ProfitLoss!I20))))),0),"N/A")</f>
        <v>N/A</v>
      </c>
      <c r="J20" s="107">
        <f>IF(ISNUMBER(ProfitLoss!J20),IF(ProfitLoss!J20&gt;0,ROUND(ProfitLoss!J20, 3-(1+INT(LOG10(ABS(ProfitLoss!J20))))),0),"N/A")</f>
        <v>42400</v>
      </c>
      <c r="K20" s="109" t="str">
        <f>IF(ISNUMBER(ProfitLoss!K20),IF(ProfitLoss!K20&gt;0,ROUND(ProfitLoss!K20, 3-(1+INT(LOG10(ABS(ProfitLoss!K20))))),0),"N/A")</f>
        <v>N/A</v>
      </c>
      <c r="L20" s="106" t="str">
        <f>IF(ISNUMBER(ProfitLoss!L20),IF(ProfitLoss!L20&gt;0,ROUND(ProfitLoss!L20, 3-(1+INT(LOG10(ABS(ProfitLoss!L20))))),0),"N/A")</f>
        <v>N/A</v>
      </c>
      <c r="M20" s="107">
        <f>IF(ISNUMBER(ProfitLoss!M20),IF(ProfitLoss!M20&gt;0,ROUND(ProfitLoss!M20, 3-(1+INT(LOG10(ABS(ProfitLoss!M20))))),0),"N/A")</f>
        <v>42400</v>
      </c>
      <c r="N20" s="109" t="str">
        <f>IF(ISNUMBER(ProfitLoss!N20),IF(ProfitLoss!N20&gt;0,ROUND(ProfitLoss!N20, 3-(1+INT(LOG10(ABS(ProfitLoss!N20))))),0),"N/A")</f>
        <v>N/A</v>
      </c>
      <c r="O20" s="106" t="str">
        <f>IF(ISNUMBER(ProfitLoss!O20),IF(ProfitLoss!O20&gt;0,ROUND(ProfitLoss!O20, 3-(1+INT(LOG10(ABS(ProfitLoss!O20))))),0),"N/A")</f>
        <v>N/A</v>
      </c>
      <c r="P20" s="107">
        <f>IF(ISNUMBER(ProfitLoss!P20),IF(ProfitLoss!P20&gt;0,ROUND(ProfitLoss!P20, 3-(1+INT(LOG10(ABS(ProfitLoss!P20))))),0),"N/A")</f>
        <v>42400</v>
      </c>
      <c r="Q20" s="108" t="str">
        <f>IF(ISNUMBER(ProfitLoss!Q20),IF(ProfitLoss!Q20&gt;0,ROUND(ProfitLoss!Q20, 3-(1+INT(LOG10(ABS(ProfitLoss!Q20))))),0),"N/A")</f>
        <v>N/A</v>
      </c>
    </row>
    <row r="21" spans="2:17" x14ac:dyDescent="0.3">
      <c r="B21" s="67" t="s">
        <v>39</v>
      </c>
      <c r="C21" s="106">
        <f>IF(ISNUMBER(ProfitLoss!C21),IF(ProfitLoss!C21&gt;0,ROUND(ProfitLoss!C21, 3-(1+INT(LOG10(ABS(ProfitLoss!C21))))),0),"N/A")</f>
        <v>2360000</v>
      </c>
      <c r="D21" s="107">
        <f>IF(ISNUMBER(ProfitLoss!D21),IF(ProfitLoss!D21&gt;0,ROUND(ProfitLoss!D21, 3-(1+INT(LOG10(ABS(ProfitLoss!D21))))),0),"N/A")</f>
        <v>7020000</v>
      </c>
      <c r="E21" s="108">
        <f>IF(ISNUMBER(ProfitLoss!E21),IF(ProfitLoss!E21&gt;0,ROUND(ProfitLoss!E21, 3-(1+INT(LOG10(ABS(ProfitLoss!E21))))),0),"N/A")</f>
        <v>11700000</v>
      </c>
      <c r="F21" s="106">
        <f>IF(ISNUMBER(ProfitLoss!F21),IF(ProfitLoss!F21&gt;0,ROUND(ProfitLoss!F21, 3-(1+INT(LOG10(ABS(ProfitLoss!F21))))),0),"N/A")</f>
        <v>4370000</v>
      </c>
      <c r="G21" s="107">
        <f>IF(ISNUMBER(ProfitLoss!G21),IF(ProfitLoss!G21&gt;0,ROUND(ProfitLoss!G21, 3-(1+INT(LOG10(ABS(ProfitLoss!G21))))),0),"N/A")</f>
        <v>19200000</v>
      </c>
      <c r="H21" s="109">
        <f>IF(ISNUMBER(ProfitLoss!H21),IF(ProfitLoss!H21&gt;0,ROUND(ProfitLoss!H21, 3-(1+INT(LOG10(ABS(ProfitLoss!H21))))),0),"N/A")</f>
        <v>34100000</v>
      </c>
      <c r="I21" s="106">
        <f>IF(ISNUMBER(ProfitLoss!I21),IF(ProfitLoss!I21&gt;0,ROUND(ProfitLoss!I21, 3-(1+INT(LOG10(ABS(ProfitLoss!I21))))),0),"N/A")</f>
        <v>3160000</v>
      </c>
      <c r="J21" s="107">
        <f>IF(ISNUMBER(ProfitLoss!J21),IF(ProfitLoss!J21&gt;0,ROUND(ProfitLoss!J21, 3-(1+INT(LOG10(ABS(ProfitLoss!J21))))),0),"N/A")</f>
        <v>34700000</v>
      </c>
      <c r="K21" s="109">
        <f>IF(ISNUMBER(ProfitLoss!K21),IF(ProfitLoss!K21&gt;0,ROUND(ProfitLoss!K21, 3-(1+INT(LOG10(ABS(ProfitLoss!K21))))),0),"N/A")</f>
        <v>66300000</v>
      </c>
      <c r="L21" s="106">
        <f>IF(ISNUMBER(ProfitLoss!L21),IF(ProfitLoss!L21&gt;0,ROUND(ProfitLoss!L21, 3-(1+INT(LOG10(ABS(ProfitLoss!L21))))),0),"N/A")</f>
        <v>0</v>
      </c>
      <c r="M21" s="107">
        <f>IF(ISNUMBER(ProfitLoss!M21),IF(ProfitLoss!M21&gt;0,ROUND(ProfitLoss!M21, 3-(1+INT(LOG10(ABS(ProfitLoss!M21))))),0),"N/A")</f>
        <v>31000000</v>
      </c>
      <c r="N21" s="109">
        <f>IF(ISNUMBER(ProfitLoss!N21),IF(ProfitLoss!N21&gt;0,ROUND(ProfitLoss!N21, 3-(1+INT(LOG10(ABS(ProfitLoss!N21))))),0),"N/A")</f>
        <v>64600000</v>
      </c>
      <c r="O21" s="106">
        <f>IF(ISNUMBER(ProfitLoss!O21),IF(ProfitLoss!O21&gt;0,ROUND(ProfitLoss!O21, 3-(1+INT(LOG10(ABS(ProfitLoss!O21))))),0),"N/A")</f>
        <v>0</v>
      </c>
      <c r="P21" s="107">
        <f>IF(ISNUMBER(ProfitLoss!P21),IF(ProfitLoss!P21&gt;0,ROUND(ProfitLoss!P21, 3-(1+INT(LOG10(ABS(ProfitLoss!P21))))),0),"N/A")</f>
        <v>0</v>
      </c>
      <c r="Q21" s="108">
        <f>IF(ISNUMBER(ProfitLoss!Q21),IF(ProfitLoss!Q21&gt;0,ROUND(ProfitLoss!Q21, 3-(1+INT(LOG10(ABS(ProfitLoss!Q21))))),0),"N/A")</f>
        <v>0</v>
      </c>
    </row>
    <row r="22" spans="2:17" x14ac:dyDescent="0.3">
      <c r="B22" s="67" t="s">
        <v>40</v>
      </c>
      <c r="C22" s="106" t="str">
        <f>IF(ISNUMBER(ProfitLoss!C22),IF(ProfitLoss!C22&gt;0,ROUND(ProfitLoss!C22, 3-(1+INT(LOG10(ABS(ProfitLoss!C22))))),0),"N/A")</f>
        <v>N/A</v>
      </c>
      <c r="D22" s="107">
        <f>IF(ISNUMBER(ProfitLoss!D22),IF(ProfitLoss!D22&gt;0,ROUND(ProfitLoss!D22, 3-(1+INT(LOG10(ABS(ProfitLoss!D22))))),0),"N/A")</f>
        <v>2120000</v>
      </c>
      <c r="E22" s="108" t="str">
        <f>IF(ISNUMBER(ProfitLoss!E22),IF(ProfitLoss!E22&gt;0,ROUND(ProfitLoss!E22, 3-(1+INT(LOG10(ABS(ProfitLoss!E22))))),0),"N/A")</f>
        <v>N/A</v>
      </c>
      <c r="F22" s="106" t="str">
        <f>IF(ISNUMBER(ProfitLoss!F22),IF(ProfitLoss!F22&gt;0,ROUND(ProfitLoss!F22, 3-(1+INT(LOG10(ABS(ProfitLoss!F22))))),0),"N/A")</f>
        <v>N/A</v>
      </c>
      <c r="G22" s="107">
        <f>IF(ISNUMBER(ProfitLoss!G22),IF(ProfitLoss!G22&gt;0,ROUND(ProfitLoss!G22, 3-(1+INT(LOG10(ABS(ProfitLoss!G22))))),0),"N/A")</f>
        <v>152000</v>
      </c>
      <c r="H22" s="109" t="str">
        <f>IF(ISNUMBER(ProfitLoss!H22),IF(ProfitLoss!H22&gt;0,ROUND(ProfitLoss!H22, 3-(1+INT(LOG10(ABS(ProfitLoss!H22))))),0),"N/A")</f>
        <v>N/A</v>
      </c>
      <c r="I22" s="106" t="str">
        <f>IF(ISNUMBER(ProfitLoss!I22),IF(ProfitLoss!I22&gt;0,ROUND(ProfitLoss!I22, 3-(1+INT(LOG10(ABS(ProfitLoss!I22))))),0),"N/A")</f>
        <v>N/A</v>
      </c>
      <c r="J22" s="107">
        <f>IF(ISNUMBER(ProfitLoss!J22),IF(ProfitLoss!J22&gt;0,ROUND(ProfitLoss!J22, 3-(1+INT(LOG10(ABS(ProfitLoss!J22))))),0),"N/A")</f>
        <v>695000</v>
      </c>
      <c r="K22" s="109" t="str">
        <f>IF(ISNUMBER(ProfitLoss!K22),IF(ProfitLoss!K22&gt;0,ROUND(ProfitLoss!K22, 3-(1+INT(LOG10(ABS(ProfitLoss!K22))))),0),"N/A")</f>
        <v>N/A</v>
      </c>
      <c r="L22" s="106" t="str">
        <f>IF(ISNUMBER(ProfitLoss!L22),IF(ProfitLoss!L22&gt;0,ROUND(ProfitLoss!L22, 3-(1+INT(LOG10(ABS(ProfitLoss!L22))))),0),"N/A")</f>
        <v>N/A</v>
      </c>
      <c r="M22" s="107">
        <f>IF(ISNUMBER(ProfitLoss!M22),IF(ProfitLoss!M22&gt;0,ROUND(ProfitLoss!M22, 3-(1+INT(LOG10(ABS(ProfitLoss!M22))))),0),"N/A")</f>
        <v>0</v>
      </c>
      <c r="N22" s="109" t="str">
        <f>IF(ISNUMBER(ProfitLoss!N22),IF(ProfitLoss!N22&gt;0,ROUND(ProfitLoss!N22, 3-(1+INT(LOG10(ABS(ProfitLoss!N22))))),0),"N/A")</f>
        <v>N/A</v>
      </c>
      <c r="O22" s="106" t="str">
        <f>IF(ISNUMBER(ProfitLoss!O22),IF(ProfitLoss!O22&gt;0,ROUND(ProfitLoss!O22, 3-(1+INT(LOG10(ABS(ProfitLoss!O22))))),0),"N/A")</f>
        <v>N/A</v>
      </c>
      <c r="P22" s="107">
        <f>IF(ISNUMBER(ProfitLoss!P22),IF(ProfitLoss!P22&gt;0,ROUND(ProfitLoss!P22, 3-(1+INT(LOG10(ABS(ProfitLoss!P22))))),0),"N/A")</f>
        <v>0</v>
      </c>
      <c r="Q22" s="108" t="str">
        <f>IF(ISNUMBER(ProfitLoss!Q22),IF(ProfitLoss!Q22&gt;0,ROUND(ProfitLoss!Q22, 3-(1+INT(LOG10(ABS(ProfitLoss!Q22))))),0),"N/A")</f>
        <v>N/A</v>
      </c>
    </row>
    <row r="23" spans="2:17" ht="15" thickBot="1" x14ac:dyDescent="0.35">
      <c r="B23" s="67" t="s">
        <v>41</v>
      </c>
      <c r="C23" s="110">
        <f>IF(ProfitLoss!C23&gt;0,ROUND(ProfitLoss!C23, 3-(1+INT(LOG10(ABS(ProfitLoss!C23))))),0)</f>
        <v>4520000</v>
      </c>
      <c r="D23" s="111">
        <f>IF(ProfitLoss!D23&gt;0,ROUND(ProfitLoss!D23, 3-(1+INT(LOG10(ABS(ProfitLoss!D23))))),0)</f>
        <v>9180000</v>
      </c>
      <c r="E23" s="112">
        <f>IF(ProfitLoss!E23&gt;0,ROUND(ProfitLoss!E23, 3-(1+INT(LOG10(ABS(ProfitLoss!E23))))),0)</f>
        <v>13800000</v>
      </c>
      <c r="F23" s="110">
        <f>IF(ProfitLoss!F23&gt;0,ROUND(ProfitLoss!F23, 3-(1+INT(LOG10(ABS(ProfitLoss!F23))))),0)</f>
        <v>4560000</v>
      </c>
      <c r="G23" s="111">
        <f>IF(ProfitLoss!G23&gt;0,ROUND(ProfitLoss!G23, 3-(1+INT(LOG10(ABS(ProfitLoss!G23))))),0)</f>
        <v>19400000</v>
      </c>
      <c r="H23" s="113">
        <f>IF(ProfitLoss!H23&gt;0,ROUND(ProfitLoss!H23, 3-(1+INT(LOG10(ABS(ProfitLoss!H23))))),0)</f>
        <v>34300000</v>
      </c>
      <c r="I23" s="110">
        <f>IF(ProfitLoss!I23&gt;0,ROUND(ProfitLoss!I23, 3-(1+INT(LOG10(ABS(ProfitLoss!I23))))),0)</f>
        <v>3900000</v>
      </c>
      <c r="J23" s="111">
        <f>IF(ProfitLoss!J23&gt;0,ROUND(ProfitLoss!J23, 3-(1+INT(LOG10(ABS(ProfitLoss!J23))))),0)</f>
        <v>35500000</v>
      </c>
      <c r="K23" s="113">
        <f>IF(ProfitLoss!K23&gt;0,ROUND(ProfitLoss!K23, 3-(1+INT(LOG10(ABS(ProfitLoss!K23))))),0)</f>
        <v>67000000</v>
      </c>
      <c r="L23" s="110">
        <f>IF(ProfitLoss!L23&gt;0,ROUND(ProfitLoss!L23, 3-(1+INT(LOG10(ABS(ProfitLoss!L23))))),0)</f>
        <v>42400</v>
      </c>
      <c r="M23" s="111">
        <f>IF(ProfitLoss!M23&gt;0,ROUND(ProfitLoss!M23, 3-(1+INT(LOG10(ABS(ProfitLoss!M23))))),0)</f>
        <v>31100000</v>
      </c>
      <c r="N23" s="113">
        <f>IF(ProfitLoss!N23&gt;0,ROUND(ProfitLoss!N23, 3-(1+INT(LOG10(ABS(ProfitLoss!N23))))),0)</f>
        <v>64600000</v>
      </c>
      <c r="O23" s="110">
        <f>IF(ProfitLoss!O23&gt;0,ROUND(ProfitLoss!O23, 3-(1+INT(LOG10(ABS(ProfitLoss!O23))))),0)</f>
        <v>42400</v>
      </c>
      <c r="P23" s="111">
        <f>IF(ProfitLoss!P23&gt;0,ROUND(ProfitLoss!P23, 3-(1+INT(LOG10(ABS(ProfitLoss!P23))))),0)</f>
        <v>42400</v>
      </c>
      <c r="Q23" s="112">
        <f>IF(ProfitLoss!Q23&gt;0,ROUND(ProfitLoss!Q23, 3-(1+INT(LOG10(ABS(ProfitLoss!Q23))))),0)</f>
        <v>42400</v>
      </c>
    </row>
    <row r="24" spans="2:17" x14ac:dyDescent="0.3">
      <c r="B24" s="67"/>
      <c r="C24" s="106"/>
      <c r="D24" s="107"/>
      <c r="E24" s="108"/>
      <c r="F24" s="106"/>
      <c r="G24" s="107"/>
      <c r="H24" s="109"/>
      <c r="I24" s="106"/>
      <c r="J24" s="107"/>
      <c r="K24" s="109"/>
      <c r="L24" s="106"/>
      <c r="M24" s="107"/>
      <c r="N24" s="109"/>
      <c r="O24" s="106"/>
      <c r="P24" s="107"/>
      <c r="Q24" s="108"/>
    </row>
    <row r="25" spans="2:17" ht="15" thickBot="1" x14ac:dyDescent="0.35">
      <c r="B25" s="105" t="s">
        <v>42</v>
      </c>
      <c r="C25" s="114">
        <f>ROUND(ProfitLoss!C25,3-(1+INT(LOG10(ABS(ProfitLoss!C25)))))</f>
        <v>-13800000</v>
      </c>
      <c r="D25" s="115">
        <f>ROUND(ProfitLoss!D25,3-(1+INT(LOG10(ABS(ProfitLoss!D25)))))</f>
        <v>-9180000</v>
      </c>
      <c r="E25" s="116">
        <f>ROUND(ProfitLoss!E25,3-(1+INT(LOG10(ABS(ProfitLoss!E25)))))</f>
        <v>-4520000</v>
      </c>
      <c r="F25" s="114">
        <f>ROUND(ProfitLoss!F25,3-(1+INT(LOG10(ABS(ProfitLoss!F25)))))</f>
        <v>-29600000</v>
      </c>
      <c r="G25" s="115">
        <f>ROUND(ProfitLoss!G25,3-(1+INT(LOG10(ABS(ProfitLoss!G25)))))</f>
        <v>-14800000</v>
      </c>
      <c r="H25" s="117">
        <f>ROUND(ProfitLoss!H25,3-(1+INT(LOG10(ABS(ProfitLoss!H25)))))</f>
        <v>117000</v>
      </c>
      <c r="I25" s="114">
        <f>ROUND(ProfitLoss!I25,3-(1+INT(LOG10(ABS(ProfitLoss!I25)))))</f>
        <v>-53200000</v>
      </c>
      <c r="J25" s="115">
        <f>ROUND(ProfitLoss!J25,3-(1+INT(LOG10(ABS(ProfitLoss!J25)))))</f>
        <v>-21500000</v>
      </c>
      <c r="K25" s="117">
        <f>ROUND(ProfitLoss!K25,3-(1+INT(LOG10(ABS(ProfitLoss!K25)))))</f>
        <v>10100000</v>
      </c>
      <c r="L25" s="114">
        <f>ROUND(ProfitLoss!L25,3-(1+INT(LOG10(ABS(ProfitLoss!L25)))))</f>
        <v>-36900000</v>
      </c>
      <c r="M25" s="115">
        <f>ROUND(ProfitLoss!M25,3-(1+INT(LOG10(ABS(ProfitLoss!M25)))))</f>
        <v>-3150000</v>
      </c>
      <c r="N25" s="117">
        <f>ROUND(ProfitLoss!N25,3-(1+INT(LOG10(ABS(ProfitLoss!N25)))))</f>
        <v>28000000</v>
      </c>
      <c r="O25" s="114">
        <f>ROUND(ProfitLoss!O25,3-(1+INT(LOG10(ABS(ProfitLoss!O25)))))</f>
        <v>27700000</v>
      </c>
      <c r="P25" s="115">
        <f>ROUND(ProfitLoss!P25,3-(1+INT(LOG10(ABS(ProfitLoss!P25)))))</f>
        <v>27900000</v>
      </c>
      <c r="Q25" s="116">
        <f>ROUND(ProfitLoss!Q25,3-(1+INT(LOG10(ABS(ProfitLoss!Q25)))))</f>
        <v>28000000</v>
      </c>
    </row>
    <row r="26" spans="2:17" ht="15" thickTop="1" x14ac:dyDescent="0.3">
      <c r="B26" s="67"/>
      <c r="C26" s="106"/>
      <c r="D26" s="107"/>
      <c r="E26" s="108"/>
      <c r="F26" s="106"/>
      <c r="G26" s="107"/>
      <c r="H26" s="109"/>
      <c r="I26" s="106"/>
      <c r="J26" s="107"/>
      <c r="K26" s="109"/>
      <c r="L26" s="106"/>
      <c r="M26" s="107"/>
      <c r="N26" s="109"/>
      <c r="O26" s="106"/>
      <c r="P26" s="107"/>
      <c r="Q26" s="108"/>
    </row>
    <row r="27" spans="2:17" x14ac:dyDescent="0.3">
      <c r="B27" s="105" t="s">
        <v>43</v>
      </c>
      <c r="C27" s="106"/>
      <c r="D27" s="107"/>
      <c r="E27" s="108"/>
      <c r="F27" s="106"/>
      <c r="G27" s="107"/>
      <c r="H27" s="109"/>
      <c r="I27" s="106"/>
      <c r="J27" s="107"/>
      <c r="K27" s="109"/>
      <c r="L27" s="106"/>
      <c r="M27" s="107"/>
      <c r="N27" s="109"/>
      <c r="O27" s="106"/>
      <c r="P27" s="107"/>
      <c r="Q27" s="108"/>
    </row>
    <row r="28" spans="2:17" x14ac:dyDescent="0.3">
      <c r="B28" s="67" t="s">
        <v>44</v>
      </c>
      <c r="C28" s="106">
        <f>IF(ProfitLoss!C28=0,0,ROUND(ProfitLoss!C28, 3-(1+INT(LOG10(ABS(ProfitLoss!C28))))))</f>
        <v>0</v>
      </c>
      <c r="D28" s="107">
        <f>IF(ProfitLoss!D28=0,0,ROUND(ProfitLoss!D28, 3-(1+INT(LOG10(ABS(ProfitLoss!D28))))))</f>
        <v>0</v>
      </c>
      <c r="E28" s="108">
        <f>IF(ProfitLoss!E28=0,0,ROUND(ProfitLoss!E28, 3-(1+INT(LOG10(ABS(ProfitLoss!E28))))))</f>
        <v>0</v>
      </c>
      <c r="F28" s="106">
        <f>IF(ProfitLoss!F28=0,0,ROUND(ProfitLoss!F28, 3-(1+INT(LOG10(ABS(ProfitLoss!F28))))))</f>
        <v>0</v>
      </c>
      <c r="G28" s="107">
        <f>IF(ProfitLoss!G28=0,0,ROUND(ProfitLoss!G28, 3-(1+INT(LOG10(ABS(ProfitLoss!G28))))))</f>
        <v>0</v>
      </c>
      <c r="H28" s="109">
        <f>IF(ProfitLoss!H28=0,0,ROUND(ProfitLoss!H28, 3-(1+INT(LOG10(ABS(ProfitLoss!H28))))))</f>
        <v>-29300</v>
      </c>
      <c r="I28" s="106">
        <f>IF(ProfitLoss!I28=0,0,ROUND(ProfitLoss!I28, 3-(1+INT(LOG10(ABS(ProfitLoss!I28))))))</f>
        <v>0</v>
      </c>
      <c r="J28" s="107">
        <f>IF(ProfitLoss!J28=0,0,ROUND(ProfitLoss!J28, 3-(1+INT(LOG10(ABS(ProfitLoss!J28))))))</f>
        <v>0</v>
      </c>
      <c r="K28" s="109">
        <f>IF(ProfitLoss!K28=0,0,ROUND(ProfitLoss!K28, 3-(1+INT(LOG10(ABS(ProfitLoss!K28))))))</f>
        <v>-2530000</v>
      </c>
      <c r="L28" s="106">
        <f>IF(ProfitLoss!L28=0,0,ROUND(ProfitLoss!L28, 3-(1+INT(LOG10(ABS(ProfitLoss!L28))))))</f>
        <v>0</v>
      </c>
      <c r="M28" s="107">
        <f>IF(ProfitLoss!M28=0,0,ROUND(ProfitLoss!M28, 3-(1+INT(LOG10(ABS(ProfitLoss!M28))))))</f>
        <v>0</v>
      </c>
      <c r="N28" s="109">
        <f>IF(ProfitLoss!N28=0,0,ROUND(ProfitLoss!N28, 3-(1+INT(LOG10(ABS(ProfitLoss!N28))))))</f>
        <v>-7010000</v>
      </c>
      <c r="O28" s="106">
        <f>IF(ProfitLoss!O28=0,0,ROUND(ProfitLoss!O28, 3-(1+INT(LOG10(ABS(ProfitLoss!O28))))))</f>
        <v>-6930000</v>
      </c>
      <c r="P28" s="107">
        <f>IF(ProfitLoss!P28=0,0,ROUND(ProfitLoss!P28, 3-(1+INT(LOG10(ABS(ProfitLoss!P28))))))</f>
        <v>-6970000</v>
      </c>
      <c r="Q28" s="108">
        <f>IF(ProfitLoss!Q28=0,0,ROUND(ProfitLoss!Q28, 3-(1+INT(LOG10(ABS(ProfitLoss!Q28))))))</f>
        <v>-7010000</v>
      </c>
    </row>
    <row r="29" spans="2:17" x14ac:dyDescent="0.3">
      <c r="B29" s="67" t="s">
        <v>45</v>
      </c>
      <c r="C29" s="106">
        <f>IF(ProfitLoss!C29=0,0,ROUND(ProfitLoss!C29, 3-(1+INT(LOG10(ABS(ProfitLoss!C29))))))</f>
        <v>-21200</v>
      </c>
      <c r="D29" s="107">
        <f>IF(ProfitLoss!D29=0,0,ROUND(ProfitLoss!D29, 3-(1+INT(LOG10(ABS(ProfitLoss!D29))))))</f>
        <v>-21200</v>
      </c>
      <c r="E29" s="108">
        <f>IF(ProfitLoss!E29=0,0,ROUND(ProfitLoss!E29, 3-(1+INT(LOG10(ABS(ProfitLoss!E29))))))</f>
        <v>-21200</v>
      </c>
      <c r="F29" s="106">
        <f>IF(ProfitLoss!F29=0,0,ROUND(ProfitLoss!F29, 3-(1+INT(LOG10(ABS(ProfitLoss!F29))))))</f>
        <v>-21200</v>
      </c>
      <c r="G29" s="107">
        <f>IF(ProfitLoss!G29=0,0,ROUND(ProfitLoss!G29, 3-(1+INT(LOG10(ABS(ProfitLoss!G29))))))</f>
        <v>-21200</v>
      </c>
      <c r="H29" s="109">
        <f>IF(ProfitLoss!H29=0,0,ROUND(ProfitLoss!H29, 3-(1+INT(LOG10(ABS(ProfitLoss!H29))))))</f>
        <v>-21200</v>
      </c>
      <c r="I29" s="106">
        <f>IF(ProfitLoss!I29=0,0,ROUND(ProfitLoss!I29, 3-(1+INT(LOG10(ABS(ProfitLoss!I29))))))</f>
        <v>-21200</v>
      </c>
      <c r="J29" s="107">
        <f>IF(ProfitLoss!J29=0,0,ROUND(ProfitLoss!J29, 3-(1+INT(LOG10(ABS(ProfitLoss!J29))))))</f>
        <v>-21200</v>
      </c>
      <c r="K29" s="109">
        <f>IF(ProfitLoss!K29=0,0,ROUND(ProfitLoss!K29, 3-(1+INT(LOG10(ABS(ProfitLoss!K29))))))</f>
        <v>-21200</v>
      </c>
      <c r="L29" s="106">
        <f>IF(ProfitLoss!L29=0,0,ROUND(ProfitLoss!L29, 3-(1+INT(LOG10(ABS(ProfitLoss!L29))))))</f>
        <v>-21200</v>
      </c>
      <c r="M29" s="107">
        <f>IF(ProfitLoss!M29=0,0,ROUND(ProfitLoss!M29, 3-(1+INT(LOG10(ABS(ProfitLoss!M29))))))</f>
        <v>-21200</v>
      </c>
      <c r="N29" s="109">
        <f>IF(ProfitLoss!N29=0,0,ROUND(ProfitLoss!N29, 3-(1+INT(LOG10(ABS(ProfitLoss!N29))))))</f>
        <v>-21200</v>
      </c>
      <c r="O29" s="106">
        <f>IF(ProfitLoss!O29=0,0,ROUND(ProfitLoss!O29, 3-(1+INT(LOG10(ABS(ProfitLoss!O29))))))</f>
        <v>-21200</v>
      </c>
      <c r="P29" s="107">
        <f>IF(ProfitLoss!P29=0,0,ROUND(ProfitLoss!P29, 3-(1+INT(LOG10(ABS(ProfitLoss!P29))))))</f>
        <v>-21200</v>
      </c>
      <c r="Q29" s="108">
        <f>IF(ProfitLoss!Q29=0,0,ROUND(ProfitLoss!Q29, 3-(1+INT(LOG10(ABS(ProfitLoss!Q29))))))</f>
        <v>-21200</v>
      </c>
    </row>
    <row r="30" spans="2:17" x14ac:dyDescent="0.3">
      <c r="B30" s="67" t="s">
        <v>46</v>
      </c>
      <c r="C30" s="106">
        <f>IF(ProfitLoss!C30&gt;0,ROUND(ProfitLoss!C30, 3-(1+INT(LOG10(ABS(ProfitLoss!C30))))),0)</f>
        <v>637000</v>
      </c>
      <c r="D30" s="107">
        <f>IF(ProfitLoss!D30&gt;0,ROUND(ProfitLoss!D30, 3-(1+INT(LOG10(ABS(ProfitLoss!D30))))),0)</f>
        <v>1890000</v>
      </c>
      <c r="E30" s="108">
        <f>IF(ProfitLoss!E30&gt;0,ROUND(ProfitLoss!E30, 3-(1+INT(LOG10(ABS(ProfitLoss!E30))))),0)</f>
        <v>3150000</v>
      </c>
      <c r="F30" s="106">
        <f>IF(ProfitLoss!F30&gt;0,ROUND(ProfitLoss!F30, 3-(1+INT(LOG10(ABS(ProfitLoss!F30))))),0)</f>
        <v>707000</v>
      </c>
      <c r="G30" s="107">
        <f>IF(ProfitLoss!G30&gt;0,ROUND(ProfitLoss!G30, 3-(1+INT(LOG10(ABS(ProfitLoss!G30))))),0)</f>
        <v>5180000</v>
      </c>
      <c r="H30" s="109">
        <f>IF(ProfitLoss!H30&gt;0,ROUND(ProfitLoss!H30, 3-(1+INT(LOG10(ABS(ProfitLoss!H30))))),0)</f>
        <v>5110000</v>
      </c>
      <c r="I30" s="106">
        <f>IF(ProfitLoss!I30&gt;0,ROUND(ProfitLoss!I30, 3-(1+INT(LOG10(ABS(ProfitLoss!I30))))),0)</f>
        <v>512000</v>
      </c>
      <c r="J30" s="107">
        <f>IF(ProfitLoss!J30&gt;0,ROUND(ProfitLoss!J30, 3-(1+INT(LOG10(ABS(ProfitLoss!J30))))),0)</f>
        <v>9370000</v>
      </c>
      <c r="K30" s="109">
        <f>IF(ProfitLoss!K30&gt;0,ROUND(ProfitLoss!K30, 3-(1+INT(LOG10(ABS(ProfitLoss!K30))))),0)</f>
        <v>9940000</v>
      </c>
      <c r="L30" s="106">
        <f>IF(ProfitLoss!L30&gt;0,ROUND(ProfitLoss!L30, 3-(1+INT(LOG10(ABS(ProfitLoss!L30))))),0)</f>
        <v>0</v>
      </c>
      <c r="M30" s="107">
        <f>IF(ProfitLoss!M30&gt;0,ROUND(ProfitLoss!M30, 3-(1+INT(LOG10(ABS(ProfitLoss!M30))))),0)</f>
        <v>8370000</v>
      </c>
      <c r="N30" s="109">
        <f>IF(ProfitLoss!N30&gt;0,ROUND(ProfitLoss!N30, 3-(1+INT(LOG10(ABS(ProfitLoss!N30))))),0)</f>
        <v>9690000</v>
      </c>
      <c r="O30" s="106">
        <f>IF(ProfitLoss!O30&gt;0,ROUND(ProfitLoss!O30, 3-(1+INT(LOG10(ABS(ProfitLoss!O30))))),0)</f>
        <v>0</v>
      </c>
      <c r="P30" s="107">
        <f>IF(ProfitLoss!P30&gt;0,ROUND(ProfitLoss!P30, 3-(1+INT(LOG10(ABS(ProfitLoss!P30))))),0)</f>
        <v>0</v>
      </c>
      <c r="Q30" s="108">
        <f>IF(ProfitLoss!Q30&gt;0,ROUND(ProfitLoss!Q30, 3-(1+INT(LOG10(ABS(ProfitLoss!Q30))))),0)</f>
        <v>0</v>
      </c>
    </row>
    <row r="31" spans="2:17" ht="15" thickBot="1" x14ac:dyDescent="0.35">
      <c r="B31" s="67" t="s">
        <v>47</v>
      </c>
      <c r="C31" s="110">
        <f>ROUND(ProfitLoss!C31, 3-(1+INT(LOG10(ABS(ProfitLoss!C31)))))</f>
        <v>616000</v>
      </c>
      <c r="D31" s="111">
        <f>ROUND(ProfitLoss!D31, 3-(1+INT(LOG10(ABS(ProfitLoss!D31)))))</f>
        <v>1870000</v>
      </c>
      <c r="E31" s="112">
        <f>ROUND(ProfitLoss!E31, 3-(1+INT(LOG10(ABS(ProfitLoss!E31)))))</f>
        <v>3130000</v>
      </c>
      <c r="F31" s="110">
        <f>ROUND(ProfitLoss!F31, 3-(1+INT(LOG10(ABS(ProfitLoss!F31)))))</f>
        <v>686000</v>
      </c>
      <c r="G31" s="111">
        <f>ROUND(ProfitLoss!G31, 3-(1+INT(LOG10(ABS(ProfitLoss!G31)))))</f>
        <v>5160000</v>
      </c>
      <c r="H31" s="113">
        <f>ROUND(ProfitLoss!H31, 3-(1+INT(LOG10(ABS(ProfitLoss!H31)))))</f>
        <v>5060000</v>
      </c>
      <c r="I31" s="110">
        <f>ROUND(ProfitLoss!I31, 3-(1+INT(LOG10(ABS(ProfitLoss!I31)))))</f>
        <v>490000</v>
      </c>
      <c r="J31" s="111">
        <f>ROUND(ProfitLoss!J31, 3-(1+INT(LOG10(ABS(ProfitLoss!J31)))))</f>
        <v>9340000</v>
      </c>
      <c r="K31" s="113">
        <f>ROUND(ProfitLoss!K31, 3-(1+INT(LOG10(ABS(ProfitLoss!K31)))))</f>
        <v>7390000</v>
      </c>
      <c r="L31" s="110">
        <f>ROUND(ProfitLoss!L31, 3-(1+INT(LOG10(ABS(ProfitLoss!L31)))))</f>
        <v>-21200</v>
      </c>
      <c r="M31" s="111">
        <f>ROUND(ProfitLoss!M31, 3-(1+INT(LOG10(ABS(ProfitLoss!M31)))))</f>
        <v>8350000</v>
      </c>
      <c r="N31" s="113">
        <f>ROUND(ProfitLoss!N31, 3-(1+INT(LOG10(ABS(ProfitLoss!N31)))))</f>
        <v>2660000</v>
      </c>
      <c r="O31" s="110">
        <f>ROUND(ProfitLoss!O31, 3-(1+INT(LOG10(ABS(ProfitLoss!O31)))))</f>
        <v>-6950000</v>
      </c>
      <c r="P31" s="111">
        <f>ROUND(ProfitLoss!P31, 3-(1+INT(LOG10(ABS(ProfitLoss!P31)))))</f>
        <v>-6990000</v>
      </c>
      <c r="Q31" s="112">
        <f>ROUND(ProfitLoss!Q31, 3-(1+INT(LOG10(ABS(ProfitLoss!Q31)))))</f>
        <v>-7030000</v>
      </c>
    </row>
    <row r="32" spans="2:17" x14ac:dyDescent="0.3">
      <c r="B32" s="67"/>
      <c r="C32" s="106"/>
      <c r="D32" s="107"/>
      <c r="E32" s="108"/>
      <c r="F32" s="106"/>
      <c r="G32" s="107"/>
      <c r="H32" s="109"/>
      <c r="I32" s="106"/>
      <c r="J32" s="107"/>
      <c r="K32" s="109"/>
      <c r="L32" s="106"/>
      <c r="M32" s="107"/>
      <c r="N32" s="109"/>
      <c r="O32" s="106"/>
      <c r="P32" s="107"/>
      <c r="Q32" s="108"/>
    </row>
    <row r="33" spans="2:17" ht="15" thickBot="1" x14ac:dyDescent="0.35">
      <c r="B33" s="105" t="s">
        <v>48</v>
      </c>
      <c r="C33" s="114">
        <f>IF(ProfitLoss!C33=0,0,ROUND(ProfitLoss!C33, 3-(1+INT(LOG10(ABS(ProfitLoss!C33))))))</f>
        <v>-13200000</v>
      </c>
      <c r="D33" s="115">
        <f>IF(ProfitLoss!D33=0,0,ROUND(ProfitLoss!D33, 3-(1+INT(LOG10(ABS(ProfitLoss!D33))))))</f>
        <v>-7310000</v>
      </c>
      <c r="E33" s="116">
        <f>IF(ProfitLoss!E33=0,0,ROUND(ProfitLoss!E33, 3-(1+INT(LOG10(ABS(ProfitLoss!E33))))))</f>
        <v>-1390000</v>
      </c>
      <c r="F33" s="114">
        <f>IF(ProfitLoss!F33=0,0,ROUND(ProfitLoss!F33, 3-(1+INT(LOG10(ABS(ProfitLoss!F33))))))</f>
        <v>-28900000</v>
      </c>
      <c r="G33" s="115">
        <f>IF(ProfitLoss!G33=0,0,ROUND(ProfitLoss!G33, 3-(1+INT(LOG10(ABS(ProfitLoss!G33))))))</f>
        <v>-9600000</v>
      </c>
      <c r="H33" s="117">
        <f>IF(ProfitLoss!H33=0,0,ROUND(ProfitLoss!H33, 3-(1+INT(LOG10(ABS(ProfitLoss!H33))))))</f>
        <v>5180000</v>
      </c>
      <c r="I33" s="114">
        <f>IF(ProfitLoss!I33=0,0,ROUND(ProfitLoss!I33, 3-(1+INT(LOG10(ABS(ProfitLoss!I33))))))</f>
        <v>-52700000</v>
      </c>
      <c r="J33" s="115">
        <f>IF(ProfitLoss!J33=0,0,ROUND(ProfitLoss!J33, 3-(1+INT(LOG10(ABS(ProfitLoss!J33))))))</f>
        <v>-12200000</v>
      </c>
      <c r="K33" s="117">
        <f>IF(ProfitLoss!K33=0,0,ROUND(ProfitLoss!K33, 3-(1+INT(LOG10(ABS(ProfitLoss!K33))))))</f>
        <v>17500000</v>
      </c>
      <c r="L33" s="114">
        <f>IF(ProfitLoss!L33=0,0,ROUND(ProfitLoss!L33, 3-(1+INT(LOG10(ABS(ProfitLoss!L33))))))</f>
        <v>-36900000</v>
      </c>
      <c r="M33" s="115">
        <f>IF(ProfitLoss!M33=0,0,ROUND(ProfitLoss!M33, 3-(1+INT(LOG10(ABS(ProfitLoss!M33))))))</f>
        <v>5190000</v>
      </c>
      <c r="N33" s="117">
        <f>IF(ProfitLoss!N33=0,0,ROUND(ProfitLoss!N33, 3-(1+INT(LOG10(ABS(ProfitLoss!N33))))))</f>
        <v>30700000</v>
      </c>
      <c r="O33" s="114">
        <f>IF(ProfitLoss!O33=0,0,ROUND(ProfitLoss!O33, 3-(1+INT(LOG10(ABS(ProfitLoss!O33))))))</f>
        <v>20800000</v>
      </c>
      <c r="P33" s="115">
        <f>IF(ProfitLoss!P33=0,0,ROUND(ProfitLoss!P33, 3-(1+INT(LOG10(ABS(ProfitLoss!P33))))))</f>
        <v>20900000</v>
      </c>
      <c r="Q33" s="116">
        <f>IF(ProfitLoss!Q33=0,0,ROUND(ProfitLoss!Q33, 3-(1+INT(LOG10(ABS(ProfitLoss!Q33))))))</f>
        <v>21000000</v>
      </c>
    </row>
    <row r="34" spans="2:17" ht="15" thickTop="1" x14ac:dyDescent="0.3"/>
  </sheetData>
  <mergeCells count="5">
    <mergeCell ref="C4:E4"/>
    <mergeCell ref="F4:H4"/>
    <mergeCell ref="I4:K4"/>
    <mergeCell ref="L4:N4"/>
    <mergeCell ref="O4:Q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23E5-9E38-43DE-9CFB-0ED4CAFAC4CB}">
  <dimension ref="B1:P158"/>
  <sheetViews>
    <sheetView zoomScale="70" zoomScaleNormal="70" workbookViewId="0">
      <selection activeCell="E6" sqref="E6"/>
    </sheetView>
  </sheetViews>
  <sheetFormatPr defaultRowHeight="14.4" x14ac:dyDescent="0.3"/>
  <cols>
    <col min="2" max="2" width="51.6640625" bestFit="1" customWidth="1"/>
    <col min="3" max="3" width="18.6640625" bestFit="1" customWidth="1"/>
    <col min="4" max="4" width="9.6640625" customWidth="1"/>
    <col min="5" max="5" width="21.88671875" bestFit="1" customWidth="1"/>
    <col min="6" max="6" width="26.33203125" bestFit="1" customWidth="1"/>
    <col min="7" max="7" width="32.6640625" bestFit="1" customWidth="1"/>
    <col min="8" max="8" width="20.109375" bestFit="1" customWidth="1"/>
    <col min="9" max="9" width="16.33203125" bestFit="1" customWidth="1"/>
    <col min="10" max="10" width="21.88671875" bestFit="1" customWidth="1"/>
    <col min="12" max="12" width="29.44140625" bestFit="1" customWidth="1"/>
    <col min="13" max="13" width="14.88671875" bestFit="1" customWidth="1"/>
    <col min="14" max="14" width="12.6640625" bestFit="1" customWidth="1"/>
    <col min="15" max="15" width="21.88671875" bestFit="1" customWidth="1"/>
  </cols>
  <sheetData>
    <row r="1" spans="2:8" ht="21" x14ac:dyDescent="0.4">
      <c r="B1" s="1" t="s">
        <v>49</v>
      </c>
    </row>
    <row r="2" spans="2:8" x14ac:dyDescent="0.3">
      <c r="D2" t="s">
        <v>50</v>
      </c>
    </row>
    <row r="4" spans="2:8" x14ac:dyDescent="0.3">
      <c r="B4" s="53" t="s">
        <v>0</v>
      </c>
      <c r="C4" s="53" t="s">
        <v>51</v>
      </c>
      <c r="D4" s="53" t="s">
        <v>52</v>
      </c>
      <c r="E4" s="53" t="s">
        <v>53</v>
      </c>
      <c r="F4" s="53" t="s">
        <v>54</v>
      </c>
      <c r="G4" s="53" t="s">
        <v>55</v>
      </c>
      <c r="H4" s="53" t="s">
        <v>56</v>
      </c>
    </row>
    <row r="5" spans="2:8" x14ac:dyDescent="0.3">
      <c r="B5" s="7" t="s">
        <v>5</v>
      </c>
      <c r="C5" s="7">
        <v>0</v>
      </c>
      <c r="D5" s="7">
        <f>C5</f>
        <v>0</v>
      </c>
      <c r="E5" s="7">
        <f>Manufacture!$B$83</f>
        <v>60406.947478478993</v>
      </c>
      <c r="F5" s="7">
        <v>27.8</v>
      </c>
      <c r="G5" s="7">
        <f>E5/(1-F5/100)</f>
        <v>83666.132241660656</v>
      </c>
      <c r="H5" s="7">
        <f>G5*D5</f>
        <v>0</v>
      </c>
    </row>
    <row r="6" spans="2:8" x14ac:dyDescent="0.3">
      <c r="B6" s="7" t="s">
        <v>6</v>
      </c>
      <c r="C6" s="7">
        <v>200</v>
      </c>
      <c r="D6" s="7">
        <f t="shared" ref="D6:D9" si="0">C6</f>
        <v>200</v>
      </c>
      <c r="E6" s="7">
        <f>Manufacture!$B$83</f>
        <v>60406.947478478993</v>
      </c>
      <c r="F6" s="7">
        <f>((G6-E6)/G6)*100</f>
        <v>27.800000000000004</v>
      </c>
      <c r="G6" s="7">
        <f>G5</f>
        <v>83666.132241660656</v>
      </c>
      <c r="H6" s="7">
        <f t="shared" ref="H6:H9" si="1">G6*D6</f>
        <v>16733226.448332131</v>
      </c>
    </row>
    <row r="7" spans="2:8" x14ac:dyDescent="0.3">
      <c r="B7" s="7" t="s">
        <v>7</v>
      </c>
      <c r="C7" s="7">
        <v>600</v>
      </c>
      <c r="D7" s="7">
        <f t="shared" si="0"/>
        <v>600</v>
      </c>
      <c r="E7" s="7">
        <f>Manufacture!$B$83</f>
        <v>60406.947478478993</v>
      </c>
      <c r="F7" s="7">
        <f t="shared" ref="F7:F9" si="2">((G7-E7)/G7)*100</f>
        <v>27.800000000000004</v>
      </c>
      <c r="G7" s="7">
        <f t="shared" ref="G7:G9" si="3">G6</f>
        <v>83666.132241660656</v>
      </c>
      <c r="H7" s="7">
        <f t="shared" si="1"/>
        <v>50199679.344996393</v>
      </c>
    </row>
    <row r="8" spans="2:8" x14ac:dyDescent="0.3">
      <c r="B8" s="7" t="s">
        <v>8</v>
      </c>
      <c r="C8" s="7">
        <v>1200</v>
      </c>
      <c r="D8" s="7">
        <f t="shared" si="0"/>
        <v>1200</v>
      </c>
      <c r="E8" s="7">
        <f>Manufacture!$B$83</f>
        <v>60406.947478478993</v>
      </c>
      <c r="F8" s="7">
        <f t="shared" si="2"/>
        <v>27.800000000000004</v>
      </c>
      <c r="G8" s="7">
        <f t="shared" si="3"/>
        <v>83666.132241660656</v>
      </c>
      <c r="H8" s="7">
        <f t="shared" si="1"/>
        <v>100399358.68999279</v>
      </c>
    </row>
    <row r="9" spans="2:8" x14ac:dyDescent="0.3">
      <c r="B9" s="7" t="s">
        <v>9</v>
      </c>
      <c r="C9" s="7">
        <v>1200</v>
      </c>
      <c r="D9" s="7">
        <f t="shared" si="0"/>
        <v>1200</v>
      </c>
      <c r="E9" s="7">
        <f>Manufacture!$B$83</f>
        <v>60406.947478478993</v>
      </c>
      <c r="F9" s="7">
        <f t="shared" si="2"/>
        <v>27.800000000000004</v>
      </c>
      <c r="G9" s="7">
        <f t="shared" si="3"/>
        <v>83666.132241660656</v>
      </c>
      <c r="H9" s="7">
        <f t="shared" si="1"/>
        <v>100399358.68999279</v>
      </c>
    </row>
    <row r="15" spans="2:8" x14ac:dyDescent="0.3">
      <c r="B15" s="2" t="s">
        <v>57</v>
      </c>
    </row>
    <row r="17" spans="2:10" ht="28.8" x14ac:dyDescent="0.3">
      <c r="B17" s="53" t="s">
        <v>58</v>
      </c>
      <c r="C17" s="71">
        <f>L107*$I$18</f>
        <v>-374098.36436089972</v>
      </c>
      <c r="D17" s="7" t="s">
        <v>59</v>
      </c>
      <c r="E17" s="71">
        <f>L108*$I$18</f>
        <v>2324783.345843378</v>
      </c>
      <c r="F17" s="53" t="s">
        <v>60</v>
      </c>
      <c r="G17" s="71">
        <f>I108*$I$18</f>
        <v>975342.49074123916</v>
      </c>
      <c r="I17" s="6" t="s">
        <v>1</v>
      </c>
    </row>
    <row r="18" spans="2:10" x14ac:dyDescent="0.3">
      <c r="I18" s="7">
        <v>1.25</v>
      </c>
    </row>
    <row r="19" spans="2:10" x14ac:dyDescent="0.3">
      <c r="B19" s="53" t="s">
        <v>61</v>
      </c>
      <c r="C19" s="72">
        <v>2.67</v>
      </c>
    </row>
    <row r="21" spans="2:10" x14ac:dyDescent="0.3">
      <c r="B21" s="2" t="s">
        <v>62</v>
      </c>
    </row>
    <row r="23" spans="2:10" x14ac:dyDescent="0.3">
      <c r="B23" s="7" t="s">
        <v>63</v>
      </c>
      <c r="C23" s="7" t="s">
        <v>64</v>
      </c>
      <c r="D23" s="7" t="s">
        <v>65</v>
      </c>
      <c r="E23" s="7" t="s">
        <v>66</v>
      </c>
      <c r="G23" s="7" t="s">
        <v>63</v>
      </c>
      <c r="H23" s="7" t="s">
        <v>67</v>
      </c>
      <c r="I23" s="7" t="s">
        <v>65</v>
      </c>
      <c r="J23" s="7" t="s">
        <v>68</v>
      </c>
    </row>
    <row r="24" spans="2:10" x14ac:dyDescent="0.3">
      <c r="B24" s="55" t="s">
        <v>69</v>
      </c>
      <c r="C24" s="55">
        <v>2.9</v>
      </c>
      <c r="D24" s="7">
        <v>1100000</v>
      </c>
      <c r="E24" s="7">
        <f>(C24-$C$36)^2</f>
        <v>0.39550123456790087</v>
      </c>
      <c r="G24" s="55" t="s">
        <v>69</v>
      </c>
      <c r="H24" s="55">
        <v>2.4900000000000002</v>
      </c>
      <c r="I24" s="7">
        <v>1100000</v>
      </c>
      <c r="J24" s="7">
        <f t="shared" ref="J24:J35" si="4">(H24-$H$39)^2</f>
        <v>5.7760111111111065</v>
      </c>
    </row>
    <row r="25" spans="2:10" x14ac:dyDescent="0.3">
      <c r="B25" s="55" t="s">
        <v>70</v>
      </c>
      <c r="C25" s="55">
        <v>11</v>
      </c>
      <c r="D25" s="7">
        <v>30000000</v>
      </c>
      <c r="E25" s="7">
        <f t="shared" ref="E25:E32" si="5">(C25-$C$36)^2</f>
        <v>55.817501234567914</v>
      </c>
      <c r="G25" s="55" t="s">
        <v>70</v>
      </c>
      <c r="H25" s="55">
        <v>20.100000000000001</v>
      </c>
      <c r="I25" s="7">
        <v>30000000</v>
      </c>
      <c r="J25" s="7">
        <f t="shared" si="4"/>
        <v>231.24271111111116</v>
      </c>
    </row>
    <row r="26" spans="2:10" x14ac:dyDescent="0.3">
      <c r="B26" s="55" t="s">
        <v>71</v>
      </c>
      <c r="C26" s="55">
        <v>0.86</v>
      </c>
      <c r="D26" s="7">
        <v>500000</v>
      </c>
      <c r="E26" s="7">
        <f t="shared" si="5"/>
        <v>7.122967901234567</v>
      </c>
      <c r="G26" s="58" t="s">
        <v>71</v>
      </c>
      <c r="H26" s="55">
        <v>1.32</v>
      </c>
      <c r="I26" s="7">
        <v>500000</v>
      </c>
      <c r="J26" s="7">
        <f t="shared" si="4"/>
        <v>12.768711111111104</v>
      </c>
    </row>
    <row r="27" spans="2:10" x14ac:dyDescent="0.3">
      <c r="B27" s="55" t="s">
        <v>72</v>
      </c>
      <c r="C27" s="55">
        <v>6.5</v>
      </c>
      <c r="D27" s="7">
        <v>18700000</v>
      </c>
      <c r="E27" s="7">
        <f t="shared" si="5"/>
        <v>8.8275012345679027</v>
      </c>
      <c r="G27" s="55" t="s">
        <v>72</v>
      </c>
      <c r="H27" s="55">
        <v>10.9</v>
      </c>
      <c r="I27" s="7">
        <v>18700000</v>
      </c>
      <c r="J27" s="7">
        <f t="shared" si="4"/>
        <v>36.080044444444454</v>
      </c>
    </row>
    <row r="28" spans="2:10" x14ac:dyDescent="0.3">
      <c r="B28" s="55" t="s">
        <v>73</v>
      </c>
      <c r="C28" s="55">
        <v>2.5</v>
      </c>
      <c r="D28" s="7">
        <v>3000000</v>
      </c>
      <c r="E28" s="7">
        <f t="shared" si="5"/>
        <v>1.0586123456790115</v>
      </c>
      <c r="G28" s="55" t="s">
        <v>73</v>
      </c>
      <c r="H28" s="55">
        <v>4.9000000000000004</v>
      </c>
      <c r="I28" s="7">
        <v>3000000</v>
      </c>
      <c r="J28" s="7">
        <f t="shared" si="4"/>
        <v>4.4444444444458338E-5</v>
      </c>
    </row>
    <row r="29" spans="2:10" x14ac:dyDescent="0.3">
      <c r="B29" s="55" t="s">
        <v>74</v>
      </c>
      <c r="C29" s="55">
        <v>1.5</v>
      </c>
      <c r="D29" s="7">
        <v>270000</v>
      </c>
      <c r="E29" s="7">
        <f t="shared" si="5"/>
        <v>4.1163901234567888</v>
      </c>
      <c r="G29" s="55" t="s">
        <v>74</v>
      </c>
      <c r="H29" s="55">
        <v>0.91</v>
      </c>
      <c r="I29" s="7">
        <v>270000</v>
      </c>
      <c r="J29" s="7">
        <f t="shared" si="4"/>
        <v>15.866944444444437</v>
      </c>
    </row>
    <row r="30" spans="2:10" x14ac:dyDescent="0.3">
      <c r="B30" s="55" t="s">
        <v>75</v>
      </c>
      <c r="C30" s="55">
        <v>0.5</v>
      </c>
      <c r="D30" s="7">
        <v>58000</v>
      </c>
      <c r="E30" s="7">
        <f t="shared" si="5"/>
        <v>9.1741679012345649</v>
      </c>
      <c r="G30" s="55" t="s">
        <v>76</v>
      </c>
      <c r="H30" s="55">
        <v>2.2999999999999998</v>
      </c>
      <c r="I30" s="7">
        <v>15000</v>
      </c>
      <c r="J30" s="7">
        <f t="shared" si="4"/>
        <v>6.7253777777777755</v>
      </c>
    </row>
    <row r="31" spans="2:10" x14ac:dyDescent="0.3">
      <c r="B31" s="55" t="s">
        <v>77</v>
      </c>
      <c r="C31" s="55">
        <v>3.5</v>
      </c>
      <c r="D31" s="7">
        <v>31000</v>
      </c>
      <c r="E31" s="7">
        <f t="shared" si="5"/>
        <v>8.3456790123454655E-4</v>
      </c>
      <c r="G31" s="55" t="s">
        <v>75</v>
      </c>
      <c r="H31" s="55">
        <v>0.8</v>
      </c>
      <c r="I31" s="7">
        <v>58000</v>
      </c>
      <c r="J31" s="7">
        <f t="shared" si="4"/>
        <v>16.755377777777774</v>
      </c>
    </row>
    <row r="32" spans="2:10" x14ac:dyDescent="0.3">
      <c r="B32" s="56" t="s">
        <v>78</v>
      </c>
      <c r="C32" s="55">
        <v>2.5</v>
      </c>
      <c r="D32" s="7">
        <v>100000</v>
      </c>
      <c r="E32" s="7">
        <f t="shared" si="5"/>
        <v>1.0586123456790115</v>
      </c>
      <c r="G32" s="58" t="s">
        <v>77</v>
      </c>
      <c r="H32" s="55">
        <v>5</v>
      </c>
      <c r="I32" s="7">
        <v>31000</v>
      </c>
      <c r="J32" s="7">
        <f t="shared" si="4"/>
        <v>1.1377777777777924E-2</v>
      </c>
    </row>
    <row r="33" spans="2:10" x14ac:dyDescent="0.3">
      <c r="G33" s="58" t="s">
        <v>79</v>
      </c>
      <c r="H33" s="55">
        <v>5</v>
      </c>
      <c r="I33" s="7">
        <v>100000</v>
      </c>
      <c r="J33" s="7">
        <f t="shared" si="4"/>
        <v>1.1377777777777924E-2</v>
      </c>
    </row>
    <row r="34" spans="2:10" x14ac:dyDescent="0.3">
      <c r="C34" s="165" t="s">
        <v>80</v>
      </c>
      <c r="D34" s="165"/>
      <c r="E34" s="7">
        <f>SUM(E24:E32)</f>
        <v>87.572088888888885</v>
      </c>
      <c r="G34" s="56" t="s">
        <v>78</v>
      </c>
      <c r="H34" s="55">
        <v>3</v>
      </c>
      <c r="I34" s="7">
        <v>100000</v>
      </c>
      <c r="J34" s="7">
        <f t="shared" si="4"/>
        <v>3.5847111111111083</v>
      </c>
    </row>
    <row r="35" spans="2:10" x14ac:dyDescent="0.3">
      <c r="G35" s="56" t="s">
        <v>81</v>
      </c>
      <c r="H35" s="56">
        <v>2</v>
      </c>
      <c r="I35" s="7">
        <v>2600</v>
      </c>
      <c r="J35" s="7">
        <f t="shared" si="4"/>
        <v>8.3713777777777736</v>
      </c>
    </row>
    <row r="36" spans="2:10" x14ac:dyDescent="0.3">
      <c r="B36" s="57" t="s">
        <v>82</v>
      </c>
      <c r="C36" s="7">
        <f>AVERAGE(C24:C32)</f>
        <v>3.5288888888888885</v>
      </c>
    </row>
    <row r="37" spans="2:10" x14ac:dyDescent="0.3">
      <c r="H37" s="59" t="s">
        <v>80</v>
      </c>
      <c r="I37" s="60"/>
      <c r="J37" s="7">
        <f>SUM(J24:J35)</f>
        <v>337.19406666666669</v>
      </c>
    </row>
    <row r="39" spans="2:10" x14ac:dyDescent="0.3">
      <c r="G39" s="57" t="s">
        <v>82</v>
      </c>
      <c r="H39" s="7">
        <f>AVERAGE(H24:H35)</f>
        <v>4.8933333333333326</v>
      </c>
    </row>
    <row r="42" spans="2:10" x14ac:dyDescent="0.3">
      <c r="B42" s="2" t="s">
        <v>83</v>
      </c>
      <c r="G42" t="s">
        <v>84</v>
      </c>
    </row>
    <row r="43" spans="2:10" ht="15" thickBot="1" x14ac:dyDescent="0.35"/>
    <row r="44" spans="2:10" x14ac:dyDescent="0.3">
      <c r="B44" s="7" t="s">
        <v>63</v>
      </c>
      <c r="C44" s="7" t="s">
        <v>65</v>
      </c>
      <c r="D44" s="7" t="s">
        <v>64</v>
      </c>
      <c r="E44" s="7" t="s">
        <v>67</v>
      </c>
      <c r="G44" s="13" t="s">
        <v>85</v>
      </c>
      <c r="H44" s="13"/>
    </row>
    <row r="45" spans="2:10" x14ac:dyDescent="0.3">
      <c r="B45" s="55" t="s">
        <v>69</v>
      </c>
      <c r="C45" s="7">
        <v>1100000</v>
      </c>
      <c r="D45" s="55">
        <v>2.9</v>
      </c>
      <c r="E45" s="55">
        <v>2.4900000000000002</v>
      </c>
      <c r="G45" t="s">
        <v>86</v>
      </c>
      <c r="H45">
        <v>0.96948691582475344</v>
      </c>
    </row>
    <row r="46" spans="2:10" x14ac:dyDescent="0.3">
      <c r="B46" s="55" t="s">
        <v>70</v>
      </c>
      <c r="C46" s="7">
        <v>30000000</v>
      </c>
      <c r="D46" s="55">
        <v>11</v>
      </c>
      <c r="E46" s="55">
        <v>20.100000000000001</v>
      </c>
      <c r="G46" t="s">
        <v>87</v>
      </c>
      <c r="H46">
        <v>0.93990487995539262</v>
      </c>
    </row>
    <row r="47" spans="2:10" x14ac:dyDescent="0.3">
      <c r="B47" s="55" t="s">
        <v>71</v>
      </c>
      <c r="C47" s="7">
        <v>500000</v>
      </c>
      <c r="D47" s="55">
        <v>0.86</v>
      </c>
      <c r="E47" s="55">
        <v>1.32</v>
      </c>
      <c r="G47" t="s">
        <v>88</v>
      </c>
      <c r="H47">
        <v>0.91987317327385687</v>
      </c>
    </row>
    <row r="48" spans="2:10" x14ac:dyDescent="0.3">
      <c r="B48" s="55" t="s">
        <v>72</v>
      </c>
      <c r="C48" s="7">
        <v>18700000</v>
      </c>
      <c r="D48" s="55">
        <v>6.5</v>
      </c>
      <c r="E48" s="55">
        <v>10.9</v>
      </c>
      <c r="G48" t="s">
        <v>89</v>
      </c>
      <c r="H48">
        <v>3066939.1824547024</v>
      </c>
    </row>
    <row r="49" spans="2:15" ht="15" thickBot="1" x14ac:dyDescent="0.35">
      <c r="B49" s="55" t="s">
        <v>73</v>
      </c>
      <c r="C49" s="7">
        <v>3000000</v>
      </c>
      <c r="D49" s="55">
        <v>2.5</v>
      </c>
      <c r="E49" s="55">
        <v>4.9000000000000004</v>
      </c>
      <c r="G49" s="11" t="s">
        <v>90</v>
      </c>
      <c r="H49" s="11">
        <v>9</v>
      </c>
    </row>
    <row r="50" spans="2:15" x14ac:dyDescent="0.3">
      <c r="B50" s="55" t="s">
        <v>74</v>
      </c>
      <c r="C50" s="7">
        <v>270000</v>
      </c>
      <c r="D50" s="55">
        <v>1.5</v>
      </c>
      <c r="E50" s="55">
        <v>0.91</v>
      </c>
    </row>
    <row r="51" spans="2:15" ht="15" thickBot="1" x14ac:dyDescent="0.35">
      <c r="B51" s="55" t="s">
        <v>75</v>
      </c>
      <c r="C51" s="7">
        <v>58000</v>
      </c>
      <c r="D51" s="55">
        <v>0.5</v>
      </c>
      <c r="E51" s="55">
        <v>0.8</v>
      </c>
      <c r="G51" t="s">
        <v>91</v>
      </c>
    </row>
    <row r="52" spans="2:15" x14ac:dyDescent="0.3">
      <c r="B52" s="55" t="s">
        <v>77</v>
      </c>
      <c r="C52" s="7">
        <v>31000</v>
      </c>
      <c r="D52" s="55">
        <v>3.5</v>
      </c>
      <c r="E52" s="55">
        <v>5</v>
      </c>
      <c r="G52" s="12"/>
      <c r="H52" s="12" t="s">
        <v>92</v>
      </c>
      <c r="I52" s="12" t="s">
        <v>93</v>
      </c>
      <c r="J52" s="12" t="s">
        <v>94</v>
      </c>
      <c r="K52" s="12" t="s">
        <v>95</v>
      </c>
      <c r="L52" s="12" t="s">
        <v>96</v>
      </c>
    </row>
    <row r="53" spans="2:15" x14ac:dyDescent="0.3">
      <c r="B53" s="56" t="s">
        <v>78</v>
      </c>
      <c r="C53" s="7">
        <v>100000</v>
      </c>
      <c r="D53" s="55">
        <v>2.5</v>
      </c>
      <c r="E53" s="55">
        <v>3</v>
      </c>
      <c r="G53" t="s">
        <v>97</v>
      </c>
      <c r="H53">
        <v>2</v>
      </c>
      <c r="I53">
        <v>882686075862300</v>
      </c>
      <c r="J53">
        <v>441343037931150</v>
      </c>
      <c r="K53">
        <v>46.920858761462846</v>
      </c>
      <c r="L53">
        <v>2.1702892595050862E-4</v>
      </c>
    </row>
    <row r="54" spans="2:15" x14ac:dyDescent="0.3">
      <c r="G54" t="s">
        <v>98</v>
      </c>
      <c r="H54">
        <v>6</v>
      </c>
      <c r="I54">
        <v>56436695693255.508</v>
      </c>
      <c r="J54">
        <v>9406115948875.918</v>
      </c>
    </row>
    <row r="55" spans="2:15" ht="15" thickBot="1" x14ac:dyDescent="0.35">
      <c r="G55" s="11" t="s">
        <v>99</v>
      </c>
      <c r="H55" s="11">
        <v>8</v>
      </c>
      <c r="I55" s="11">
        <v>939122771555555.5</v>
      </c>
      <c r="J55" s="11"/>
      <c r="K55" s="11"/>
      <c r="L55" s="11"/>
    </row>
    <row r="56" spans="2:15" ht="15" thickBot="1" x14ac:dyDescent="0.35"/>
    <row r="57" spans="2:15" x14ac:dyDescent="0.3">
      <c r="G57" s="12"/>
      <c r="H57" s="12" t="s">
        <v>100</v>
      </c>
      <c r="I57" s="12" t="s">
        <v>89</v>
      </c>
      <c r="J57" s="12" t="s">
        <v>101</v>
      </c>
      <c r="K57" s="12" t="s">
        <v>102</v>
      </c>
      <c r="L57" s="12" t="s">
        <v>103</v>
      </c>
      <c r="M57" s="12" t="s">
        <v>104</v>
      </c>
      <c r="N57" s="12" t="s">
        <v>105</v>
      </c>
      <c r="O57" s="12" t="s">
        <v>106</v>
      </c>
    </row>
    <row r="58" spans="2:15" x14ac:dyDescent="0.3">
      <c r="G58" t="s">
        <v>107</v>
      </c>
      <c r="H58">
        <v>-2974619.9975143699</v>
      </c>
      <c r="I58">
        <v>1974649.4636003082</v>
      </c>
      <c r="J58">
        <v>-1.5064040744177709</v>
      </c>
      <c r="K58">
        <v>0.18267914098564259</v>
      </c>
      <c r="L58">
        <v>-7806413.1718550213</v>
      </c>
      <c r="M58">
        <v>1857173.1768262815</v>
      </c>
      <c r="N58">
        <v>-7806413.1718550213</v>
      </c>
      <c r="O58">
        <v>1857173.1768262815</v>
      </c>
    </row>
    <row r="59" spans="2:15" x14ac:dyDescent="0.3">
      <c r="G59" t="s">
        <v>64</v>
      </c>
      <c r="H59">
        <v>-271914.73298510723</v>
      </c>
      <c r="I59">
        <v>2034891.9952142157</v>
      </c>
      <c r="J59">
        <v>-0.13362612542808811</v>
      </c>
      <c r="K59">
        <v>0.89806752037463988</v>
      </c>
      <c r="L59">
        <v>-5251116.0718748048</v>
      </c>
      <c r="M59">
        <v>4707286.6059045903</v>
      </c>
      <c r="N59">
        <v>-5251116.0718748048</v>
      </c>
      <c r="O59">
        <v>4707286.6059045903</v>
      </c>
    </row>
    <row r="60" spans="2:15" ht="15" thickBot="1" x14ac:dyDescent="0.35">
      <c r="G60" s="11" t="s">
        <v>67</v>
      </c>
      <c r="H60" s="11">
        <v>1804261.2686611966</v>
      </c>
      <c r="I60" s="11">
        <v>1066393.4349522244</v>
      </c>
      <c r="J60" s="11">
        <v>1.6919283348195309</v>
      </c>
      <c r="K60" s="11">
        <v>0.14160860421744112</v>
      </c>
      <c r="L60" s="11">
        <v>-805109.46530659334</v>
      </c>
      <c r="M60" s="11">
        <v>4413632.0026289867</v>
      </c>
      <c r="N60" s="11">
        <v>-805109.46530659334</v>
      </c>
      <c r="O60" s="11">
        <v>4413632.0026289867</v>
      </c>
    </row>
    <row r="64" spans="2:15" x14ac:dyDescent="0.3">
      <c r="G64" t="s">
        <v>108</v>
      </c>
      <c r="L64" t="s">
        <v>109</v>
      </c>
    </row>
    <row r="65" spans="7:13" ht="15" thickBot="1" x14ac:dyDescent="0.35"/>
    <row r="66" spans="7:13" x14ac:dyDescent="0.3">
      <c r="G66" s="12" t="s">
        <v>110</v>
      </c>
      <c r="H66" s="12" t="s">
        <v>111</v>
      </c>
      <c r="I66" s="12" t="s">
        <v>112</v>
      </c>
      <c r="J66" s="12" t="s">
        <v>113</v>
      </c>
      <c r="L66" s="12" t="s">
        <v>114</v>
      </c>
      <c r="M66" s="12" t="s">
        <v>65</v>
      </c>
    </row>
    <row r="67" spans="7:13" x14ac:dyDescent="0.3">
      <c r="G67">
        <v>1</v>
      </c>
      <c r="H67">
        <v>729437.83579519857</v>
      </c>
      <c r="I67">
        <v>370562.16420480143</v>
      </c>
      <c r="J67">
        <v>0.13951640546318028</v>
      </c>
      <c r="L67">
        <v>5.5555555555555554</v>
      </c>
      <c r="M67">
        <v>31000</v>
      </c>
    </row>
    <row r="68" spans="7:13" x14ac:dyDescent="0.3">
      <c r="G68">
        <v>2</v>
      </c>
      <c r="H68">
        <v>30299969.439739507</v>
      </c>
      <c r="I68">
        <v>-299969.43973950669</v>
      </c>
      <c r="J68">
        <v>-0.1129382922054884</v>
      </c>
      <c r="L68">
        <v>16.666666666666664</v>
      </c>
      <c r="M68">
        <v>58000</v>
      </c>
    </row>
    <row r="69" spans="7:13" x14ac:dyDescent="0.3">
      <c r="G69">
        <v>3</v>
      </c>
      <c r="H69">
        <v>-826841.7932487824</v>
      </c>
      <c r="I69">
        <v>1326841.7932487824</v>
      </c>
      <c r="J69">
        <v>0.49955504229536168</v>
      </c>
      <c r="L69">
        <v>27.777777777777779</v>
      </c>
      <c r="M69">
        <v>100000</v>
      </c>
    </row>
    <row r="70" spans="7:13" x14ac:dyDescent="0.3">
      <c r="G70">
        <v>4</v>
      </c>
      <c r="H70">
        <v>14924382.066489475</v>
      </c>
      <c r="I70">
        <v>3775617.9335105252</v>
      </c>
      <c r="J70">
        <v>1.4215176112653003</v>
      </c>
      <c r="L70">
        <v>38.888888888888886</v>
      </c>
      <c r="M70">
        <v>270000</v>
      </c>
    </row>
    <row r="71" spans="7:13" x14ac:dyDescent="0.3">
      <c r="G71">
        <v>5</v>
      </c>
      <c r="H71">
        <v>5186473.3864627257</v>
      </c>
      <c r="I71">
        <v>-2186473.3864627257</v>
      </c>
      <c r="J71">
        <v>-0.82320575867425261</v>
      </c>
      <c r="L71">
        <v>50</v>
      </c>
      <c r="M71">
        <v>500000</v>
      </c>
    </row>
    <row r="72" spans="7:13" x14ac:dyDescent="0.3">
      <c r="G72">
        <v>6</v>
      </c>
      <c r="H72">
        <v>-1740614.3425103419</v>
      </c>
      <c r="I72">
        <v>2010614.3425103419</v>
      </c>
      <c r="J72">
        <v>0.75699494696583447</v>
      </c>
      <c r="L72">
        <v>61.111111111111114</v>
      </c>
      <c r="M72">
        <v>1100000</v>
      </c>
    </row>
    <row r="73" spans="7:13" x14ac:dyDescent="0.3">
      <c r="G73">
        <v>7</v>
      </c>
      <c r="H73">
        <v>-1667168.3490779661</v>
      </c>
      <c r="I73">
        <v>1725168.3490779661</v>
      </c>
      <c r="J73">
        <v>0.64952472252181492</v>
      </c>
      <c r="L73">
        <v>72.222222222222214</v>
      </c>
      <c r="M73">
        <v>3000000</v>
      </c>
    </row>
    <row r="74" spans="7:13" x14ac:dyDescent="0.3">
      <c r="G74">
        <v>8</v>
      </c>
      <c r="H74">
        <v>5094984.7803437375</v>
      </c>
      <c r="I74">
        <v>-5063984.7803437375</v>
      </c>
      <c r="J74">
        <v>-1.906586862125889</v>
      </c>
      <c r="L74">
        <v>83.333333333333329</v>
      </c>
      <c r="M74">
        <v>18700000</v>
      </c>
    </row>
    <row r="75" spans="7:13" ht="15" thickBot="1" x14ac:dyDescent="0.35">
      <c r="G75" s="11">
        <v>9</v>
      </c>
      <c r="H75" s="11">
        <v>1758376.976006452</v>
      </c>
      <c r="I75" s="11">
        <v>-1658376.976006452</v>
      </c>
      <c r="J75" s="11">
        <v>-0.62437781550586335</v>
      </c>
      <c r="L75" s="11">
        <v>94.444444444444443</v>
      </c>
      <c r="M75" s="11">
        <v>30000000</v>
      </c>
    </row>
    <row r="101" spans="2:12" x14ac:dyDescent="0.3">
      <c r="B101" s="2" t="s">
        <v>115</v>
      </c>
    </row>
    <row r="104" spans="2:12" x14ac:dyDescent="0.3">
      <c r="B104" s="7" t="s">
        <v>63</v>
      </c>
      <c r="C104" s="7" t="s">
        <v>67</v>
      </c>
      <c r="D104" s="7" t="s">
        <v>65</v>
      </c>
      <c r="E104" s="7" t="s">
        <v>68</v>
      </c>
      <c r="H104" s="2" t="s">
        <v>116</v>
      </c>
    </row>
    <row r="105" spans="2:12" ht="15" thickBot="1" x14ac:dyDescent="0.35">
      <c r="B105" s="55" t="s">
        <v>69</v>
      </c>
      <c r="C105" s="55">
        <v>2.4900000000000002</v>
      </c>
      <c r="D105" s="7">
        <v>1100000</v>
      </c>
      <c r="E105" s="7">
        <f t="shared" ref="E105:E116" si="6">(C105-$H$39)^2</f>
        <v>5.7760111111111065</v>
      </c>
    </row>
    <row r="106" spans="2:12" x14ac:dyDescent="0.3">
      <c r="B106" s="55" t="s">
        <v>70</v>
      </c>
      <c r="C106" s="55">
        <v>20.100000000000001</v>
      </c>
      <c r="D106" s="7">
        <v>30000000</v>
      </c>
      <c r="E106" s="7">
        <f t="shared" si="6"/>
        <v>231.24271111111116</v>
      </c>
      <c r="H106" s="62" t="s">
        <v>117</v>
      </c>
      <c r="I106" s="63">
        <f>$C$19</f>
        <v>2.67</v>
      </c>
      <c r="J106" s="64"/>
      <c r="K106" s="64" t="s">
        <v>118</v>
      </c>
      <c r="L106" s="65">
        <f>I110*(I111*SQRT(1/I109+I112/I113))</f>
        <v>1079552.6840817111</v>
      </c>
    </row>
    <row r="107" spans="2:12" x14ac:dyDescent="0.3">
      <c r="B107" s="58" t="s">
        <v>71</v>
      </c>
      <c r="C107" s="55">
        <v>1.32</v>
      </c>
      <c r="D107" s="7">
        <v>500000</v>
      </c>
      <c r="E107" s="7">
        <f t="shared" si="6"/>
        <v>12.768711111111104</v>
      </c>
      <c r="H107" s="66" t="s">
        <v>119</v>
      </c>
      <c r="I107" s="3">
        <v>0.75</v>
      </c>
      <c r="K107" t="s">
        <v>120</v>
      </c>
      <c r="L107" s="67">
        <f>I108-L106</f>
        <v>-299278.69148871978</v>
      </c>
    </row>
    <row r="108" spans="2:12" x14ac:dyDescent="0.3">
      <c r="B108" s="55" t="s">
        <v>72</v>
      </c>
      <c r="C108" s="55">
        <v>10.9</v>
      </c>
      <c r="D108" s="7">
        <v>18700000</v>
      </c>
      <c r="E108" s="7">
        <f t="shared" si="6"/>
        <v>36.080044444444454</v>
      </c>
      <c r="H108" s="66" t="s">
        <v>121</v>
      </c>
      <c r="I108">
        <f>C139+C140*I106</f>
        <v>780273.99259299133</v>
      </c>
      <c r="K108" t="s">
        <v>122</v>
      </c>
      <c r="L108" s="67">
        <f>I108+L106</f>
        <v>1859826.6766747024</v>
      </c>
    </row>
    <row r="109" spans="2:12" x14ac:dyDescent="0.3">
      <c r="B109" s="55" t="s">
        <v>73</v>
      </c>
      <c r="C109" s="55">
        <v>4.9000000000000004</v>
      </c>
      <c r="D109" s="7">
        <v>3000000</v>
      </c>
      <c r="E109" s="7">
        <f t="shared" si="6"/>
        <v>4.4444444444458338E-5</v>
      </c>
      <c r="H109" s="66" t="s">
        <v>123</v>
      </c>
      <c r="I109">
        <f>C130</f>
        <v>12</v>
      </c>
      <c r="L109" s="67"/>
    </row>
    <row r="110" spans="2:12" x14ac:dyDescent="0.3">
      <c r="B110" s="55" t="s">
        <v>74</v>
      </c>
      <c r="C110" s="55">
        <v>0.91</v>
      </c>
      <c r="D110" s="7">
        <v>270000</v>
      </c>
      <c r="E110" s="7">
        <f t="shared" si="6"/>
        <v>15.866944444444437</v>
      </c>
      <c r="H110" s="66" t="s">
        <v>124</v>
      </c>
      <c r="I110">
        <f>_xlfn.T.INV.2T(1-I107,I109-2)</f>
        <v>1.2212553950039227</v>
      </c>
      <c r="L110" s="67"/>
    </row>
    <row r="111" spans="2:12" x14ac:dyDescent="0.3">
      <c r="B111" s="55" t="s">
        <v>76</v>
      </c>
      <c r="C111" s="55">
        <v>2.2999999999999998</v>
      </c>
      <c r="D111" s="7">
        <v>15000</v>
      </c>
      <c r="E111" s="7">
        <f t="shared" si="6"/>
        <v>6.7253777777777755</v>
      </c>
      <c r="H111" s="66" t="s">
        <v>125</v>
      </c>
      <c r="I111">
        <f>C129</f>
        <v>2823835.7692717207</v>
      </c>
      <c r="L111" s="67"/>
    </row>
    <row r="112" spans="2:12" x14ac:dyDescent="0.3">
      <c r="B112" s="55" t="s">
        <v>75</v>
      </c>
      <c r="C112" s="55">
        <v>0.8</v>
      </c>
      <c r="D112" s="7">
        <v>58000</v>
      </c>
      <c r="E112" s="7">
        <f t="shared" si="6"/>
        <v>16.755377777777774</v>
      </c>
      <c r="H112" s="68" t="s">
        <v>126</v>
      </c>
      <c r="I112">
        <f>(I106-C120)^2</f>
        <v>4.9432111111111086</v>
      </c>
      <c r="L112" s="67"/>
    </row>
    <row r="113" spans="2:16" ht="15" thickBot="1" x14ac:dyDescent="0.35">
      <c r="B113" s="58" t="s">
        <v>77</v>
      </c>
      <c r="C113" s="55">
        <v>5</v>
      </c>
      <c r="D113" s="7">
        <v>31000</v>
      </c>
      <c r="E113" s="7">
        <f t="shared" si="6"/>
        <v>1.1377777777777924E-2</v>
      </c>
      <c r="H113" s="69" t="s">
        <v>127</v>
      </c>
      <c r="I113" s="11">
        <f>E118</f>
        <v>337.19406666666669</v>
      </c>
      <c r="J113" s="11"/>
      <c r="K113" s="11"/>
      <c r="L113" s="70"/>
    </row>
    <row r="114" spans="2:16" x14ac:dyDescent="0.3">
      <c r="B114" s="58" t="s">
        <v>79</v>
      </c>
      <c r="C114" s="55">
        <v>5</v>
      </c>
      <c r="D114" s="7">
        <v>100000</v>
      </c>
      <c r="E114" s="7">
        <f t="shared" si="6"/>
        <v>1.1377777777777924E-2</v>
      </c>
    </row>
    <row r="115" spans="2:16" x14ac:dyDescent="0.3">
      <c r="B115" s="56" t="s">
        <v>78</v>
      </c>
      <c r="C115" s="55">
        <v>3</v>
      </c>
      <c r="D115" s="7">
        <v>100000</v>
      </c>
      <c r="E115" s="7">
        <f t="shared" si="6"/>
        <v>3.5847111111111083</v>
      </c>
      <c r="O115" s="2" t="s">
        <v>128</v>
      </c>
    </row>
    <row r="116" spans="2:16" x14ac:dyDescent="0.3">
      <c r="B116" s="56" t="s">
        <v>81</v>
      </c>
      <c r="C116" s="56">
        <v>2</v>
      </c>
      <c r="D116" s="7">
        <v>2600</v>
      </c>
      <c r="E116" s="7">
        <f t="shared" si="6"/>
        <v>8.3713777777777736</v>
      </c>
      <c r="O116" t="s">
        <v>129</v>
      </c>
      <c r="P116" t="s">
        <v>130</v>
      </c>
    </row>
    <row r="117" spans="2:16" x14ac:dyDescent="0.3">
      <c r="O117" t="s">
        <v>117</v>
      </c>
      <c r="P117" t="s">
        <v>131</v>
      </c>
    </row>
    <row r="118" spans="2:16" x14ac:dyDescent="0.3">
      <c r="C118" s="59" t="s">
        <v>80</v>
      </c>
      <c r="D118" s="60"/>
      <c r="E118" s="7">
        <f>SUM(E105:E116)</f>
        <v>337.19406666666669</v>
      </c>
      <c r="O118" t="s">
        <v>119</v>
      </c>
      <c r="P118" t="s">
        <v>132</v>
      </c>
    </row>
    <row r="119" spans="2:16" x14ac:dyDescent="0.3">
      <c r="O119" t="s">
        <v>121</v>
      </c>
      <c r="P119" t="s">
        <v>133</v>
      </c>
    </row>
    <row r="120" spans="2:16" x14ac:dyDescent="0.3">
      <c r="B120" s="57" t="s">
        <v>82</v>
      </c>
      <c r="C120" s="7">
        <f>AVERAGE(C105:C116)</f>
        <v>4.8933333333333326</v>
      </c>
      <c r="O120" t="s">
        <v>123</v>
      </c>
      <c r="P120" t="s">
        <v>134</v>
      </c>
    </row>
    <row r="121" spans="2:16" x14ac:dyDescent="0.3">
      <c r="O121" t="s">
        <v>124</v>
      </c>
      <c r="P121" t="s">
        <v>135</v>
      </c>
    </row>
    <row r="122" spans="2:16" x14ac:dyDescent="0.3">
      <c r="O122" t="s">
        <v>125</v>
      </c>
      <c r="P122" t="s">
        <v>136</v>
      </c>
    </row>
    <row r="123" spans="2:16" x14ac:dyDescent="0.3">
      <c r="B123" t="s">
        <v>84</v>
      </c>
      <c r="O123" t="s">
        <v>82</v>
      </c>
      <c r="P123" t="s">
        <v>137</v>
      </c>
    </row>
    <row r="124" spans="2:16" ht="15" thickBot="1" x14ac:dyDescent="0.35">
      <c r="O124" t="s">
        <v>127</v>
      </c>
      <c r="P124" t="s">
        <v>138</v>
      </c>
    </row>
    <row r="125" spans="2:16" x14ac:dyDescent="0.3">
      <c r="B125" s="13" t="s">
        <v>85</v>
      </c>
      <c r="C125" s="13"/>
    </row>
    <row r="126" spans="2:16" x14ac:dyDescent="0.3">
      <c r="B126" t="s">
        <v>86</v>
      </c>
      <c r="C126">
        <v>0.96005047196093041</v>
      </c>
    </row>
    <row r="127" spans="2:16" x14ac:dyDescent="0.3">
      <c r="B127" t="s">
        <v>87</v>
      </c>
      <c r="C127">
        <v>0.92169690871240528</v>
      </c>
    </row>
    <row r="128" spans="2:16" x14ac:dyDescent="0.3">
      <c r="B128" t="s">
        <v>88</v>
      </c>
      <c r="C128">
        <v>0.9138665995836458</v>
      </c>
    </row>
    <row r="129" spans="2:10" x14ac:dyDescent="0.3">
      <c r="B129" t="s">
        <v>89</v>
      </c>
      <c r="C129">
        <v>2823835.7692717207</v>
      </c>
    </row>
    <row r="130" spans="2:10" ht="15" thickBot="1" x14ac:dyDescent="0.35">
      <c r="B130" s="11" t="s">
        <v>90</v>
      </c>
      <c r="C130" s="11">
        <v>12</v>
      </c>
    </row>
    <row r="132" spans="2:10" ht="15" thickBot="1" x14ac:dyDescent="0.35">
      <c r="B132" t="s">
        <v>91</v>
      </c>
    </row>
    <row r="133" spans="2:10" x14ac:dyDescent="0.3">
      <c r="B133" s="12"/>
      <c r="C133" s="12" t="s">
        <v>92</v>
      </c>
      <c r="D133" s="12" t="s">
        <v>93</v>
      </c>
      <c r="E133" s="12" t="s">
        <v>94</v>
      </c>
      <c r="F133" s="12" t="s">
        <v>95</v>
      </c>
      <c r="G133" s="12" t="s">
        <v>96</v>
      </c>
    </row>
    <row r="134" spans="2:10" x14ac:dyDescent="0.3">
      <c r="B134" t="s">
        <v>97</v>
      </c>
      <c r="C134">
        <v>1</v>
      </c>
      <c r="D134">
        <v>938616303278482.63</v>
      </c>
      <c r="E134">
        <v>938616303278482.63</v>
      </c>
      <c r="F134">
        <v>117.70887886496848</v>
      </c>
      <c r="G134">
        <v>7.4932531419276299E-7</v>
      </c>
    </row>
    <row r="135" spans="2:10" x14ac:dyDescent="0.3">
      <c r="B135" t="s">
        <v>98</v>
      </c>
      <c r="C135">
        <v>10</v>
      </c>
      <c r="D135">
        <v>79740484518184.094</v>
      </c>
      <c r="E135">
        <v>7974048451818.4092</v>
      </c>
    </row>
    <row r="136" spans="2:10" ht="15" thickBot="1" x14ac:dyDescent="0.35">
      <c r="B136" s="11" t="s">
        <v>99</v>
      </c>
      <c r="C136" s="11">
        <v>11</v>
      </c>
      <c r="D136" s="11">
        <v>1018356787796666.8</v>
      </c>
      <c r="E136" s="11"/>
      <c r="F136" s="11"/>
      <c r="G136" s="11"/>
    </row>
    <row r="137" spans="2:10" ht="15" thickBot="1" x14ac:dyDescent="0.35"/>
    <row r="138" spans="2:10" x14ac:dyDescent="0.3">
      <c r="B138" s="12"/>
      <c r="C138" s="12" t="s">
        <v>100</v>
      </c>
      <c r="D138" s="12" t="s">
        <v>89</v>
      </c>
      <c r="E138" s="12" t="s">
        <v>101</v>
      </c>
      <c r="F138" s="12" t="s">
        <v>102</v>
      </c>
      <c r="G138" s="12" t="s">
        <v>103</v>
      </c>
      <c r="H138" s="12" t="s">
        <v>104</v>
      </c>
      <c r="I138" s="12" t="s">
        <v>105</v>
      </c>
      <c r="J138" s="12" t="s">
        <v>106</v>
      </c>
    </row>
    <row r="139" spans="2:10" x14ac:dyDescent="0.3">
      <c r="B139" t="s">
        <v>107</v>
      </c>
      <c r="C139">
        <v>-3674394.0462870914</v>
      </c>
      <c r="D139">
        <v>1109393.7405493981</v>
      </c>
      <c r="E139">
        <v>-3.3120738940418435</v>
      </c>
      <c r="F139">
        <v>7.8517873696214886E-3</v>
      </c>
      <c r="G139">
        <v>-6146277.3417555857</v>
      </c>
      <c r="H139">
        <v>-1202510.7508185967</v>
      </c>
      <c r="I139">
        <v>-6146277.3417555857</v>
      </c>
      <c r="J139">
        <v>-1202510.7508185967</v>
      </c>
    </row>
    <row r="140" spans="2:10" ht="15" thickBot="1" x14ac:dyDescent="0.35">
      <c r="B140" s="11" t="s">
        <v>67</v>
      </c>
      <c r="C140" s="11">
        <v>1668414.995835237</v>
      </c>
      <c r="D140" s="11">
        <v>153779.86419976776</v>
      </c>
      <c r="E140" s="11">
        <v>10.849372279766628</v>
      </c>
      <c r="F140" s="11">
        <v>7.4932531419276151E-7</v>
      </c>
      <c r="G140" s="11">
        <v>1325772.1057585613</v>
      </c>
      <c r="H140" s="11">
        <v>2011057.8859119127</v>
      </c>
      <c r="I140" s="11">
        <v>1325772.1057585613</v>
      </c>
      <c r="J140" s="11">
        <v>2011057.8859119127</v>
      </c>
    </row>
    <row r="144" spans="2:10" x14ac:dyDescent="0.3">
      <c r="B144" t="s">
        <v>108</v>
      </c>
      <c r="G144" t="s">
        <v>109</v>
      </c>
    </row>
    <row r="145" spans="2:8" ht="15" thickBot="1" x14ac:dyDescent="0.35"/>
    <row r="146" spans="2:8" x14ac:dyDescent="0.3">
      <c r="B146" s="12" t="s">
        <v>110</v>
      </c>
      <c r="C146" s="12" t="s">
        <v>111</v>
      </c>
      <c r="D146" s="12" t="s">
        <v>112</v>
      </c>
      <c r="E146" s="12" t="s">
        <v>113</v>
      </c>
      <c r="G146" s="12" t="s">
        <v>114</v>
      </c>
      <c r="H146" s="12" t="s">
        <v>65</v>
      </c>
    </row>
    <row r="147" spans="2:8" x14ac:dyDescent="0.3">
      <c r="B147">
        <v>1</v>
      </c>
      <c r="C147">
        <v>479959.29334264901</v>
      </c>
      <c r="D147">
        <v>620040.70665735099</v>
      </c>
      <c r="E147">
        <v>0.23029107657192796</v>
      </c>
      <c r="G147">
        <v>4.166666666666667</v>
      </c>
      <c r="H147">
        <v>2600</v>
      </c>
    </row>
    <row r="148" spans="2:8" x14ac:dyDescent="0.3">
      <c r="B148">
        <v>2</v>
      </c>
      <c r="C148">
        <v>29860747.370001175</v>
      </c>
      <c r="D148">
        <v>139252.62999882549</v>
      </c>
      <c r="E148">
        <v>5.1720214065918993E-2</v>
      </c>
      <c r="G148">
        <v>12.5</v>
      </c>
      <c r="H148">
        <v>15000</v>
      </c>
    </row>
    <row r="149" spans="2:8" x14ac:dyDescent="0.3">
      <c r="B149">
        <v>3</v>
      </c>
      <c r="C149">
        <v>-1472086.2517845784</v>
      </c>
      <c r="D149">
        <v>1972086.2517845784</v>
      </c>
      <c r="E149">
        <v>0.73245814531197362</v>
      </c>
      <c r="G149">
        <v>20.833333333333336</v>
      </c>
      <c r="H149">
        <v>31000</v>
      </c>
    </row>
    <row r="150" spans="2:8" x14ac:dyDescent="0.3">
      <c r="B150">
        <v>4</v>
      </c>
      <c r="C150">
        <v>14511329.40831699</v>
      </c>
      <c r="D150">
        <v>4188670.5916830096</v>
      </c>
      <c r="E150">
        <v>1.555726018641745</v>
      </c>
      <c r="G150">
        <v>29.166666666666668</v>
      </c>
      <c r="H150">
        <v>58000</v>
      </c>
    </row>
    <row r="151" spans="2:8" x14ac:dyDescent="0.3">
      <c r="B151">
        <v>5</v>
      </c>
      <c r="C151">
        <v>4500839.4333055699</v>
      </c>
      <c r="D151">
        <v>-1500839.4333055699</v>
      </c>
      <c r="E151">
        <v>-0.55743102855429971</v>
      </c>
      <c r="G151">
        <v>37.5</v>
      </c>
      <c r="H151">
        <v>100000</v>
      </c>
    </row>
    <row r="152" spans="2:8" x14ac:dyDescent="0.3">
      <c r="B152">
        <v>6</v>
      </c>
      <c r="C152">
        <v>-2156136.4000770254</v>
      </c>
      <c r="D152">
        <v>2426136.4000770254</v>
      </c>
      <c r="E152">
        <v>0.90109819804595559</v>
      </c>
      <c r="G152">
        <v>45.833333333333336</v>
      </c>
      <c r="H152">
        <v>100000</v>
      </c>
    </row>
    <row r="153" spans="2:8" x14ac:dyDescent="0.3">
      <c r="B153">
        <v>7</v>
      </c>
      <c r="C153">
        <v>162960.44413395319</v>
      </c>
      <c r="D153">
        <v>-147960.44413395319</v>
      </c>
      <c r="E153">
        <v>-5.4954407999052164E-2</v>
      </c>
      <c r="G153">
        <v>54.166666666666664</v>
      </c>
      <c r="H153">
        <v>270000</v>
      </c>
    </row>
    <row r="154" spans="2:8" x14ac:dyDescent="0.3">
      <c r="B154">
        <v>8</v>
      </c>
      <c r="C154">
        <v>-2339662.0496189017</v>
      </c>
      <c r="D154">
        <v>2397662.0496189017</v>
      </c>
      <c r="E154">
        <v>0.89052245882225423</v>
      </c>
      <c r="G154">
        <v>62.5</v>
      </c>
      <c r="H154">
        <v>500000</v>
      </c>
    </row>
    <row r="155" spans="2:8" x14ac:dyDescent="0.3">
      <c r="B155">
        <v>9</v>
      </c>
      <c r="C155">
        <v>4667680.9328890936</v>
      </c>
      <c r="D155">
        <v>-4636680.9328890936</v>
      </c>
      <c r="E155">
        <v>-1.722122809503932</v>
      </c>
      <c r="G155">
        <v>70.833333333333343</v>
      </c>
      <c r="H155">
        <v>1100000</v>
      </c>
    </row>
    <row r="156" spans="2:8" x14ac:dyDescent="0.3">
      <c r="B156">
        <v>10</v>
      </c>
      <c r="C156">
        <v>4667680.9328890936</v>
      </c>
      <c r="D156">
        <v>-4567680.9328890936</v>
      </c>
      <c r="E156">
        <v>-1.6964953239004033</v>
      </c>
      <c r="G156">
        <v>79.166666666666671</v>
      </c>
      <c r="H156">
        <v>3000000</v>
      </c>
    </row>
    <row r="157" spans="2:8" x14ac:dyDescent="0.3">
      <c r="B157">
        <v>11</v>
      </c>
      <c r="C157">
        <v>1330850.9412186192</v>
      </c>
      <c r="D157">
        <v>-1230850.9412186192</v>
      </c>
      <c r="E157">
        <v>-0.45715383733579601</v>
      </c>
      <c r="G157">
        <v>87.500000000000014</v>
      </c>
      <c r="H157">
        <v>18700000</v>
      </c>
    </row>
    <row r="158" spans="2:8" ht="15" thickBot="1" x14ac:dyDescent="0.35">
      <c r="B158" s="11">
        <v>12</v>
      </c>
      <c r="C158" s="11">
        <v>-337564.0546166175</v>
      </c>
      <c r="D158" s="11">
        <v>340164.0546166175</v>
      </c>
      <c r="E158" s="11">
        <v>0.12634129583370027</v>
      </c>
      <c r="G158" s="11">
        <v>95.833333333333343</v>
      </c>
      <c r="H158" s="11">
        <v>30000000</v>
      </c>
    </row>
  </sheetData>
  <sortState xmlns:xlrd2="http://schemas.microsoft.com/office/spreadsheetml/2017/richdata2" ref="H147:H158">
    <sortCondition ref="H147"/>
  </sortState>
  <mergeCells count="1">
    <mergeCell ref="C34:D34"/>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D63BA-5996-4BC3-94CF-BF6249E67610}">
  <dimension ref="B1:H9"/>
  <sheetViews>
    <sheetView workbookViewId="0">
      <selection activeCell="B5" sqref="B5:H9"/>
    </sheetView>
  </sheetViews>
  <sheetFormatPr defaultRowHeight="14.4" x14ac:dyDescent="0.3"/>
  <cols>
    <col min="2" max="2" width="10.6640625" bestFit="1" customWidth="1"/>
    <col min="3" max="3" width="15.6640625" bestFit="1" customWidth="1"/>
    <col min="4" max="4" width="20.88671875" bestFit="1" customWidth="1"/>
    <col min="5" max="5" width="12" bestFit="1" customWidth="1"/>
    <col min="6" max="6" width="21.88671875" bestFit="1" customWidth="1"/>
    <col min="7" max="7" width="23.88671875" bestFit="1" customWidth="1"/>
    <col min="8" max="8" width="17" bestFit="1" customWidth="1"/>
  </cols>
  <sheetData>
    <row r="1" spans="2:8" ht="21" x14ac:dyDescent="0.4">
      <c r="B1" s="1" t="s">
        <v>49</v>
      </c>
    </row>
    <row r="2" spans="2:8" x14ac:dyDescent="0.3">
      <c r="D2" t="s">
        <v>50</v>
      </c>
    </row>
    <row r="4" spans="2:8" x14ac:dyDescent="0.3">
      <c r="B4" s="53" t="s">
        <v>0</v>
      </c>
      <c r="C4" s="53" t="s">
        <v>51</v>
      </c>
      <c r="D4" s="53" t="s">
        <v>52</v>
      </c>
      <c r="E4" s="53" t="s">
        <v>53</v>
      </c>
      <c r="F4" s="53" t="s">
        <v>54</v>
      </c>
      <c r="G4" s="53" t="s">
        <v>55</v>
      </c>
      <c r="H4" s="53" t="s">
        <v>56</v>
      </c>
    </row>
    <row r="5" spans="2:8" x14ac:dyDescent="0.3">
      <c r="B5" s="7" t="s">
        <v>5</v>
      </c>
      <c r="C5" s="7">
        <v>0</v>
      </c>
      <c r="D5" s="7">
        <f>C5</f>
        <v>0</v>
      </c>
      <c r="E5" s="123">
        <f>IF(Income!E5&gt;0,ROUND(Income!E5, 2-(1+INT(LOG10(ABS(Income!E5))))),0)</f>
        <v>60000</v>
      </c>
      <c r="F5" s="123">
        <f>IF(Income!F5&gt;0,ROUND(Income!F5, 2-(1+INT(LOG10(ABS(Income!F5))))),0)</f>
        <v>28</v>
      </c>
      <c r="G5" s="123">
        <f>IF(Income!G5&gt;0,ROUND(Income!G5, 2-(1+INT(LOG10(ABS(Income!G5))))),0)</f>
        <v>84000</v>
      </c>
      <c r="H5" s="123">
        <f>IF(Income!H5&gt;0,ROUND(Income!H5, 2-(1+INT(LOG10(ABS(Income!H5))))),0)</f>
        <v>0</v>
      </c>
    </row>
    <row r="6" spans="2:8" x14ac:dyDescent="0.3">
      <c r="B6" s="7" t="s">
        <v>6</v>
      </c>
      <c r="C6" s="7">
        <v>200</v>
      </c>
      <c r="D6" s="7">
        <f t="shared" ref="D6:D9" si="0">C6</f>
        <v>200</v>
      </c>
      <c r="E6" s="123">
        <f>IF(Income!E6&gt;0,ROUND(Income!E6, 2-(1+INT(LOG10(ABS(Income!E6))))),0)</f>
        <v>60000</v>
      </c>
      <c r="F6" s="123">
        <f>IF(Income!F6&gt;0,ROUND(Income!F6, 2-(1+INT(LOG10(ABS(Income!F6))))),0)</f>
        <v>28</v>
      </c>
      <c r="G6" s="123">
        <f>IF(Income!G6&gt;0,ROUND(Income!G6, 2-(1+INT(LOG10(ABS(Income!G6))))),0)</f>
        <v>84000</v>
      </c>
      <c r="H6" s="123">
        <f>IF(Income!H6&gt;0,ROUND(Income!H6, 2-(1+INT(LOG10(ABS(Income!H6))))),0)</f>
        <v>17000000</v>
      </c>
    </row>
    <row r="7" spans="2:8" x14ac:dyDescent="0.3">
      <c r="B7" s="7" t="s">
        <v>7</v>
      </c>
      <c r="C7" s="7">
        <v>600</v>
      </c>
      <c r="D7" s="7">
        <f t="shared" si="0"/>
        <v>600</v>
      </c>
      <c r="E7" s="123">
        <f>IF(Income!E7&gt;0,ROUND(Income!E7, 2-(1+INT(LOG10(ABS(Income!E7))))),0)</f>
        <v>60000</v>
      </c>
      <c r="F7" s="123">
        <f>IF(Income!F7&gt;0,ROUND(Income!F7, 2-(1+INT(LOG10(ABS(Income!F7))))),0)</f>
        <v>28</v>
      </c>
      <c r="G7" s="123">
        <f>IF(Income!G7&gt;0,ROUND(Income!G7, 2-(1+INT(LOG10(ABS(Income!G7))))),0)</f>
        <v>84000</v>
      </c>
      <c r="H7" s="123">
        <f>IF(Income!H7&gt;0,ROUND(Income!H7, 2-(1+INT(LOG10(ABS(Income!H7))))),0)</f>
        <v>50000000</v>
      </c>
    </row>
    <row r="8" spans="2:8" x14ac:dyDescent="0.3">
      <c r="B8" s="7" t="s">
        <v>8</v>
      </c>
      <c r="C8" s="7">
        <v>1200</v>
      </c>
      <c r="D8" s="7">
        <f t="shared" si="0"/>
        <v>1200</v>
      </c>
      <c r="E8" s="123">
        <f>IF(Income!E8&gt;0,ROUND(Income!E8, 2-(1+INT(LOG10(ABS(Income!E8))))),0)</f>
        <v>60000</v>
      </c>
      <c r="F8" s="123">
        <f>IF(Income!F8&gt;0,ROUND(Income!F8, 2-(1+INT(LOG10(ABS(Income!F8))))),0)</f>
        <v>28</v>
      </c>
      <c r="G8" s="123">
        <f>IF(Income!G8&gt;0,ROUND(Income!G8, 2-(1+INT(LOG10(ABS(Income!G8))))),0)</f>
        <v>84000</v>
      </c>
      <c r="H8" s="123">
        <f>IF(Income!H8&gt;0,ROUND(Income!H8, 2-(1+INT(LOG10(ABS(Income!H8))))),0)</f>
        <v>100000000</v>
      </c>
    </row>
    <row r="9" spans="2:8" x14ac:dyDescent="0.3">
      <c r="B9" s="7" t="s">
        <v>9</v>
      </c>
      <c r="C9" s="7">
        <v>1200</v>
      </c>
      <c r="D9" s="7">
        <f t="shared" si="0"/>
        <v>1200</v>
      </c>
      <c r="E9" s="123">
        <f>IF(Income!E9&gt;0,ROUND(Income!E9, 2-(1+INT(LOG10(ABS(Income!E9))))),0)</f>
        <v>60000</v>
      </c>
      <c r="F9" s="123">
        <f>IF(Income!F9&gt;0,ROUND(Income!F9, 2-(1+INT(LOG10(ABS(Income!F9))))),0)</f>
        <v>28</v>
      </c>
      <c r="G9" s="123">
        <f>IF(Income!G9&gt;0,ROUND(Income!G9, 2-(1+INT(LOG10(ABS(Income!G9))))),0)</f>
        <v>84000</v>
      </c>
      <c r="H9" s="123">
        <f>IF(Income!H9&gt;0,ROUND(Income!H9, 2-(1+INT(LOG10(ABS(Income!H9))))),0)</f>
        <v>100000000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DF85E-34B0-4B47-8389-60388AA94670}">
  <dimension ref="A1:I34"/>
  <sheetViews>
    <sheetView topLeftCell="D9" workbookViewId="0">
      <selection activeCell="D26" sqref="D26"/>
    </sheetView>
  </sheetViews>
  <sheetFormatPr defaultRowHeight="14.4" x14ac:dyDescent="0.3"/>
  <cols>
    <col min="1" max="1" width="23.6640625" customWidth="1"/>
    <col min="2" max="2" width="28.109375" customWidth="1"/>
    <col min="3" max="3" width="30.33203125" bestFit="1" customWidth="1"/>
    <col min="4" max="4" width="25.88671875" bestFit="1" customWidth="1"/>
    <col min="5" max="5" width="25.33203125" bestFit="1" customWidth="1"/>
    <col min="6" max="6" width="26.88671875" bestFit="1" customWidth="1"/>
    <col min="7" max="7" width="25.44140625" bestFit="1" customWidth="1"/>
    <col min="8" max="8" width="26.88671875" bestFit="1" customWidth="1"/>
  </cols>
  <sheetData>
    <row r="1" spans="1:9" ht="21" x14ac:dyDescent="0.4">
      <c r="A1" s="1" t="s">
        <v>139</v>
      </c>
    </row>
    <row r="4" spans="1:9" x14ac:dyDescent="0.3">
      <c r="A4" t="s">
        <v>140</v>
      </c>
    </row>
    <row r="6" spans="1:9" x14ac:dyDescent="0.3">
      <c r="A6" t="s">
        <v>141</v>
      </c>
      <c r="B6" t="s">
        <v>142</v>
      </c>
      <c r="I6" t="s">
        <v>143</v>
      </c>
    </row>
    <row r="7" spans="1:9" x14ac:dyDescent="0.3">
      <c r="B7" t="s">
        <v>144</v>
      </c>
    </row>
    <row r="9" spans="1:9" x14ac:dyDescent="0.3">
      <c r="A9" t="s">
        <v>145</v>
      </c>
    </row>
    <row r="12" spans="1:9" x14ac:dyDescent="0.3">
      <c r="A12" t="s">
        <v>146</v>
      </c>
    </row>
    <row r="13" spans="1:9" x14ac:dyDescent="0.3">
      <c r="A13" t="s">
        <v>147</v>
      </c>
    </row>
    <row r="14" spans="1:9" x14ac:dyDescent="0.3">
      <c r="A14" t="s">
        <v>148</v>
      </c>
    </row>
    <row r="15" spans="1:9" x14ac:dyDescent="0.3">
      <c r="A15" s="87" t="s">
        <v>149</v>
      </c>
    </row>
    <row r="18" spans="2:8" x14ac:dyDescent="0.3">
      <c r="B18" s="2" t="s">
        <v>150</v>
      </c>
    </row>
    <row r="19" spans="2:8" x14ac:dyDescent="0.3">
      <c r="B19" t="s">
        <v>151</v>
      </c>
    </row>
    <row r="20" spans="2:8" x14ac:dyDescent="0.3">
      <c r="B20" t="s">
        <v>539</v>
      </c>
    </row>
    <row r="22" spans="2:8" x14ac:dyDescent="0.3">
      <c r="B22" s="52" t="s">
        <v>152</v>
      </c>
      <c r="C22" s="52" t="s">
        <v>153</v>
      </c>
      <c r="D22" s="52" t="s">
        <v>154</v>
      </c>
      <c r="E22" s="52" t="s">
        <v>155</v>
      </c>
      <c r="F22" s="52" t="s">
        <v>156</v>
      </c>
      <c r="G22" s="52" t="s">
        <v>157</v>
      </c>
      <c r="H22" s="52" t="s">
        <v>158</v>
      </c>
    </row>
    <row r="23" spans="2:8" x14ac:dyDescent="0.3">
      <c r="B23" cm="1">
        <f t="array" ref="B23">Table3[Floorspace required]+Table18[Floorspace required (m^2)]</f>
        <v>55.798407929230741</v>
      </c>
      <c r="C23">
        <f>'Machine utilisation'!H33</f>
        <v>47.16442</v>
      </c>
      <c r="D23">
        <v>3</v>
      </c>
      <c r="E23">
        <f>Table20[[#This Row],[Storage space required (m^2)]]+Table20[[#This Row],[Production space required (m^2)]]</f>
        <v>102.96282792923074</v>
      </c>
      <c r="F23">
        <f>C30</f>
        <v>94.184999999999988</v>
      </c>
      <c r="G23">
        <f>F30</f>
        <v>43.055999999999997</v>
      </c>
      <c r="H23">
        <f>(Table20[[#This Row],[Rental rate per year (£/m^2)]]+Table20[[#This Row],[Utility rate per year (£/m^2)]])*(Table20[[#This Row],[Correction factor]]*Table20[[#This Row],[Total area required (m^3)]])</f>
        <v>42392.164403506664</v>
      </c>
    </row>
    <row r="27" spans="2:8" x14ac:dyDescent="0.3">
      <c r="B27" t="s">
        <v>159</v>
      </c>
      <c r="E27" t="s">
        <v>160</v>
      </c>
    </row>
    <row r="29" spans="2:8" x14ac:dyDescent="0.3">
      <c r="B29" s="52" t="s">
        <v>161</v>
      </c>
      <c r="C29" s="52" t="s">
        <v>162</v>
      </c>
      <c r="E29" s="52" t="s">
        <v>161</v>
      </c>
      <c r="F29" s="52" t="s">
        <v>162</v>
      </c>
    </row>
    <row r="30" spans="2:8" x14ac:dyDescent="0.3">
      <c r="B30" s="7">
        <v>8.75</v>
      </c>
      <c r="C30" s="7">
        <f>B30*10.764</f>
        <v>94.184999999999988</v>
      </c>
      <c r="E30" s="7">
        <v>4</v>
      </c>
      <c r="F30" s="7">
        <f>E30*10.764</f>
        <v>43.055999999999997</v>
      </c>
    </row>
    <row r="34" spans="2:2" x14ac:dyDescent="0.3">
      <c r="B34" t="s">
        <v>163</v>
      </c>
    </row>
  </sheetData>
  <hyperlinks>
    <hyperlink ref="A15" r:id="rId1" xr:uid="{85597FBC-4F24-4473-90A8-6761C7AF406E}"/>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93DF0-BF5F-4DA7-ADBF-280BEFF0C49F}">
  <dimension ref="B18:H23"/>
  <sheetViews>
    <sheetView topLeftCell="F7" workbookViewId="0">
      <selection activeCell="H23" sqref="B23:H23"/>
    </sheetView>
  </sheetViews>
  <sheetFormatPr defaultRowHeight="14.4" x14ac:dyDescent="0.3"/>
  <cols>
    <col min="2" max="2" width="31.5546875" customWidth="1"/>
    <col min="3" max="3" width="33.5546875" bestFit="1" customWidth="1"/>
    <col min="4" max="4" width="18.5546875" bestFit="1" customWidth="1"/>
    <col min="5" max="5" width="26.88671875" bestFit="1" customWidth="1"/>
    <col min="6" max="6" width="29.109375" bestFit="1" customWidth="1"/>
    <col min="7" max="7" width="28.44140625" bestFit="1" customWidth="1"/>
    <col min="8" max="8" width="30" bestFit="1" customWidth="1"/>
  </cols>
  <sheetData>
    <row r="18" spans="2:8" x14ac:dyDescent="0.3">
      <c r="B18" s="2" t="s">
        <v>150</v>
      </c>
    </row>
    <row r="19" spans="2:8" x14ac:dyDescent="0.3">
      <c r="B19" t="s">
        <v>151</v>
      </c>
    </row>
    <row r="20" spans="2:8" x14ac:dyDescent="0.3">
      <c r="B20" t="s">
        <v>539</v>
      </c>
    </row>
    <row r="22" spans="2:8" x14ac:dyDescent="0.3">
      <c r="B22" s="53" t="s">
        <v>152</v>
      </c>
      <c r="C22" s="53" t="s">
        <v>153</v>
      </c>
      <c r="D22" s="53" t="s">
        <v>154</v>
      </c>
      <c r="E22" s="53" t="s">
        <v>155</v>
      </c>
      <c r="F22" s="53" t="s">
        <v>156</v>
      </c>
      <c r="G22" s="53" t="s">
        <v>157</v>
      </c>
      <c r="H22" s="53" t="s">
        <v>158</v>
      </c>
    </row>
    <row r="23" spans="2:8" x14ac:dyDescent="0.3">
      <c r="B23" s="123">
        <f>ROUND(Table20[[#This Row],[Storage space required (m^2)]], 2-(1+INT(LOG10(ABS(Table20[[#This Row],[Storage space required (m^2)]])))))</f>
        <v>56</v>
      </c>
      <c r="C23" s="123">
        <f>ROUND(Table20[[#This Row],[Production space required (m^2)]], 2-(1+INT(LOG10(ABS(Table20[[#This Row],[Production space required (m^2)]])))))</f>
        <v>47</v>
      </c>
      <c r="D23" s="123">
        <f>ROUND(Table20[[#This Row],[Correction factor]], 2-(1+INT(LOG10(ABS(Table20[[#This Row],[Correction factor]])))))</f>
        <v>3</v>
      </c>
      <c r="E23" s="123">
        <f>ROUND(Table20[[#This Row],[Total area required (m^3)]], 2-(1+INT(LOG10(ABS(Table20[[#This Row],[Total area required (m^3)]])))))</f>
        <v>100</v>
      </c>
      <c r="F23" s="123">
        <f>ROUND(Table20[[#This Row],[Rental rate per year (£/m^2)]], 2-(1+INT(LOG10(ABS(Table20[[#This Row],[Rental rate per year (£/m^2)]])))))</f>
        <v>94</v>
      </c>
      <c r="G23" s="123">
        <f>ROUND(Table20[[#This Row],[Utility rate per year (£/m^2)]], 2-(1+INT(LOG10(ABS(Table20[[#This Row],[Utility rate per year (£/m^2)]])))))</f>
        <v>43</v>
      </c>
      <c r="H23" s="123">
        <f>ROUND(Table20[[#This Row],[Total facility cost per year (£)]], 2-(1+INT(LOG10(ABS(Table20[[#This Row],[Total facility cost per year (£)]])))))</f>
        <v>42000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59768-30D9-4CD7-8973-43241D32A1AE}">
  <dimension ref="A1:AU97"/>
  <sheetViews>
    <sheetView topLeftCell="A67" zoomScale="70" zoomScaleNormal="70" workbookViewId="0">
      <selection activeCell="A11" sqref="A11:C15"/>
    </sheetView>
  </sheetViews>
  <sheetFormatPr defaultRowHeight="14.4" x14ac:dyDescent="0.3"/>
  <cols>
    <col min="1" max="1" width="94.33203125" bestFit="1" customWidth="1"/>
    <col min="2" max="2" width="13.6640625" bestFit="1" customWidth="1"/>
    <col min="3" max="3" width="10.109375" customWidth="1"/>
    <col min="4" max="4" width="15.33203125" bestFit="1" customWidth="1"/>
    <col min="5" max="5" width="12.6640625" customWidth="1"/>
    <col min="8" max="8" width="12" bestFit="1" customWidth="1"/>
    <col min="10" max="10" width="11" bestFit="1" customWidth="1"/>
    <col min="11" max="12" width="12" bestFit="1" customWidth="1"/>
    <col min="14" max="14" width="11" bestFit="1" customWidth="1"/>
  </cols>
  <sheetData>
    <row r="1" spans="1:6" ht="21" x14ac:dyDescent="0.4">
      <c r="A1" s="1" t="s">
        <v>164</v>
      </c>
    </row>
    <row r="7" spans="1:6" x14ac:dyDescent="0.3">
      <c r="A7" t="s">
        <v>165</v>
      </c>
    </row>
    <row r="9" spans="1:6" x14ac:dyDescent="0.3">
      <c r="A9" s="52"/>
      <c r="B9" s="161" t="s">
        <v>166</v>
      </c>
      <c r="C9" s="161"/>
      <c r="D9" s="161"/>
    </row>
    <row r="10" spans="1:6" x14ac:dyDescent="0.3">
      <c r="A10" s="88" t="s">
        <v>0</v>
      </c>
      <c r="B10" s="52" t="s">
        <v>167</v>
      </c>
      <c r="C10" s="52" t="s">
        <v>168</v>
      </c>
      <c r="D10" s="52" t="s">
        <v>169</v>
      </c>
      <c r="F10" t="s">
        <v>170</v>
      </c>
    </row>
    <row r="11" spans="1:6" x14ac:dyDescent="0.3">
      <c r="A11" s="5" t="s">
        <v>5</v>
      </c>
      <c r="B11">
        <f>(AVERAGE(Q59,Q60)/100)*Income!H6</f>
        <v>2362714.276991256</v>
      </c>
      <c r="C11">
        <f>(AVERAGE(O59,O60)/100)*Income!H6</f>
        <v>7022915.2456150567</v>
      </c>
      <c r="D11">
        <f>(AVERAGE(P59,P60)/100)*Income!H6</f>
        <v>11683116.214238856</v>
      </c>
    </row>
    <row r="12" spans="1:6" x14ac:dyDescent="0.3">
      <c r="A12" s="5" t="s">
        <v>6</v>
      </c>
      <c r="B12">
        <f>(AVERAGE(Q60,Q61)/100)*Income!H7</f>
        <v>4366465.7177843936</v>
      </c>
      <c r="C12">
        <f>(AVERAGE(O60,O61)/100)*Income!H7</f>
        <v>19216197.587324567</v>
      </c>
      <c r="D12">
        <f>(AVERAGE(P60,P61)/100)*Income!H7</f>
        <v>34065929.456864744</v>
      </c>
    </row>
    <row r="13" spans="1:6" x14ac:dyDescent="0.3">
      <c r="A13" s="5" t="s">
        <v>7</v>
      </c>
      <c r="B13">
        <f>(AVERAGE(Q61,Q62)/100)*Income!H8</f>
        <v>3157748.2863820498</v>
      </c>
      <c r="C13">
        <f>(AVERAGE(O61,O62)/100)*Income!H8</f>
        <v>34727298.87560793</v>
      </c>
      <c r="D13">
        <f>(AVERAGE(P61,P62)/100)*Income!H8</f>
        <v>66296849.464833796</v>
      </c>
    </row>
    <row r="14" spans="1:6" x14ac:dyDescent="0.3">
      <c r="A14" s="5" t="s">
        <v>8</v>
      </c>
      <c r="B14">
        <f>IF((AVERAGE(Q62,Q63)/100)*Income!H9&gt;0,AVERAGE(Q62,Q63)/100)*Income!H90</f>
        <v>0</v>
      </c>
      <c r="C14">
        <f>(AVERAGE(O62,O63)/100)*Income!H9</f>
        <v>31022202.576566722</v>
      </c>
      <c r="D14">
        <f>(AVERAGE(P62,P63)/100)*Income!H9</f>
        <v>64571636.141061969</v>
      </c>
    </row>
    <row r="15" spans="1:6" x14ac:dyDescent="0.3">
      <c r="A15" s="5" t="s">
        <v>9</v>
      </c>
      <c r="B15">
        <f>(AVERAGE(Q63,Q64)/100)*Income!H10</f>
        <v>0</v>
      </c>
      <c r="C15">
        <f>(AVERAGE(O63,O64)/100)*Income!H10</f>
        <v>0</v>
      </c>
      <c r="D15">
        <f>(AVERAGE(P63,P64)/100)*Income!H10</f>
        <v>0</v>
      </c>
    </row>
    <row r="16" spans="1:6" x14ac:dyDescent="0.3">
      <c r="A16" s="5"/>
    </row>
    <row r="20" spans="1:5" ht="18" x14ac:dyDescent="0.35">
      <c r="A20" s="29" t="s">
        <v>171</v>
      </c>
    </row>
    <row r="23" spans="1:5" x14ac:dyDescent="0.3">
      <c r="A23" s="8" t="s">
        <v>172</v>
      </c>
      <c r="D23" s="52" t="s">
        <v>0</v>
      </c>
      <c r="E23" s="52" t="s">
        <v>99</v>
      </c>
    </row>
    <row r="24" spans="1:5" ht="28.8" x14ac:dyDescent="0.3">
      <c r="A24" s="9" t="s">
        <v>173</v>
      </c>
      <c r="D24" s="10" t="s">
        <v>174</v>
      </c>
      <c r="E24">
        <v>3133.8</v>
      </c>
    </row>
    <row r="25" spans="1:5" x14ac:dyDescent="0.3">
      <c r="A25" t="s">
        <v>175</v>
      </c>
      <c r="D25" s="10" t="s">
        <v>176</v>
      </c>
      <c r="E25">
        <v>2778.9</v>
      </c>
    </row>
    <row r="26" spans="1:5" x14ac:dyDescent="0.3">
      <c r="A26" s="87" t="s">
        <v>177</v>
      </c>
      <c r="D26" s="10" t="s">
        <v>178</v>
      </c>
      <c r="E26">
        <v>2629.1</v>
      </c>
    </row>
    <row r="27" spans="1:5" x14ac:dyDescent="0.3">
      <c r="D27" s="10" t="s">
        <v>179</v>
      </c>
      <c r="E27">
        <v>3506</v>
      </c>
    </row>
    <row r="28" spans="1:5" x14ac:dyDescent="0.3">
      <c r="D28" s="10" t="s">
        <v>180</v>
      </c>
      <c r="E28">
        <v>3285.8</v>
      </c>
    </row>
    <row r="29" spans="1:5" x14ac:dyDescent="0.3">
      <c r="D29" s="10" t="s">
        <v>181</v>
      </c>
      <c r="E29">
        <v>4075.4</v>
      </c>
    </row>
    <row r="30" spans="1:5" x14ac:dyDescent="0.3">
      <c r="D30" s="10" t="s">
        <v>182</v>
      </c>
      <c r="E30">
        <v>5273.6</v>
      </c>
    </row>
    <row r="31" spans="1:5" x14ac:dyDescent="0.3">
      <c r="D31" s="10" t="s">
        <v>183</v>
      </c>
      <c r="E31">
        <v>6374.7</v>
      </c>
    </row>
    <row r="32" spans="1:5" x14ac:dyDescent="0.3">
      <c r="D32" s="10" t="s">
        <v>184</v>
      </c>
      <c r="E32">
        <v>7493.6</v>
      </c>
    </row>
    <row r="33" spans="1:17" x14ac:dyDescent="0.3">
      <c r="D33" s="10" t="s">
        <v>185</v>
      </c>
      <c r="E33">
        <v>8076.4</v>
      </c>
    </row>
    <row r="35" spans="1:17" x14ac:dyDescent="0.3">
      <c r="A35" s="8" t="s">
        <v>186</v>
      </c>
      <c r="D35" s="52" t="s">
        <v>0</v>
      </c>
      <c r="E35" s="52" t="s">
        <v>187</v>
      </c>
    </row>
    <row r="36" spans="1:17" ht="28.8" x14ac:dyDescent="0.3">
      <c r="A36" s="9" t="s">
        <v>188</v>
      </c>
      <c r="D36" s="10" t="s">
        <v>176</v>
      </c>
      <c r="E36">
        <v>1886</v>
      </c>
    </row>
    <row r="37" spans="1:17" x14ac:dyDescent="0.3">
      <c r="A37" t="s">
        <v>175</v>
      </c>
      <c r="D37" s="10" t="s">
        <v>178</v>
      </c>
      <c r="E37">
        <v>2355</v>
      </c>
    </row>
    <row r="38" spans="1:17" x14ac:dyDescent="0.3">
      <c r="D38" s="10" t="s">
        <v>179</v>
      </c>
      <c r="E38">
        <v>2276</v>
      </c>
    </row>
    <row r="39" spans="1:17" x14ac:dyDescent="0.3">
      <c r="D39" s="10" t="s">
        <v>180</v>
      </c>
      <c r="E39">
        <v>2572</v>
      </c>
    </row>
    <row r="40" spans="1:17" x14ac:dyDescent="0.3">
      <c r="D40" s="10" t="s">
        <v>181</v>
      </c>
      <c r="E40">
        <v>2902</v>
      </c>
    </row>
    <row r="41" spans="1:17" x14ac:dyDescent="0.3">
      <c r="D41" s="10" t="s">
        <v>182</v>
      </c>
      <c r="E41">
        <v>3262</v>
      </c>
    </row>
    <row r="42" spans="1:17" x14ac:dyDescent="0.3">
      <c r="D42" s="10" t="s">
        <v>183</v>
      </c>
      <c r="E42">
        <v>3920</v>
      </c>
    </row>
    <row r="43" spans="1:17" x14ac:dyDescent="0.3">
      <c r="D43" s="10" t="s">
        <v>184</v>
      </c>
      <c r="E43">
        <v>3870</v>
      </c>
    </row>
    <row r="44" spans="1:17" x14ac:dyDescent="0.3">
      <c r="D44" s="10" t="s">
        <v>185</v>
      </c>
      <c r="E44">
        <v>3778</v>
      </c>
    </row>
    <row r="45" spans="1:17" x14ac:dyDescent="0.3">
      <c r="D45" s="10" t="s">
        <v>189</v>
      </c>
      <c r="E45">
        <v>3966</v>
      </c>
    </row>
    <row r="48" spans="1:17" x14ac:dyDescent="0.3">
      <c r="A48" s="2" t="s">
        <v>190</v>
      </c>
      <c r="B48" t="s">
        <v>191</v>
      </c>
      <c r="D48" s="90" t="s">
        <v>0</v>
      </c>
      <c r="E48" s="52" t="s">
        <v>192</v>
      </c>
      <c r="G48" t="s">
        <v>193</v>
      </c>
      <c r="I48" s="4"/>
      <c r="J48" s="166" t="s">
        <v>192</v>
      </c>
      <c r="K48" s="167"/>
      <c r="L48" s="167"/>
      <c r="N48" s="52" t="s">
        <v>0</v>
      </c>
      <c r="O48" s="52" t="s">
        <v>194</v>
      </c>
      <c r="P48" s="52" t="s">
        <v>195</v>
      </c>
      <c r="Q48" s="52" t="s">
        <v>24</v>
      </c>
    </row>
    <row r="49" spans="4:17" x14ac:dyDescent="0.3">
      <c r="D49" s="16">
        <v>2014</v>
      </c>
      <c r="E49">
        <f>(E36/E25)*100</f>
        <v>67.868581093238333</v>
      </c>
      <c r="I49" t="s">
        <v>0</v>
      </c>
      <c r="J49" t="s">
        <v>196</v>
      </c>
      <c r="K49" t="s">
        <v>195</v>
      </c>
      <c r="L49" t="s">
        <v>24</v>
      </c>
      <c r="N49" s="28">
        <v>2014</v>
      </c>
      <c r="O49" s="89">
        <f>E49</f>
        <v>67.868581093238333</v>
      </c>
      <c r="P49" s="89" t="s">
        <v>197</v>
      </c>
      <c r="Q49" s="89" t="s">
        <v>197</v>
      </c>
    </row>
    <row r="50" spans="4:17" x14ac:dyDescent="0.3">
      <c r="D50" s="16">
        <v>2015</v>
      </c>
      <c r="E50">
        <f t="shared" ref="E50:E57" si="0">(E37/E26)*100</f>
        <v>89.574379065079313</v>
      </c>
      <c r="I50" s="16">
        <v>2023</v>
      </c>
      <c r="J50">
        <f>H72</f>
        <v>47.505418903642749</v>
      </c>
      <c r="K50">
        <f>K72</f>
        <v>73.037038716365927</v>
      </c>
      <c r="L50">
        <f>K71</f>
        <v>21.973799090919567</v>
      </c>
      <c r="N50" s="28">
        <v>2015</v>
      </c>
      <c r="O50" s="89">
        <f>E50</f>
        <v>89.574379065079313</v>
      </c>
      <c r="P50" s="89" t="s">
        <v>197</v>
      </c>
      <c r="Q50" s="89" t="s">
        <v>197</v>
      </c>
    </row>
    <row r="51" spans="4:17" x14ac:dyDescent="0.3">
      <c r="D51" s="16">
        <v>2016</v>
      </c>
      <c r="E51">
        <f t="shared" si="0"/>
        <v>64.917284654877349</v>
      </c>
      <c r="I51" s="16">
        <v>2024</v>
      </c>
      <c r="J51">
        <f>N72</f>
        <v>43.815060372089647</v>
      </c>
      <c r="K51">
        <f>Q72</f>
        <v>70.835187009335655</v>
      </c>
      <c r="L51">
        <f>Q71</f>
        <v>16.794933734843635</v>
      </c>
      <c r="N51" s="28">
        <v>2016</v>
      </c>
      <c r="O51" s="89">
        <f t="shared" ref="O51:O57" si="1">E51</f>
        <v>64.917284654877349</v>
      </c>
      <c r="P51" s="89" t="s">
        <v>197</v>
      </c>
      <c r="Q51" s="89" t="s">
        <v>197</v>
      </c>
    </row>
    <row r="52" spans="4:17" x14ac:dyDescent="0.3">
      <c r="D52" s="16">
        <v>2017</v>
      </c>
      <c r="E52">
        <f t="shared" si="0"/>
        <v>78.276218881246578</v>
      </c>
      <c r="I52" s="16">
        <v>2025</v>
      </c>
      <c r="J52">
        <f>T72</f>
        <v>40.124701840535636</v>
      </c>
      <c r="K52">
        <f>W72</f>
        <v>68.804544160421642</v>
      </c>
      <c r="L52">
        <f>W71</f>
        <v>11.444859520649626</v>
      </c>
      <c r="N52" s="28">
        <v>2017</v>
      </c>
      <c r="O52" s="89">
        <f t="shared" si="1"/>
        <v>78.276218881246578</v>
      </c>
      <c r="P52" s="89" t="s">
        <v>197</v>
      </c>
      <c r="Q52" s="89" t="s">
        <v>197</v>
      </c>
    </row>
    <row r="53" spans="4:17" x14ac:dyDescent="0.3">
      <c r="D53" s="16">
        <v>2018</v>
      </c>
      <c r="E53">
        <f t="shared" si="0"/>
        <v>71.207734210138881</v>
      </c>
      <c r="I53" s="16">
        <v>2026</v>
      </c>
      <c r="J53">
        <f>Z72</f>
        <v>36.434343308982534</v>
      </c>
      <c r="K53">
        <f>AC72</f>
        <v>66.917157258215923</v>
      </c>
      <c r="L53">
        <f>AC71</f>
        <v>5.9515293597491379</v>
      </c>
      <c r="N53" s="28">
        <v>2018</v>
      </c>
      <c r="O53" s="89">
        <f t="shared" si="1"/>
        <v>71.207734210138881</v>
      </c>
      <c r="P53" s="89" t="s">
        <v>197</v>
      </c>
      <c r="Q53" s="89" t="s">
        <v>197</v>
      </c>
    </row>
    <row r="54" spans="4:17" x14ac:dyDescent="0.3">
      <c r="D54" s="16">
        <v>2019</v>
      </c>
      <c r="E54">
        <f t="shared" si="0"/>
        <v>61.855279126213588</v>
      </c>
      <c r="I54" s="16">
        <v>2027</v>
      </c>
      <c r="J54">
        <f>AF72</f>
        <v>32.743984777428523</v>
      </c>
      <c r="K54">
        <f>AI72</f>
        <v>65.14912350268277</v>
      </c>
      <c r="L54">
        <f>AI71</f>
        <v>0.33884605217427577</v>
      </c>
      <c r="N54" s="28">
        <v>2019</v>
      </c>
      <c r="O54" s="89">
        <f t="shared" si="1"/>
        <v>61.855279126213588</v>
      </c>
      <c r="P54" s="89" t="s">
        <v>197</v>
      </c>
      <c r="Q54" s="89" t="s">
        <v>197</v>
      </c>
    </row>
    <row r="55" spans="4:17" x14ac:dyDescent="0.3">
      <c r="D55" s="16">
        <v>2020</v>
      </c>
      <c r="E55">
        <f t="shared" si="0"/>
        <v>61.493089870895886</v>
      </c>
      <c r="I55" s="16">
        <v>2028</v>
      </c>
      <c r="J55">
        <f>AL72</f>
        <v>29.053626245875421</v>
      </c>
      <c r="K55">
        <f>AO72</f>
        <v>63.480455378278926</v>
      </c>
      <c r="L55">
        <f>AO71</f>
        <v>-5.3732028865280839</v>
      </c>
      <c r="N55" s="28">
        <v>2020</v>
      </c>
      <c r="O55" s="89">
        <f t="shared" si="1"/>
        <v>61.493089870895886</v>
      </c>
      <c r="P55" s="89" t="s">
        <v>197</v>
      </c>
      <c r="Q55" s="89" t="s">
        <v>197</v>
      </c>
    </row>
    <row r="56" spans="4:17" x14ac:dyDescent="0.3">
      <c r="D56" s="16">
        <v>2021</v>
      </c>
      <c r="E56">
        <f t="shared" si="0"/>
        <v>51.644069606063837</v>
      </c>
      <c r="I56" s="16">
        <v>2029</v>
      </c>
      <c r="J56">
        <f>AR72</f>
        <v>25.36326771432141</v>
      </c>
      <c r="K56">
        <f>AU72</f>
        <v>61.894659573786356</v>
      </c>
      <c r="L56">
        <f>AU71</f>
        <v>-11.168124145143537</v>
      </c>
      <c r="N56" s="28">
        <v>2021</v>
      </c>
      <c r="O56" s="89">
        <f t="shared" si="1"/>
        <v>51.644069606063837</v>
      </c>
      <c r="P56" s="89" t="s">
        <v>197</v>
      </c>
      <c r="Q56" s="89" t="s">
        <v>197</v>
      </c>
    </row>
    <row r="57" spans="4:17" x14ac:dyDescent="0.3">
      <c r="D57" s="16">
        <v>2022</v>
      </c>
      <c r="E57">
        <f t="shared" si="0"/>
        <v>46.77826754494577</v>
      </c>
      <c r="N57" s="28">
        <v>2022</v>
      </c>
      <c r="O57" s="89">
        <f t="shared" si="1"/>
        <v>46.77826754494577</v>
      </c>
      <c r="P57" s="89" t="s">
        <v>197</v>
      </c>
      <c r="Q57" s="89" t="s">
        <v>197</v>
      </c>
    </row>
    <row r="58" spans="4:17" x14ac:dyDescent="0.3">
      <c r="D58" s="16"/>
      <c r="N58" s="28">
        <v>2023</v>
      </c>
      <c r="O58" s="27">
        <f t="shared" ref="O58:Q64" si="2">J50</f>
        <v>47.505418903642749</v>
      </c>
      <c r="P58" s="26">
        <f t="shared" si="2"/>
        <v>73.037038716365927</v>
      </c>
      <c r="Q58" s="26">
        <f t="shared" si="2"/>
        <v>21.973799090919567</v>
      </c>
    </row>
    <row r="59" spans="4:17" x14ac:dyDescent="0.3">
      <c r="D59" s="16"/>
      <c r="N59" s="28">
        <v>2024</v>
      </c>
      <c r="O59" s="27">
        <f t="shared" si="2"/>
        <v>43.815060372089647</v>
      </c>
      <c r="P59" s="26">
        <f t="shared" si="2"/>
        <v>70.835187009335655</v>
      </c>
      <c r="Q59" s="26">
        <f t="shared" si="2"/>
        <v>16.794933734843635</v>
      </c>
    </row>
    <row r="60" spans="4:17" x14ac:dyDescent="0.3">
      <c r="D60" s="16"/>
      <c r="N60" s="28">
        <v>2025</v>
      </c>
      <c r="O60" s="27">
        <f t="shared" si="2"/>
        <v>40.124701840535636</v>
      </c>
      <c r="P60" s="26">
        <f t="shared" si="2"/>
        <v>68.804544160421642</v>
      </c>
      <c r="Q60" s="26">
        <f t="shared" si="2"/>
        <v>11.444859520649626</v>
      </c>
    </row>
    <row r="61" spans="4:17" x14ac:dyDescent="0.3">
      <c r="D61" s="16"/>
      <c r="N61" s="28">
        <v>2026</v>
      </c>
      <c r="O61" s="27">
        <f t="shared" si="2"/>
        <v>36.434343308982534</v>
      </c>
      <c r="P61" s="26">
        <f t="shared" si="2"/>
        <v>66.917157258215923</v>
      </c>
      <c r="Q61" s="26">
        <f t="shared" si="2"/>
        <v>5.9515293597491379</v>
      </c>
    </row>
    <row r="62" spans="4:17" x14ac:dyDescent="0.3">
      <c r="D62" s="16"/>
      <c r="N62" s="28">
        <v>2027</v>
      </c>
      <c r="O62" s="27">
        <f t="shared" si="2"/>
        <v>32.743984777428523</v>
      </c>
      <c r="P62" s="26">
        <f t="shared" si="2"/>
        <v>65.14912350268277</v>
      </c>
      <c r="Q62" s="26">
        <f t="shared" si="2"/>
        <v>0.33884605217427577</v>
      </c>
    </row>
    <row r="63" spans="4:17" x14ac:dyDescent="0.3">
      <c r="D63" s="16"/>
      <c r="N63" s="28">
        <v>2028</v>
      </c>
      <c r="O63" s="27">
        <f t="shared" si="2"/>
        <v>29.053626245875421</v>
      </c>
      <c r="P63" s="26">
        <f t="shared" si="2"/>
        <v>63.480455378278926</v>
      </c>
      <c r="Q63" s="26">
        <f t="shared" si="2"/>
        <v>-5.3732028865280839</v>
      </c>
    </row>
    <row r="64" spans="4:17" x14ac:dyDescent="0.3">
      <c r="D64" s="16"/>
      <c r="N64" s="28">
        <v>2029</v>
      </c>
      <c r="O64" s="27">
        <f t="shared" si="2"/>
        <v>25.36326771432141</v>
      </c>
      <c r="P64" s="26">
        <f t="shared" si="2"/>
        <v>61.894659573786356</v>
      </c>
      <c r="Q64" s="26">
        <f t="shared" si="2"/>
        <v>-11.168124145143537</v>
      </c>
    </row>
    <row r="67" spans="1:47" x14ac:dyDescent="0.3">
      <c r="A67" t="s">
        <v>198</v>
      </c>
      <c r="C67" s="14" t="s">
        <v>82</v>
      </c>
      <c r="D67" s="15">
        <f>AVERAGE(D49:D57)</f>
        <v>2018</v>
      </c>
      <c r="G67" s="2" t="s">
        <v>199</v>
      </c>
    </row>
    <row r="68" spans="1:47" ht="15" thickBot="1" x14ac:dyDescent="0.35">
      <c r="A68" t="s">
        <v>200</v>
      </c>
      <c r="C68" s="14" t="s">
        <v>201</v>
      </c>
      <c r="D68" s="15">
        <f>(D49-$D$67)^2</f>
        <v>16</v>
      </c>
    </row>
    <row r="69" spans="1:47" x14ac:dyDescent="0.3">
      <c r="C69" s="14"/>
      <c r="D69" s="15">
        <f t="shared" ref="D69:D76" si="3">(D50-$D$67)^2</f>
        <v>9</v>
      </c>
      <c r="G69" s="17">
        <v>2023</v>
      </c>
      <c r="H69" s="18"/>
      <c r="I69" s="18"/>
      <c r="J69" s="18"/>
      <c r="K69" s="19"/>
      <c r="M69" s="17">
        <v>2024</v>
      </c>
      <c r="N69" s="18"/>
      <c r="O69" s="18"/>
      <c r="P69" s="18"/>
      <c r="Q69" s="19"/>
      <c r="S69" s="17">
        <v>2025</v>
      </c>
      <c r="T69" s="18"/>
      <c r="U69" s="18"/>
      <c r="V69" s="18"/>
      <c r="W69" s="19"/>
      <c r="Y69" s="17">
        <v>2026</v>
      </c>
      <c r="Z69" s="18"/>
      <c r="AA69" s="18"/>
      <c r="AB69" s="18"/>
      <c r="AC69" s="19"/>
      <c r="AE69" s="17">
        <v>2027</v>
      </c>
      <c r="AF69" s="18"/>
      <c r="AG69" s="18"/>
      <c r="AH69" s="18"/>
      <c r="AI69" s="19"/>
      <c r="AK69" s="17">
        <v>2028</v>
      </c>
      <c r="AL69" s="18"/>
      <c r="AM69" s="18"/>
      <c r="AN69" s="18"/>
      <c r="AO69" s="19"/>
      <c r="AQ69" s="17">
        <v>2029</v>
      </c>
      <c r="AR69" s="18"/>
      <c r="AS69" s="18"/>
      <c r="AT69" s="18"/>
      <c r="AU69" s="19"/>
    </row>
    <row r="70" spans="1:47" x14ac:dyDescent="0.3">
      <c r="C70" s="14"/>
      <c r="D70" s="15">
        <f t="shared" si="3"/>
        <v>4</v>
      </c>
      <c r="G70" s="20" t="s">
        <v>117</v>
      </c>
      <c r="H70">
        <v>2023</v>
      </c>
      <c r="J70" t="s">
        <v>118</v>
      </c>
      <c r="K70" s="21">
        <f>H74*(H75*SQRT(1+1/H73+H76/H77))</f>
        <v>25.531619812723182</v>
      </c>
      <c r="M70" s="20" t="s">
        <v>117</v>
      </c>
      <c r="N70">
        <v>2024</v>
      </c>
      <c r="P70" t="s">
        <v>118</v>
      </c>
      <c r="Q70" s="21">
        <f>N74*(N75*SQRT(1+1/N73+N76/N77))</f>
        <v>27.020126637246012</v>
      </c>
      <c r="S70" s="20" t="s">
        <v>117</v>
      </c>
      <c r="T70">
        <v>2025</v>
      </c>
      <c r="V70" t="s">
        <v>118</v>
      </c>
      <c r="W70" s="21">
        <f>T74*(T75*SQRT(1+1/T73+T76/T77))</f>
        <v>28.67984231988601</v>
      </c>
      <c r="Y70" s="20" t="s">
        <v>117</v>
      </c>
      <c r="Z70">
        <v>2026</v>
      </c>
      <c r="AB70" t="s">
        <v>118</v>
      </c>
      <c r="AC70" s="21">
        <f>Z74*(Z75*SQRT(1+1/Z73+Z76/Z77))</f>
        <v>30.482813949233396</v>
      </c>
      <c r="AE70" s="20" t="s">
        <v>117</v>
      </c>
      <c r="AF70">
        <v>2027</v>
      </c>
      <c r="AH70" t="s">
        <v>118</v>
      </c>
      <c r="AI70" s="21">
        <f>AF74*(AF75*SQRT(1+1/AF73+AF76/AF77))</f>
        <v>32.405138725254247</v>
      </c>
      <c r="AK70" s="20" t="s">
        <v>117</v>
      </c>
      <c r="AL70">
        <v>2028</v>
      </c>
      <c r="AN70" t="s">
        <v>118</v>
      </c>
      <c r="AO70" s="21">
        <f>AL74*(AL75*SQRT(1+1/AL73+AL76/AL77))</f>
        <v>34.426829132403505</v>
      </c>
      <c r="AQ70" s="20" t="s">
        <v>117</v>
      </c>
      <c r="AR70">
        <v>2029</v>
      </c>
      <c r="AT70" t="s">
        <v>118</v>
      </c>
      <c r="AU70" s="21">
        <f>AR74*(AR75*SQRT(1+1/AR73+AR76/AR77))</f>
        <v>36.531391859464946</v>
      </c>
    </row>
    <row r="71" spans="1:47" x14ac:dyDescent="0.3">
      <c r="C71" s="14"/>
      <c r="D71" s="15">
        <f t="shared" si="3"/>
        <v>1</v>
      </c>
      <c r="G71" s="20" t="s">
        <v>119</v>
      </c>
      <c r="H71">
        <v>0.95</v>
      </c>
      <c r="J71" t="s">
        <v>120</v>
      </c>
      <c r="K71" s="21">
        <f>H72-K70</f>
        <v>21.973799090919567</v>
      </c>
      <c r="M71" s="20" t="s">
        <v>119</v>
      </c>
      <c r="N71">
        <v>0.95</v>
      </c>
      <c r="P71" t="s">
        <v>120</v>
      </c>
      <c r="Q71" s="21">
        <f>N72-Q70</f>
        <v>16.794933734843635</v>
      </c>
      <c r="S71" s="20" t="s">
        <v>119</v>
      </c>
      <c r="T71">
        <v>0.95</v>
      </c>
      <c r="V71" t="s">
        <v>120</v>
      </c>
      <c r="W71" s="21">
        <f>T72-W70</f>
        <v>11.444859520649626</v>
      </c>
      <c r="Y71" s="20" t="s">
        <v>119</v>
      </c>
      <c r="Z71">
        <v>0.95</v>
      </c>
      <c r="AB71" t="s">
        <v>120</v>
      </c>
      <c r="AC71" s="21">
        <f>Z72-AC70</f>
        <v>5.9515293597491379</v>
      </c>
      <c r="AE71" s="20" t="s">
        <v>119</v>
      </c>
      <c r="AF71">
        <v>0.95</v>
      </c>
      <c r="AH71" t="s">
        <v>120</v>
      </c>
      <c r="AI71" s="21">
        <f>AF72-AI70</f>
        <v>0.33884605217427577</v>
      </c>
      <c r="AK71" s="20" t="s">
        <v>119</v>
      </c>
      <c r="AL71">
        <v>0.95</v>
      </c>
      <c r="AN71" t="s">
        <v>120</v>
      </c>
      <c r="AO71" s="21">
        <f>AL72-AO70</f>
        <v>-5.3732028865280839</v>
      </c>
      <c r="AQ71" s="20" t="s">
        <v>119</v>
      </c>
      <c r="AR71">
        <v>0.95</v>
      </c>
      <c r="AT71" t="s">
        <v>120</v>
      </c>
      <c r="AU71" s="21">
        <f>AR72-AU70</f>
        <v>-11.168124145143537</v>
      </c>
    </row>
    <row r="72" spans="1:47" x14ac:dyDescent="0.3">
      <c r="C72" s="14"/>
      <c r="D72" s="15">
        <f t="shared" si="3"/>
        <v>0</v>
      </c>
      <c r="G72" s="20" t="s">
        <v>121</v>
      </c>
      <c r="H72">
        <f>$B$94+$B$95*H70</f>
        <v>47.505418903642749</v>
      </c>
      <c r="J72" t="s">
        <v>122</v>
      </c>
      <c r="K72" s="21">
        <f>H72+K70</f>
        <v>73.037038716365927</v>
      </c>
      <c r="M72" s="20" t="s">
        <v>121</v>
      </c>
      <c r="N72">
        <f>$B$94+$B$95*N70</f>
        <v>43.815060372089647</v>
      </c>
      <c r="P72" t="s">
        <v>122</v>
      </c>
      <c r="Q72" s="21">
        <f>N72+Q70</f>
        <v>70.835187009335655</v>
      </c>
      <c r="S72" s="20" t="s">
        <v>121</v>
      </c>
      <c r="T72">
        <f>$B$94+$B$95*T70</f>
        <v>40.124701840535636</v>
      </c>
      <c r="V72" t="s">
        <v>122</v>
      </c>
      <c r="W72" s="21">
        <f>T72+W70</f>
        <v>68.804544160421642</v>
      </c>
      <c r="Y72" s="20" t="s">
        <v>121</v>
      </c>
      <c r="Z72">
        <f>$B$94+$B$95*Z70</f>
        <v>36.434343308982534</v>
      </c>
      <c r="AB72" t="s">
        <v>122</v>
      </c>
      <c r="AC72" s="21">
        <f>Z72+AC70</f>
        <v>66.917157258215923</v>
      </c>
      <c r="AE72" s="20" t="s">
        <v>121</v>
      </c>
      <c r="AF72">
        <f>$B$94+$B$95*AF70</f>
        <v>32.743984777428523</v>
      </c>
      <c r="AH72" t="s">
        <v>122</v>
      </c>
      <c r="AI72" s="21">
        <f>AF72+AI70</f>
        <v>65.14912350268277</v>
      </c>
      <c r="AK72" s="20" t="s">
        <v>121</v>
      </c>
      <c r="AL72">
        <f>$B$94+$B$95*AL70</f>
        <v>29.053626245875421</v>
      </c>
      <c r="AN72" t="s">
        <v>122</v>
      </c>
      <c r="AO72" s="21">
        <f>AL72+AO70</f>
        <v>63.480455378278926</v>
      </c>
      <c r="AQ72" s="20" t="s">
        <v>121</v>
      </c>
      <c r="AR72">
        <f>$B$94+$B$95*AR70</f>
        <v>25.36326771432141</v>
      </c>
      <c r="AT72" t="s">
        <v>122</v>
      </c>
      <c r="AU72" s="21">
        <f>AR72+AU70</f>
        <v>61.894659573786356</v>
      </c>
    </row>
    <row r="73" spans="1:47" x14ac:dyDescent="0.3">
      <c r="C73" s="14"/>
      <c r="D73" s="15">
        <f t="shared" si="3"/>
        <v>1</v>
      </c>
      <c r="G73" s="20" t="s">
        <v>123</v>
      </c>
      <c r="H73">
        <f>$B$85</f>
        <v>9</v>
      </c>
      <c r="K73" s="21"/>
      <c r="M73" s="20" t="s">
        <v>123</v>
      </c>
      <c r="N73">
        <f>$B$85</f>
        <v>9</v>
      </c>
      <c r="Q73" s="21"/>
      <c r="S73" s="20" t="s">
        <v>123</v>
      </c>
      <c r="T73">
        <f>$B$85</f>
        <v>9</v>
      </c>
      <c r="W73" s="21"/>
      <c r="Y73" s="20" t="s">
        <v>123</v>
      </c>
      <c r="Z73">
        <f>$B$85</f>
        <v>9</v>
      </c>
      <c r="AC73" s="21"/>
      <c r="AE73" s="20" t="s">
        <v>123</v>
      </c>
      <c r="AF73">
        <f>$B$85</f>
        <v>9</v>
      </c>
      <c r="AI73" s="21"/>
      <c r="AK73" s="20" t="s">
        <v>123</v>
      </c>
      <c r="AL73">
        <f>$B$85</f>
        <v>9</v>
      </c>
      <c r="AO73" s="21"/>
      <c r="AQ73" s="20" t="s">
        <v>123</v>
      </c>
      <c r="AR73">
        <f>$B$85</f>
        <v>9</v>
      </c>
      <c r="AU73" s="21"/>
    </row>
    <row r="74" spans="1:47" x14ac:dyDescent="0.3">
      <c r="C74" s="14"/>
      <c r="D74" s="15">
        <f t="shared" si="3"/>
        <v>4</v>
      </c>
      <c r="G74" s="20" t="s">
        <v>124</v>
      </c>
      <c r="H74">
        <f>_xlfn.T.INV.2T(1-H71,H73-2)</f>
        <v>2.3646242515927849</v>
      </c>
      <c r="K74" s="21"/>
      <c r="M74" s="20" t="s">
        <v>124</v>
      </c>
      <c r="N74">
        <f>_xlfn.T.INV.2T(1-N71,N73-2)</f>
        <v>2.3646242515927849</v>
      </c>
      <c r="Q74" s="21"/>
      <c r="S74" s="20" t="s">
        <v>124</v>
      </c>
      <c r="T74">
        <f>_xlfn.T.INV.2T(1-T71,T73-2)</f>
        <v>2.3646242515927849</v>
      </c>
      <c r="W74" s="21"/>
      <c r="Y74" s="20" t="s">
        <v>124</v>
      </c>
      <c r="Z74">
        <f>_xlfn.T.INV.2T(1-Z71,Z73-2)</f>
        <v>2.3646242515927849</v>
      </c>
      <c r="AC74" s="21"/>
      <c r="AE74" s="20" t="s">
        <v>124</v>
      </c>
      <c r="AF74">
        <f>_xlfn.T.INV.2T(1-AF71,AF73-2)</f>
        <v>2.3646242515927849</v>
      </c>
      <c r="AI74" s="21"/>
      <c r="AK74" s="20" t="s">
        <v>124</v>
      </c>
      <c r="AL74">
        <f>_xlfn.T.INV.2T(1-AL71,AL73-2)</f>
        <v>2.3646242515927849</v>
      </c>
      <c r="AO74" s="21"/>
      <c r="AQ74" s="20" t="s">
        <v>124</v>
      </c>
      <c r="AR74">
        <f>_xlfn.T.INV.2T(1-AR71,AR73-2)</f>
        <v>2.3646242515927849</v>
      </c>
      <c r="AU74" s="21"/>
    </row>
    <row r="75" spans="1:47" x14ac:dyDescent="0.3">
      <c r="C75" s="14"/>
      <c r="D75" s="15">
        <f t="shared" si="3"/>
        <v>9</v>
      </c>
      <c r="G75" s="20" t="s">
        <v>125</v>
      </c>
      <c r="H75">
        <f>$B$84</f>
        <v>8.7354671531971242</v>
      </c>
      <c r="K75" s="21"/>
      <c r="M75" s="20" t="s">
        <v>125</v>
      </c>
      <c r="N75">
        <f>$B$84</f>
        <v>8.7354671531971242</v>
      </c>
      <c r="Q75" s="21"/>
      <c r="S75" s="20" t="s">
        <v>125</v>
      </c>
      <c r="T75">
        <f>$B$84</f>
        <v>8.7354671531971242</v>
      </c>
      <c r="W75" s="21"/>
      <c r="Y75" s="20" t="s">
        <v>125</v>
      </c>
      <c r="Z75">
        <f>$B$84</f>
        <v>8.7354671531971242</v>
      </c>
      <c r="AC75" s="21"/>
      <c r="AE75" s="20" t="s">
        <v>125</v>
      </c>
      <c r="AF75">
        <f>$B$84</f>
        <v>8.7354671531971242</v>
      </c>
      <c r="AI75" s="21"/>
      <c r="AK75" s="20" t="s">
        <v>125</v>
      </c>
      <c r="AL75">
        <f>$B$84</f>
        <v>8.7354671531971242</v>
      </c>
      <c r="AO75" s="21"/>
      <c r="AQ75" s="20" t="s">
        <v>125</v>
      </c>
      <c r="AR75">
        <f>$B$84</f>
        <v>8.7354671531971242</v>
      </c>
      <c r="AU75" s="21"/>
    </row>
    <row r="76" spans="1:47" x14ac:dyDescent="0.3">
      <c r="C76" s="14"/>
      <c r="D76" s="15">
        <f t="shared" si="3"/>
        <v>16</v>
      </c>
      <c r="G76" s="22" t="s">
        <v>126</v>
      </c>
      <c r="H76">
        <f>(H70-$D$67)^2</f>
        <v>25</v>
      </c>
      <c r="K76" s="21"/>
      <c r="M76" s="22" t="s">
        <v>126</v>
      </c>
      <c r="N76">
        <f>(N70-$D$67)^2</f>
        <v>36</v>
      </c>
      <c r="Q76" s="21"/>
      <c r="S76" s="22" t="s">
        <v>126</v>
      </c>
      <c r="T76">
        <f>(T70-$D$67)^2</f>
        <v>49</v>
      </c>
      <c r="W76" s="21"/>
      <c r="Y76" s="22" t="s">
        <v>126</v>
      </c>
      <c r="Z76">
        <f>(Z70-$D$67)^2</f>
        <v>64</v>
      </c>
      <c r="AC76" s="21"/>
      <c r="AE76" s="22" t="s">
        <v>126</v>
      </c>
      <c r="AF76">
        <f>(AF70-$D$67)^2</f>
        <v>81</v>
      </c>
      <c r="AI76" s="21"/>
      <c r="AK76" s="22" t="s">
        <v>126</v>
      </c>
      <c r="AL76">
        <f>(AL70-$D$67)^2</f>
        <v>100</v>
      </c>
      <c r="AO76" s="21"/>
      <c r="AQ76" s="22" t="s">
        <v>126</v>
      </c>
      <c r="AR76">
        <f>(AR70-$D$67)^2</f>
        <v>121</v>
      </c>
      <c r="AU76" s="21"/>
    </row>
    <row r="77" spans="1:47" ht="15" thickBot="1" x14ac:dyDescent="0.35">
      <c r="C77" s="14" t="s">
        <v>80</v>
      </c>
      <c r="D77" s="15">
        <f>SUM(D68:D76)</f>
        <v>60</v>
      </c>
      <c r="G77" s="23" t="s">
        <v>127</v>
      </c>
      <c r="H77" s="24">
        <f>$D$77</f>
        <v>60</v>
      </c>
      <c r="I77" s="24"/>
      <c r="J77" s="24"/>
      <c r="K77" s="25"/>
      <c r="M77" s="23" t="s">
        <v>127</v>
      </c>
      <c r="N77" s="24">
        <f>$D$77</f>
        <v>60</v>
      </c>
      <c r="O77" s="24"/>
      <c r="P77" s="24"/>
      <c r="Q77" s="25"/>
      <c r="S77" s="23" t="s">
        <v>127</v>
      </c>
      <c r="T77" s="24">
        <f>$D$77</f>
        <v>60</v>
      </c>
      <c r="U77" s="24"/>
      <c r="V77" s="24"/>
      <c r="W77" s="25"/>
      <c r="Y77" s="23" t="s">
        <v>127</v>
      </c>
      <c r="Z77" s="24">
        <f>$D$77</f>
        <v>60</v>
      </c>
      <c r="AA77" s="24"/>
      <c r="AB77" s="24"/>
      <c r="AC77" s="25"/>
      <c r="AE77" s="23" t="s">
        <v>127</v>
      </c>
      <c r="AF77" s="24">
        <f>$D$77</f>
        <v>60</v>
      </c>
      <c r="AG77" s="24"/>
      <c r="AH77" s="24"/>
      <c r="AI77" s="25"/>
      <c r="AK77" s="23" t="s">
        <v>127</v>
      </c>
      <c r="AL77" s="24">
        <f>$D$77</f>
        <v>60</v>
      </c>
      <c r="AM77" s="24"/>
      <c r="AN77" s="24"/>
      <c r="AO77" s="25"/>
      <c r="AQ77" s="23" t="s">
        <v>127</v>
      </c>
      <c r="AR77" s="24">
        <f>$D$77</f>
        <v>60</v>
      </c>
      <c r="AS77" s="24"/>
      <c r="AT77" s="24"/>
      <c r="AU77" s="25"/>
    </row>
    <row r="78" spans="1:47" x14ac:dyDescent="0.3">
      <c r="A78" t="s">
        <v>84</v>
      </c>
    </row>
    <row r="79" spans="1:47" ht="15" thickBot="1" x14ac:dyDescent="0.35"/>
    <row r="80" spans="1:47" x14ac:dyDescent="0.3">
      <c r="A80" s="13" t="s">
        <v>85</v>
      </c>
      <c r="B80" s="13"/>
    </row>
    <row r="81" spans="1:13" x14ac:dyDescent="0.3">
      <c r="A81" t="s">
        <v>86</v>
      </c>
      <c r="B81">
        <v>0.77762632538166954</v>
      </c>
      <c r="L81" t="s">
        <v>202</v>
      </c>
    </row>
    <row r="82" spans="1:13" x14ac:dyDescent="0.3">
      <c r="A82" t="s">
        <v>87</v>
      </c>
      <c r="B82">
        <v>0.60470270192659814</v>
      </c>
    </row>
    <row r="83" spans="1:13" x14ac:dyDescent="0.3">
      <c r="A83" t="s">
        <v>88</v>
      </c>
      <c r="B83">
        <v>0.54823165934468354</v>
      </c>
    </row>
    <row r="84" spans="1:13" x14ac:dyDescent="0.3">
      <c r="A84" t="s">
        <v>89</v>
      </c>
      <c r="B84">
        <v>8.7354671531971242</v>
      </c>
    </row>
    <row r="85" spans="1:13" ht="15" thickBot="1" x14ac:dyDescent="0.35">
      <c r="A85" s="11" t="s">
        <v>90</v>
      </c>
      <c r="B85" s="11">
        <v>9</v>
      </c>
    </row>
    <row r="87" spans="1:13" ht="15" thickBot="1" x14ac:dyDescent="0.35">
      <c r="A87" t="s">
        <v>91</v>
      </c>
    </row>
    <row r="88" spans="1:13" x14ac:dyDescent="0.3">
      <c r="A88" s="12"/>
      <c r="B88" s="12" t="s">
        <v>92</v>
      </c>
      <c r="C88" s="12" t="s">
        <v>93</v>
      </c>
      <c r="D88" s="12" t="s">
        <v>94</v>
      </c>
      <c r="E88" s="12" t="s">
        <v>95</v>
      </c>
      <c r="F88" s="12" t="s">
        <v>96</v>
      </c>
      <c r="L88" s="2" t="s">
        <v>128</v>
      </c>
    </row>
    <row r="89" spans="1:13" x14ac:dyDescent="0.3">
      <c r="A89" t="s">
        <v>97</v>
      </c>
      <c r="B89">
        <v>1</v>
      </c>
      <c r="C89">
        <v>817.12476548460188</v>
      </c>
      <c r="D89">
        <v>817.12476548460188</v>
      </c>
      <c r="E89">
        <v>10.708190858163126</v>
      </c>
      <c r="F89">
        <v>1.3630312806562619E-2</v>
      </c>
      <c r="L89" t="s">
        <v>129</v>
      </c>
      <c r="M89" t="s">
        <v>203</v>
      </c>
    </row>
    <row r="90" spans="1:13" x14ac:dyDescent="0.3">
      <c r="A90" t="s">
        <v>98</v>
      </c>
      <c r="B90">
        <v>7</v>
      </c>
      <c r="C90">
        <v>534.15870469210097</v>
      </c>
      <c r="D90">
        <v>76.308386384585859</v>
      </c>
      <c r="L90" t="s">
        <v>117</v>
      </c>
      <c r="M90" t="s">
        <v>204</v>
      </c>
    </row>
    <row r="91" spans="1:13" ht="15" thickBot="1" x14ac:dyDescent="0.35">
      <c r="A91" s="11" t="s">
        <v>99</v>
      </c>
      <c r="B91" s="11">
        <v>8</v>
      </c>
      <c r="C91" s="11">
        <v>1351.2834701767028</v>
      </c>
      <c r="D91" s="11"/>
      <c r="E91" s="11"/>
      <c r="F91" s="11"/>
      <c r="L91" t="s">
        <v>119</v>
      </c>
      <c r="M91" t="s">
        <v>132</v>
      </c>
    </row>
    <row r="92" spans="1:13" ht="15" thickBot="1" x14ac:dyDescent="0.35">
      <c r="L92" t="s">
        <v>121</v>
      </c>
      <c r="M92" t="s">
        <v>205</v>
      </c>
    </row>
    <row r="93" spans="1:13" x14ac:dyDescent="0.3">
      <c r="A93" s="12"/>
      <c r="B93" s="12" t="s">
        <v>100</v>
      </c>
      <c r="C93" s="12" t="s">
        <v>89</v>
      </c>
      <c r="D93" s="12" t="s">
        <v>101</v>
      </c>
      <c r="E93" s="12" t="s">
        <v>102</v>
      </c>
      <c r="F93" s="12" t="s">
        <v>103</v>
      </c>
      <c r="G93" s="12" t="s">
        <v>104</v>
      </c>
      <c r="H93" s="12" t="s">
        <v>105</v>
      </c>
      <c r="I93" s="12" t="s">
        <v>106</v>
      </c>
      <c r="L93" t="s">
        <v>123</v>
      </c>
      <c r="M93" t="s">
        <v>134</v>
      </c>
    </row>
    <row r="94" spans="1:13" x14ac:dyDescent="0.3">
      <c r="A94" t="s">
        <v>107</v>
      </c>
      <c r="B94">
        <v>7513.1007282364581</v>
      </c>
      <c r="C94">
        <v>2275.7891744689282</v>
      </c>
      <c r="D94">
        <v>3.3013166652353436</v>
      </c>
      <c r="E94">
        <v>1.3096974681496749E-2</v>
      </c>
      <c r="F94">
        <v>2131.7144547749067</v>
      </c>
      <c r="G94">
        <v>12894.487001698009</v>
      </c>
      <c r="H94">
        <v>2131.7144547749067</v>
      </c>
      <c r="I94">
        <v>12894.487001698009</v>
      </c>
      <c r="L94" t="s">
        <v>124</v>
      </c>
      <c r="M94" t="s">
        <v>135</v>
      </c>
    </row>
    <row r="95" spans="1:13" ht="15" thickBot="1" x14ac:dyDescent="0.35">
      <c r="A95" s="11" t="s">
        <v>0</v>
      </c>
      <c r="B95" s="11">
        <v>-3.6903585315535419</v>
      </c>
      <c r="C95" s="11">
        <v>1.1277439601891457</v>
      </c>
      <c r="D95" s="11">
        <v>-3.2723372164499054</v>
      </c>
      <c r="E95" s="11">
        <v>1.3630312806562664E-2</v>
      </c>
      <c r="F95" s="11">
        <v>-6.357049249404084</v>
      </c>
      <c r="G95" s="11">
        <v>-1.0236678137029998</v>
      </c>
      <c r="H95" s="11">
        <v>-6.357049249404084</v>
      </c>
      <c r="I95" s="11">
        <v>-1.0236678137029998</v>
      </c>
      <c r="L95" t="s">
        <v>125</v>
      </c>
      <c r="M95" t="s">
        <v>136</v>
      </c>
    </row>
    <row r="96" spans="1:13" x14ac:dyDescent="0.3">
      <c r="L96" t="s">
        <v>82</v>
      </c>
      <c r="M96" t="s">
        <v>206</v>
      </c>
    </row>
    <row r="97" spans="12:13" x14ac:dyDescent="0.3">
      <c r="L97" t="s">
        <v>127</v>
      </c>
      <c r="M97" t="s">
        <v>138</v>
      </c>
    </row>
  </sheetData>
  <mergeCells count="2">
    <mergeCell ref="J48:L48"/>
    <mergeCell ref="B9:D9"/>
  </mergeCells>
  <hyperlinks>
    <hyperlink ref="A26" r:id="rId1" xr:uid="{025877CE-17EE-45D5-87E4-90B1A1EAB7DE}"/>
  </hyperlinks>
  <pageMargins left="0.7" right="0.7" top="0.75" bottom="0.75" header="0.3" footer="0.3"/>
  <drawing r:id="rId2"/>
  <legacyDrawing r:id="rId3"/>
  <tableParts count="5">
    <tablePart r:id="rId4"/>
    <tablePart r:id="rId5"/>
    <tablePart r:id="rId6"/>
    <tablePart r:id="rId7"/>
    <tablePart r:id="rId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809CA-90BA-41C0-B4CC-8331B75B3789}">
  <dimension ref="A1:D15"/>
  <sheetViews>
    <sheetView workbookViewId="0">
      <selection activeCell="A11" sqref="A11:D15"/>
    </sheetView>
  </sheetViews>
  <sheetFormatPr defaultRowHeight="14.4" x14ac:dyDescent="0.3"/>
  <cols>
    <col min="1" max="1" width="23" bestFit="1" customWidth="1"/>
    <col min="2" max="2" width="9.109375" bestFit="1" customWidth="1"/>
    <col min="3" max="3" width="11.44140625" bestFit="1" customWidth="1"/>
    <col min="4" max="4" width="10.109375" bestFit="1" customWidth="1"/>
  </cols>
  <sheetData>
    <row r="1" spans="1:4" ht="21" x14ac:dyDescent="0.4">
      <c r="A1" s="1" t="s">
        <v>164</v>
      </c>
    </row>
    <row r="7" spans="1:4" x14ac:dyDescent="0.3">
      <c r="A7" t="s">
        <v>165</v>
      </c>
    </row>
    <row r="9" spans="1:4" x14ac:dyDescent="0.3">
      <c r="A9" s="53"/>
      <c r="B9" s="163" t="s">
        <v>166</v>
      </c>
      <c r="C9" s="163"/>
      <c r="D9" s="163"/>
    </row>
    <row r="10" spans="1:4" x14ac:dyDescent="0.3">
      <c r="A10" s="100" t="s">
        <v>0</v>
      </c>
      <c r="B10" s="53" t="s">
        <v>167</v>
      </c>
      <c r="C10" s="53" t="s">
        <v>168</v>
      </c>
      <c r="D10" s="53" t="s">
        <v>169</v>
      </c>
    </row>
    <row r="11" spans="1:4" x14ac:dyDescent="0.3">
      <c r="A11" s="56" t="s">
        <v>5</v>
      </c>
      <c r="B11" s="153">
        <f>IF(Table17[[#This Row],[Low]]&gt;0,ROUND(Table17[[#This Row],[Low]], 2-(1+INT(LOG10(ABS(Table17[[#This Row],[Low]]))))),0)</f>
        <v>2400000</v>
      </c>
      <c r="C11" s="153">
        <f>IF(Table17[[#This Row],[Average ]]&gt;0,ROUND(Table17[[#This Row],[Average ]], 2-(1+INT(LOG10(ABS(Table17[[#This Row],[Average ]]))))),0)</f>
        <v>7000000</v>
      </c>
      <c r="D11" s="153">
        <f>IF(Table17[[#This Row],[High]]&gt;0,ROUND(Table17[[#This Row],[High]], 2-(1+INT(LOG10(ABS(Table17[[#This Row],[High]]))))),0)</f>
        <v>12000000</v>
      </c>
    </row>
    <row r="12" spans="1:4" x14ac:dyDescent="0.3">
      <c r="A12" s="56" t="s">
        <v>6</v>
      </c>
      <c r="B12" s="153">
        <f>IF(Table17[[#This Row],[Low]]&gt;0,ROUND(Table17[[#This Row],[Low]], 2-(1+INT(LOG10(ABS(Table17[[#This Row],[Low]]))))),0)</f>
        <v>4400000</v>
      </c>
      <c r="C12" s="153">
        <f>IF(Table17[[#This Row],[Average ]]&gt;0,ROUND(Table17[[#This Row],[Average ]], 2-(1+INT(LOG10(ABS(Table17[[#This Row],[Average ]]))))),0)</f>
        <v>19000000</v>
      </c>
      <c r="D12" s="153">
        <f>IF(Table17[[#This Row],[High]]&gt;0,ROUND(Table17[[#This Row],[High]], 2-(1+INT(LOG10(ABS(Table17[[#This Row],[High]]))))),0)</f>
        <v>34000000</v>
      </c>
    </row>
    <row r="13" spans="1:4" x14ac:dyDescent="0.3">
      <c r="A13" s="56" t="s">
        <v>7</v>
      </c>
      <c r="B13" s="153">
        <f>IF(Table17[[#This Row],[Low]]&gt;0,ROUND(Table17[[#This Row],[Low]], 2-(1+INT(LOG10(ABS(Table17[[#This Row],[Low]]))))),0)</f>
        <v>3200000</v>
      </c>
      <c r="C13" s="153">
        <f>IF(Table17[[#This Row],[Average ]]&gt;0,ROUND(Table17[[#This Row],[Average ]], 2-(1+INT(LOG10(ABS(Table17[[#This Row],[Average ]]))))),0)</f>
        <v>35000000</v>
      </c>
      <c r="D13" s="153">
        <f>IF(Table17[[#This Row],[High]]&gt;0,ROUND(Table17[[#This Row],[High]], 2-(1+INT(LOG10(ABS(Table17[[#This Row],[High]]))))),0)</f>
        <v>66000000</v>
      </c>
    </row>
    <row r="14" spans="1:4" x14ac:dyDescent="0.3">
      <c r="A14" s="56" t="s">
        <v>8</v>
      </c>
      <c r="B14" s="153">
        <f>IF(Table17[[#This Row],[Low]]&gt;0,ROUND(Table17[[#This Row],[Low]], 2-(1+INT(LOG10(ABS(Table17[[#This Row],[Low]]))))),0)</f>
        <v>0</v>
      </c>
      <c r="C14" s="153">
        <f>IF(Table17[[#This Row],[Average ]]&gt;0,ROUND(Table17[[#This Row],[Average ]], 2-(1+INT(LOG10(ABS(Table17[[#This Row],[Average ]]))))),0)</f>
        <v>31000000</v>
      </c>
      <c r="D14" s="153">
        <f>IF(Table17[[#This Row],[High]]&gt;0,ROUND(Table17[[#This Row],[High]], 2-(1+INT(LOG10(ABS(Table17[[#This Row],[High]]))))),0)</f>
        <v>65000000</v>
      </c>
    </row>
    <row r="15" spans="1:4" x14ac:dyDescent="0.3">
      <c r="A15" s="56" t="s">
        <v>9</v>
      </c>
      <c r="B15" s="153">
        <f>IF(Table17[[#This Row],[Low]]&gt;0,ROUND(Table17[[#This Row],[Low]], 2-(1+INT(LOG10(ABS(Table17[[#This Row],[Low]]))))),0)</f>
        <v>0</v>
      </c>
      <c r="C15" s="153">
        <f>IF(Table17[[#This Row],[Average ]]&gt;0,ROUND(Table17[[#This Row],[Average ]], 2-(1+INT(LOG10(ABS(Table17[[#This Row],[Average ]]))))),0)</f>
        <v>0</v>
      </c>
      <c r="D15" s="153">
        <f>IF(Table17[[#This Row],[High]]&gt;0,ROUND(Table17[[#This Row],[High]], 2-(1+INT(LOG10(ABS(Table17[[#This Row],[High]]))))),0)</f>
        <v>0</v>
      </c>
    </row>
  </sheetData>
  <mergeCells count="1">
    <mergeCell ref="B9:D9"/>
  </mergeCells>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E9B7D-44BF-4512-9B13-30473AE9FC9C}">
  <dimension ref="A1:N83"/>
  <sheetViews>
    <sheetView topLeftCell="H24" zoomScale="80" zoomScaleNormal="80" workbookViewId="0">
      <selection activeCell="E34" sqref="E34"/>
    </sheetView>
  </sheetViews>
  <sheetFormatPr defaultRowHeight="14.4" x14ac:dyDescent="0.3"/>
  <cols>
    <col min="1" max="1" width="14.6640625" customWidth="1"/>
    <col min="2" max="2" width="38.88671875" customWidth="1"/>
    <col min="3" max="3" width="34.109375" customWidth="1"/>
    <col min="4" max="4" width="38" customWidth="1"/>
    <col min="5" max="5" width="29.109375" customWidth="1"/>
    <col min="6" max="6" width="30.33203125" customWidth="1"/>
    <col min="7" max="7" width="35.88671875" customWidth="1"/>
    <col min="8" max="9" width="37.6640625" bestFit="1" customWidth="1"/>
    <col min="10" max="10" width="30.88671875" customWidth="1"/>
    <col min="11" max="11" width="11.33203125" customWidth="1"/>
    <col min="12" max="12" width="28.44140625" customWidth="1"/>
    <col min="13" max="13" width="53.44140625" bestFit="1" customWidth="1"/>
  </cols>
  <sheetData>
    <row r="1" spans="1:6" ht="21" x14ac:dyDescent="0.4">
      <c r="A1" s="1" t="s">
        <v>207</v>
      </c>
    </row>
    <row r="9" spans="1:6" x14ac:dyDescent="0.3">
      <c r="B9" t="s">
        <v>208</v>
      </c>
      <c r="C9" s="3"/>
    </row>
    <row r="11" spans="1:6" x14ac:dyDescent="0.3">
      <c r="A11" s="2" t="s">
        <v>209</v>
      </c>
    </row>
    <row r="13" spans="1:6" x14ac:dyDescent="0.3">
      <c r="B13" s="52" t="s">
        <v>210</v>
      </c>
      <c r="C13" s="52" t="s">
        <v>211</v>
      </c>
      <c r="D13" s="52" t="s">
        <v>212</v>
      </c>
    </row>
    <row r="14" spans="1:6" x14ac:dyDescent="0.3">
      <c r="B14" s="7" t="s">
        <v>213</v>
      </c>
      <c r="C14" s="7">
        <f>SUM(Table57[Material Cost])</f>
        <v>131.19279200665599</v>
      </c>
      <c r="D14" s="7">
        <f>SUM(Table57[Material GWP (kgCO2)])</f>
        <v>5.5372177425920004</v>
      </c>
    </row>
    <row r="15" spans="1:6" x14ac:dyDescent="0.3">
      <c r="B15" s="7" t="s">
        <v>214</v>
      </c>
      <c r="C15" s="7">
        <f>SUM('Product breakdown'!I47:I53,'Product breakdown'!J74,'Product breakdown'!J75,'Product breakdown'!J78,'Product breakdown'!J79)</f>
        <v>926.29481093100003</v>
      </c>
      <c r="D15" s="7">
        <f>SUM('Product breakdown'!J47:J53,'Product breakdown'!K74,'Product breakdown'!K75,'Product breakdown'!K78,'Product breakdown'!K79)</f>
        <v>18.872735179495997</v>
      </c>
      <c r="F15" t="s">
        <v>215</v>
      </c>
    </row>
    <row r="16" spans="1:6" x14ac:dyDescent="0.3">
      <c r="B16" s="6" t="s">
        <v>216</v>
      </c>
      <c r="C16" s="61">
        <f>SUM('Product breakdown'!J59:J66)</f>
        <v>4.1255880642600005</v>
      </c>
      <c r="D16" s="61">
        <f>SUM('Product breakdown'!K59:K66)</f>
        <v>16.533772298589</v>
      </c>
    </row>
    <row r="17" spans="1:9" x14ac:dyDescent="0.3">
      <c r="B17" s="6" t="s">
        <v>217</v>
      </c>
      <c r="C17" s="61">
        <f>SUM('Product breakdown'!J68:J69)</f>
        <v>12.152448000000001</v>
      </c>
      <c r="D17" s="61">
        <f>SUM('Product breakdown'!K68:K69)</f>
        <v>24.30634272</v>
      </c>
    </row>
    <row r="18" spans="1:9" x14ac:dyDescent="0.3">
      <c r="B18" s="7" t="s">
        <v>298</v>
      </c>
      <c r="C18" s="7">
        <f>SUM('Product breakdown'!J5:J25,'Product breakdown'!J58)</f>
        <v>2245.0456820221443</v>
      </c>
      <c r="D18" s="7">
        <f>SUM('Product breakdown'!K5:K25,'Product breakdown'!K58)</f>
        <v>0</v>
      </c>
    </row>
    <row r="19" spans="1:9" x14ac:dyDescent="0.3">
      <c r="B19" s="7" t="s">
        <v>396</v>
      </c>
      <c r="C19" s="7">
        <f>SUM('Product breakdown'!J76:J77,'Product breakdown'!J80:J84)</f>
        <v>22.532929638000006</v>
      </c>
      <c r="D19" s="7">
        <f>SUM('Product breakdown'!K76:K77,'Product breakdown'!K80:K84)</f>
        <v>11.897386848864</v>
      </c>
    </row>
    <row r="20" spans="1:9" x14ac:dyDescent="0.3">
      <c r="B20" s="52" t="s">
        <v>99</v>
      </c>
      <c r="C20" s="7">
        <f>SUM(C14:C19)</f>
        <v>3341.3442506620604</v>
      </c>
      <c r="D20" s="7">
        <f>SUM(D14:D19)</f>
        <v>77.147454789541001</v>
      </c>
    </row>
    <row r="23" spans="1:9" x14ac:dyDescent="0.3">
      <c r="A23" s="2" t="s">
        <v>218</v>
      </c>
      <c r="C23" t="s">
        <v>219</v>
      </c>
    </row>
    <row r="25" spans="1:9" x14ac:dyDescent="0.3">
      <c r="B25" s="168" t="s">
        <v>220</v>
      </c>
      <c r="C25" s="168" t="s">
        <v>221</v>
      </c>
      <c r="D25" s="170" t="s">
        <v>222</v>
      </c>
      <c r="E25" s="171"/>
      <c r="F25" s="171"/>
      <c r="G25" s="171"/>
      <c r="H25" s="162"/>
      <c r="I25" s="168" t="s">
        <v>212</v>
      </c>
    </row>
    <row r="26" spans="1:9" x14ac:dyDescent="0.3">
      <c r="B26" s="169"/>
      <c r="C26" s="169"/>
      <c r="D26" s="52" t="s">
        <v>223</v>
      </c>
      <c r="E26" s="52" t="s">
        <v>224</v>
      </c>
      <c r="F26" s="52" t="s">
        <v>225</v>
      </c>
      <c r="G26" s="52" t="s">
        <v>226</v>
      </c>
      <c r="H26" s="52" t="s">
        <v>227</v>
      </c>
      <c r="I26" s="169"/>
    </row>
    <row r="27" spans="1:9" x14ac:dyDescent="0.3">
      <c r="B27" s="7" t="s">
        <v>228</v>
      </c>
      <c r="C27" s="77">
        <v>76000</v>
      </c>
      <c r="D27" s="7">
        <f>C27*('Machine utilisation'!K4-IF(ISNUMBER('Machine utilisation'!J4),'Machine utilisation'!J4,0))</f>
        <v>76000</v>
      </c>
      <c r="E27" s="7">
        <f>C27*('Machine utilisation'!L4-IF(ISNUMBER('Machine utilisation'!K4),'Machine utilisation'!K4,0))</f>
        <v>152000</v>
      </c>
      <c r="F27" s="7">
        <f>C27*('Machine utilisation'!M4-IF(ISNUMBER('Machine utilisation'!L4),'Machine utilisation'!L4,0))</f>
        <v>228000</v>
      </c>
      <c r="G27" s="7">
        <f>C27*('Machine utilisation'!N4-IF(ISNUMBER('Machine utilisation'!M4),'Machine utilisation'!M4,0))</f>
        <v>0</v>
      </c>
      <c r="H27" s="7">
        <v>0</v>
      </c>
      <c r="I27" s="7"/>
    </row>
    <row r="28" spans="1:9" x14ac:dyDescent="0.3">
      <c r="B28" s="7" t="s">
        <v>229</v>
      </c>
      <c r="C28" s="7">
        <v>250000</v>
      </c>
      <c r="D28" s="7">
        <f>C28*('Machine utilisation'!K5-IF(ISNUMBER('Machine utilisation'!J5),'Machine utilisation'!J5,0))</f>
        <v>250000</v>
      </c>
      <c r="E28" s="7">
        <f>C28*('Machine utilisation'!L5-IF(ISNUMBER('Machine utilisation'!K5),'Machine utilisation'!K5,0))</f>
        <v>0</v>
      </c>
      <c r="F28" s="7">
        <f>C28*('Machine utilisation'!M5-IF(ISNUMBER('Machine utilisation'!L5),'Machine utilisation'!L5,0))</f>
        <v>0</v>
      </c>
      <c r="G28" s="7">
        <f>C28*('Machine utilisation'!N5-IF(ISNUMBER('Machine utilisation'!M5),'Machine utilisation'!M5,0))</f>
        <v>0</v>
      </c>
      <c r="H28" s="7">
        <v>0</v>
      </c>
      <c r="I28" s="7"/>
    </row>
    <row r="29" spans="1:9" x14ac:dyDescent="0.3">
      <c r="B29" s="7" t="s">
        <v>230</v>
      </c>
      <c r="C29" s="7">
        <v>50000</v>
      </c>
      <c r="D29" s="7">
        <f>C29*('Machine utilisation'!K6-IF(ISNUMBER('Machine utilisation'!J6),'Machine utilisation'!J6,0))</f>
        <v>50000</v>
      </c>
      <c r="E29" s="7">
        <f>C29*('Machine utilisation'!L6-IF(ISNUMBER('Machine utilisation'!K6),'Machine utilisation'!K6,0))</f>
        <v>0</v>
      </c>
      <c r="F29" s="7">
        <f>C29*('Machine utilisation'!M6-IF(ISNUMBER('Machine utilisation'!L6),'Machine utilisation'!L6,0))</f>
        <v>0</v>
      </c>
      <c r="G29" s="7">
        <f>C29*('Machine utilisation'!N6-IF(ISNUMBER('Machine utilisation'!M6),'Machine utilisation'!M6,0))</f>
        <v>0</v>
      </c>
      <c r="H29" s="7">
        <v>0</v>
      </c>
      <c r="I29" s="7"/>
    </row>
    <row r="30" spans="1:9" x14ac:dyDescent="0.3">
      <c r="B30" s="7" t="s">
        <v>231</v>
      </c>
      <c r="C30" s="33">
        <v>799300</v>
      </c>
      <c r="D30" s="7">
        <f>C30*('Machine utilisation'!K7-IF(ISNUMBER('Machine utilisation'!J7),'Machine utilisation'!J7,0))</f>
        <v>799300</v>
      </c>
      <c r="E30" s="7">
        <f>C30*('Machine utilisation'!L7-IF(ISNUMBER('Machine utilisation'!K7),'Machine utilisation'!K7,0))</f>
        <v>0</v>
      </c>
      <c r="F30" s="7">
        <f>C30*('Machine utilisation'!M7-IF(ISNUMBER('Machine utilisation'!L7),'Machine utilisation'!L7,0))</f>
        <v>0</v>
      </c>
      <c r="G30" s="7">
        <f>C30*('Machine utilisation'!N7-IF(ISNUMBER('Machine utilisation'!M7),'Machine utilisation'!M7,0))</f>
        <v>0</v>
      </c>
      <c r="H30" s="7">
        <v>0</v>
      </c>
      <c r="I30" s="7"/>
    </row>
    <row r="31" spans="1:9" x14ac:dyDescent="0.3">
      <c r="B31" s="7" t="s">
        <v>232</v>
      </c>
      <c r="C31" s="7">
        <v>40955</v>
      </c>
      <c r="D31" s="7">
        <f>C31*('Machine utilisation'!K8-IF(ISNUMBER('Machine utilisation'!J8),'Machine utilisation'!J8,0))</f>
        <v>40955</v>
      </c>
      <c r="E31" s="7">
        <f>C31*('Machine utilisation'!L8-IF(ISNUMBER('Machine utilisation'!K8),'Machine utilisation'!K8,0))</f>
        <v>0</v>
      </c>
      <c r="F31" s="7">
        <f>C31*('Machine utilisation'!M8-IF(ISNUMBER('Machine utilisation'!L8),'Machine utilisation'!L8,0))</f>
        <v>0</v>
      </c>
      <c r="G31" s="7">
        <f>C31*('Machine utilisation'!N8-IF(ISNUMBER('Machine utilisation'!M8),'Machine utilisation'!M8,0))</f>
        <v>0</v>
      </c>
      <c r="H31" s="7">
        <v>0</v>
      </c>
      <c r="I31" s="7"/>
    </row>
    <row r="32" spans="1:9" x14ac:dyDescent="0.3">
      <c r="B32" s="7" t="s">
        <v>233</v>
      </c>
      <c r="C32" s="7">
        <v>6565</v>
      </c>
      <c r="D32" s="7">
        <f>C32*('Machine utilisation'!K9-IF(ISNUMBER('Machine utilisation'!J9),'Machine utilisation'!J9,0))</f>
        <v>6565</v>
      </c>
      <c r="E32" s="7">
        <f>C32*('Machine utilisation'!L9-IF(ISNUMBER('Machine utilisation'!K9),'Machine utilisation'!K9,0))</f>
        <v>0</v>
      </c>
      <c r="F32" s="7">
        <f>C32*('Machine utilisation'!M9-IF(ISNUMBER('Machine utilisation'!L9),'Machine utilisation'!L9,0))</f>
        <v>0</v>
      </c>
      <c r="G32" s="7">
        <f>C32*('Machine utilisation'!N9-IF(ISNUMBER('Machine utilisation'!M9),'Machine utilisation'!M9,0))</f>
        <v>0</v>
      </c>
      <c r="H32" s="7">
        <v>0</v>
      </c>
      <c r="I32" s="7"/>
    </row>
    <row r="33" spans="1:14" x14ac:dyDescent="0.3">
      <c r="B33" s="7" t="s">
        <v>519</v>
      </c>
      <c r="C33" s="7">
        <v>426800</v>
      </c>
      <c r="D33" s="7">
        <f>C33*('Machine utilisation'!K10-IF(ISNUMBER('Machine utilisation'!J10),'Machine utilisation'!J10,0))</f>
        <v>426800</v>
      </c>
      <c r="E33" s="7">
        <f>C33*('Machine utilisation'!L10-IF(ISNUMBER('Machine utilisation'!K10),'Machine utilisation'!K10,0))</f>
        <v>0</v>
      </c>
      <c r="F33" s="7">
        <f>C33*('Machine utilisation'!M10-IF(ISNUMBER('Machine utilisation'!L10),'Machine utilisation'!L10,0))</f>
        <v>0</v>
      </c>
      <c r="G33" s="7">
        <f>C33*('Machine utilisation'!N10-IF(ISNUMBER('Machine utilisation'!M10),'Machine utilisation'!M10,0))</f>
        <v>0</v>
      </c>
      <c r="H33" s="7">
        <v>0</v>
      </c>
      <c r="I33" s="7"/>
    </row>
    <row r="34" spans="1:14" x14ac:dyDescent="0.3">
      <c r="B34" s="7" t="s">
        <v>524</v>
      </c>
      <c r="C34" s="7">
        <v>467000</v>
      </c>
      <c r="D34" s="7">
        <f>C34*('Machine utilisation'!K11-IF(ISNUMBER('Machine utilisation'!J11),'Machine utilisation'!J11,0))</f>
        <v>467000</v>
      </c>
      <c r="E34" s="7">
        <f>C34*('Machine utilisation'!L11-IF(ISNUMBER('Machine utilisation'!K11),'Machine utilisation'!K11,0))</f>
        <v>0</v>
      </c>
      <c r="F34" s="7">
        <f>C34*('Machine utilisation'!M11-IF(ISNUMBER('Machine utilisation'!L11),'Machine utilisation'!L11,0))</f>
        <v>467000</v>
      </c>
      <c r="G34" s="7">
        <f>C34*('Machine utilisation'!N11-IF(ISNUMBER('Machine utilisation'!M11),'Machine utilisation'!M11,0))</f>
        <v>0</v>
      </c>
      <c r="H34" s="7">
        <v>0</v>
      </c>
      <c r="I34" s="7"/>
    </row>
    <row r="35" spans="1:14" x14ac:dyDescent="0.3">
      <c r="C35" s="52" t="s">
        <v>99</v>
      </c>
      <c r="D35" s="7">
        <f t="shared" ref="D35:I35" si="0">SUM(D26:D34)</f>
        <v>2116620</v>
      </c>
      <c r="E35" s="7">
        <f t="shared" si="0"/>
        <v>152000</v>
      </c>
      <c r="F35" s="7">
        <f t="shared" si="0"/>
        <v>695000</v>
      </c>
      <c r="G35" s="7">
        <f t="shared" si="0"/>
        <v>0</v>
      </c>
      <c r="H35" s="7">
        <f t="shared" si="0"/>
        <v>0</v>
      </c>
      <c r="I35" s="7">
        <f t="shared" si="0"/>
        <v>0</v>
      </c>
    </row>
    <row r="38" spans="1:14" x14ac:dyDescent="0.3">
      <c r="A38" s="2" t="s">
        <v>234</v>
      </c>
    </row>
    <row r="40" spans="1:14" x14ac:dyDescent="0.3">
      <c r="B40" s="52" t="s">
        <v>235</v>
      </c>
      <c r="C40" s="52" t="s">
        <v>236</v>
      </c>
      <c r="D40" s="52" t="s">
        <v>237</v>
      </c>
    </row>
    <row r="41" spans="1:14" x14ac:dyDescent="0.3">
      <c r="B41" s="7">
        <f>SUM('Product breakdown'!O5:O25,Table57[Tooling cost per unit (GBP) -lower],'Product breakdown'!O47:O53,0.25833,0.51667,'Product breakdown'!P68:P69,Table572[Tooling cost per unit (GBP) -lower])</f>
        <v>14.238133333333328</v>
      </c>
      <c r="C41" s="7">
        <f>AVERAGE(B41,D41)</f>
        <v>144.76490000000004</v>
      </c>
      <c r="D41" s="7">
        <f>SUM('Product breakdown'!P5:P25,Table57[Tooling cost per unit (GBP) -upper],'Product breakdown'!P47:P53,5.1667,10.3333,'Product breakdown'!Q68:Q69,Table572[Tooling cost per unit (GBP) -upper])</f>
        <v>275.29166666666674</v>
      </c>
    </row>
    <row r="44" spans="1:14" x14ac:dyDescent="0.3">
      <c r="A44" s="2" t="s">
        <v>238</v>
      </c>
      <c r="J44" t="s">
        <v>239</v>
      </c>
      <c r="M44" t="s">
        <v>240</v>
      </c>
    </row>
    <row r="46" spans="1:14" x14ac:dyDescent="0.3">
      <c r="B46" s="52" t="s">
        <v>241</v>
      </c>
      <c r="D46" s="52" t="s">
        <v>242</v>
      </c>
      <c r="E46" s="52" t="s">
        <v>243</v>
      </c>
      <c r="F46" s="52" t="s">
        <v>244</v>
      </c>
      <c r="G46" s="53" t="s">
        <v>245</v>
      </c>
      <c r="H46" s="52" t="s">
        <v>246</v>
      </c>
      <c r="J46" s="53" t="s">
        <v>242</v>
      </c>
      <c r="K46" s="53" t="s">
        <v>245</v>
      </c>
      <c r="M46" s="53" t="s">
        <v>242</v>
      </c>
      <c r="N46" s="53" t="s">
        <v>247</v>
      </c>
    </row>
    <row r="47" spans="1:14" x14ac:dyDescent="0.3">
      <c r="B47" s="7">
        <f>'Manufacture 2'!B47</f>
        <v>16.999507560013335</v>
      </c>
      <c r="D47" s="7" t="s">
        <v>248</v>
      </c>
      <c r="E47" s="7">
        <f t="shared" ref="E47:E53" si="1">N47</f>
        <v>23</v>
      </c>
      <c r="F47" s="7">
        <f>B47</f>
        <v>16.999507560013335</v>
      </c>
      <c r="G47" s="7">
        <v>172.01</v>
      </c>
      <c r="H47" s="7">
        <f t="shared" ref="H47:H53" si="2">F47*K47</f>
        <v>2924.0852953978933</v>
      </c>
      <c r="J47" s="7" t="s">
        <v>248</v>
      </c>
      <c r="K47" s="7">
        <v>172.01</v>
      </c>
      <c r="M47" s="7" t="s">
        <v>248</v>
      </c>
      <c r="N47" s="7">
        <v>23</v>
      </c>
    </row>
    <row r="48" spans="1:14" x14ac:dyDescent="0.3">
      <c r="D48" s="7" t="s">
        <v>249</v>
      </c>
      <c r="E48" s="7">
        <f t="shared" si="1"/>
        <v>17</v>
      </c>
      <c r="F48" s="7">
        <f>($F$47/($E$47/100))*(E48/100)</f>
        <v>12.564853413922899</v>
      </c>
      <c r="G48" s="7">
        <v>172.01</v>
      </c>
      <c r="H48" s="7">
        <f t="shared" si="2"/>
        <v>2161.2804357288778</v>
      </c>
      <c r="J48" s="7" t="s">
        <v>249</v>
      </c>
      <c r="K48" s="7">
        <v>172.01</v>
      </c>
      <c r="M48" s="7" t="s">
        <v>249</v>
      </c>
      <c r="N48" s="7">
        <v>17</v>
      </c>
    </row>
    <row r="49" spans="1:14" x14ac:dyDescent="0.3">
      <c r="D49" s="7" t="s">
        <v>250</v>
      </c>
      <c r="E49" s="7">
        <f t="shared" si="1"/>
        <v>20</v>
      </c>
      <c r="F49" s="7">
        <f t="shared" ref="F49:F53" si="3">($F$47/($E$47/100))*(E49/100)</f>
        <v>14.782180486968116</v>
      </c>
      <c r="G49" s="7">
        <v>172.01</v>
      </c>
      <c r="H49" s="7">
        <f t="shared" si="2"/>
        <v>2542.6828655633853</v>
      </c>
      <c r="J49" s="7" t="s">
        <v>250</v>
      </c>
      <c r="K49" s="7">
        <v>172.01</v>
      </c>
      <c r="M49" s="7" t="s">
        <v>250</v>
      </c>
      <c r="N49" s="7">
        <v>20</v>
      </c>
    </row>
    <row r="50" spans="1:14" x14ac:dyDescent="0.3">
      <c r="D50" s="7" t="s">
        <v>251</v>
      </c>
      <c r="E50" s="7">
        <f t="shared" si="1"/>
        <v>9</v>
      </c>
      <c r="F50" s="7">
        <f t="shared" si="3"/>
        <v>6.651981219135652</v>
      </c>
      <c r="G50" s="7">
        <v>172.01</v>
      </c>
      <c r="H50" s="7">
        <f t="shared" si="2"/>
        <v>1144.2072895035235</v>
      </c>
      <c r="J50" s="7" t="s">
        <v>251</v>
      </c>
      <c r="K50" s="7">
        <v>172.01</v>
      </c>
      <c r="M50" s="7" t="s">
        <v>251</v>
      </c>
      <c r="N50" s="7">
        <v>9</v>
      </c>
    </row>
    <row r="51" spans="1:14" x14ac:dyDescent="0.3">
      <c r="D51" s="7" t="s">
        <v>252</v>
      </c>
      <c r="E51" s="7">
        <f t="shared" si="1"/>
        <v>14</v>
      </c>
      <c r="F51" s="7">
        <f t="shared" si="3"/>
        <v>10.347526340877682</v>
      </c>
      <c r="G51" s="7">
        <v>172.01</v>
      </c>
      <c r="H51" s="7">
        <f t="shared" si="2"/>
        <v>1779.8780058943701</v>
      </c>
      <c r="J51" s="7" t="s">
        <v>252</v>
      </c>
      <c r="K51" s="7">
        <v>172.01</v>
      </c>
      <c r="M51" s="7" t="s">
        <v>252</v>
      </c>
      <c r="N51" s="7">
        <v>14</v>
      </c>
    </row>
    <row r="52" spans="1:14" x14ac:dyDescent="0.3">
      <c r="D52" s="7" t="s">
        <v>253</v>
      </c>
      <c r="E52" s="7">
        <f t="shared" si="1"/>
        <v>7</v>
      </c>
      <c r="F52" s="7">
        <f t="shared" si="3"/>
        <v>5.1737631704388409</v>
      </c>
      <c r="G52" s="7">
        <v>172.01</v>
      </c>
      <c r="H52" s="7">
        <f t="shared" si="2"/>
        <v>889.93900294718503</v>
      </c>
      <c r="J52" s="7" t="s">
        <v>253</v>
      </c>
      <c r="K52" s="7">
        <v>172.01</v>
      </c>
      <c r="M52" s="7" t="s">
        <v>253</v>
      </c>
      <c r="N52" s="7">
        <v>7</v>
      </c>
    </row>
    <row r="53" spans="1:14" x14ac:dyDescent="0.3">
      <c r="D53" s="7" t="s">
        <v>254</v>
      </c>
      <c r="E53" s="7">
        <f t="shared" si="1"/>
        <v>10</v>
      </c>
      <c r="F53" s="7">
        <f t="shared" si="3"/>
        <v>7.391090243484058</v>
      </c>
      <c r="G53" s="7">
        <v>172.01</v>
      </c>
      <c r="H53" s="7">
        <f t="shared" si="2"/>
        <v>1271.3414327816927</v>
      </c>
      <c r="J53" s="7" t="s">
        <v>254</v>
      </c>
      <c r="K53" s="7">
        <v>172.01</v>
      </c>
      <c r="M53" s="7" t="s">
        <v>254</v>
      </c>
      <c r="N53" s="7">
        <v>10</v>
      </c>
    </row>
    <row r="54" spans="1:14" x14ac:dyDescent="0.3">
      <c r="G54" s="52" t="s">
        <v>99</v>
      </c>
      <c r="H54" s="7">
        <f>SUM(H47:H53)</f>
        <v>12713.414327816929</v>
      </c>
      <c r="J54" t="s">
        <v>255</v>
      </c>
      <c r="M54" t="s">
        <v>256</v>
      </c>
    </row>
    <row r="55" spans="1:14" x14ac:dyDescent="0.3">
      <c r="A55" s="2" t="s">
        <v>33</v>
      </c>
    </row>
    <row r="57" spans="1:14" x14ac:dyDescent="0.3">
      <c r="A57" s="2" t="s">
        <v>257</v>
      </c>
      <c r="B57" t="s">
        <v>258</v>
      </c>
    </row>
    <row r="59" spans="1:14" x14ac:dyDescent="0.3">
      <c r="B59" s="53" t="s">
        <v>259</v>
      </c>
      <c r="C59" s="53" t="s">
        <v>260</v>
      </c>
      <c r="D59" s="53" t="s">
        <v>65</v>
      </c>
    </row>
    <row r="60" spans="1:14" ht="28.8" x14ac:dyDescent="0.3">
      <c r="B60" s="7" t="s">
        <v>262</v>
      </c>
      <c r="C60" s="6" t="s">
        <v>263</v>
      </c>
      <c r="D60" s="7">
        <f>4298*(1/1.25)</f>
        <v>3438.4</v>
      </c>
    </row>
    <row r="61" spans="1:14" ht="28.8" x14ac:dyDescent="0.3">
      <c r="B61" s="7" t="s">
        <v>264</v>
      </c>
      <c r="C61" s="6" t="s">
        <v>265</v>
      </c>
      <c r="D61" s="7">
        <f>6900*(1/1.25)</f>
        <v>5520</v>
      </c>
    </row>
    <row r="62" spans="1:14" ht="43.2" x14ac:dyDescent="0.3">
      <c r="B62" s="7" t="s">
        <v>266</v>
      </c>
      <c r="C62" s="6" t="s">
        <v>267</v>
      </c>
      <c r="D62" s="7">
        <f>10000*(1/1.25)</f>
        <v>8000</v>
      </c>
      <c r="E62" t="s">
        <v>268</v>
      </c>
    </row>
    <row r="63" spans="1:14" x14ac:dyDescent="0.3">
      <c r="B63" s="7" t="s">
        <v>269</v>
      </c>
      <c r="C63" s="6" t="s">
        <v>270</v>
      </c>
      <c r="D63" s="7">
        <f>13436.28*(1/1.25)</f>
        <v>10749.024000000001</v>
      </c>
      <c r="E63" t="s">
        <v>271</v>
      </c>
    </row>
    <row r="64" spans="1:14" x14ac:dyDescent="0.3">
      <c r="B64" s="7" t="s">
        <v>542</v>
      </c>
      <c r="C64" s="6" t="s">
        <v>543</v>
      </c>
      <c r="D64" s="7">
        <v>16500</v>
      </c>
    </row>
    <row r="65" spans="1:4" x14ac:dyDescent="0.3">
      <c r="C65" s="52" t="s">
        <v>99</v>
      </c>
      <c r="D65" s="46">
        <f>SUM(D60:D64)</f>
        <v>44207.423999999999</v>
      </c>
    </row>
    <row r="68" spans="1:4" x14ac:dyDescent="0.3">
      <c r="A68" s="2" t="s">
        <v>272</v>
      </c>
    </row>
    <row r="70" spans="1:4" x14ac:dyDescent="0.3">
      <c r="B70" s="53" t="s">
        <v>259</v>
      </c>
      <c r="C70" s="53" t="s">
        <v>260</v>
      </c>
      <c r="D70" s="53" t="s">
        <v>261</v>
      </c>
    </row>
    <row r="71" spans="1:4" x14ac:dyDescent="0.3">
      <c r="B71" s="7"/>
      <c r="C71" s="6"/>
      <c r="D71" s="7"/>
    </row>
    <row r="72" spans="1:4" x14ac:dyDescent="0.3">
      <c r="B72" s="7"/>
      <c r="C72" s="6"/>
      <c r="D72" s="7"/>
    </row>
    <row r="73" spans="1:4" x14ac:dyDescent="0.3">
      <c r="B73" s="7"/>
      <c r="C73" s="6"/>
      <c r="D73" s="7"/>
    </row>
    <row r="74" spans="1:4" x14ac:dyDescent="0.3">
      <c r="B74" s="7"/>
      <c r="C74" s="6"/>
      <c r="D74" s="7"/>
    </row>
    <row r="75" spans="1:4" ht="15" thickBot="1" x14ac:dyDescent="0.35">
      <c r="B75" s="44"/>
      <c r="C75" s="44"/>
      <c r="D75" s="44"/>
    </row>
    <row r="76" spans="1:4" ht="15" thickTop="1" x14ac:dyDescent="0.3">
      <c r="B76" s="46"/>
      <c r="C76" s="46" t="s">
        <v>99</v>
      </c>
      <c r="D76" s="46">
        <f>SUM(D71:D74)</f>
        <v>0</v>
      </c>
    </row>
    <row r="80" spans="1:4" x14ac:dyDescent="0.3">
      <c r="A80" s="2" t="s">
        <v>273</v>
      </c>
    </row>
    <row r="82" spans="2:2" x14ac:dyDescent="0.3">
      <c r="B82" t="s">
        <v>274</v>
      </c>
    </row>
    <row r="83" spans="2:2" x14ac:dyDescent="0.3">
      <c r="B83">
        <f>SUM(C20,C41,H54,D65,D76)</f>
        <v>60406.947478478993</v>
      </c>
    </row>
  </sheetData>
  <mergeCells count="4">
    <mergeCell ref="B25:B26"/>
    <mergeCell ref="C25:C26"/>
    <mergeCell ref="I25:I26"/>
    <mergeCell ref="D25:H25"/>
  </mergeCells>
  <phoneticPr fontId="2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249EB-255E-4D1C-BDE4-21DDAE1C3D2F}">
  <dimension ref="A11:N98"/>
  <sheetViews>
    <sheetView topLeftCell="A51" zoomScale="70" zoomScaleNormal="70" workbookViewId="0">
      <selection activeCell="C68" sqref="C68"/>
    </sheetView>
  </sheetViews>
  <sheetFormatPr defaultRowHeight="14.4" x14ac:dyDescent="0.3"/>
  <cols>
    <col min="1" max="1" width="20" bestFit="1" customWidth="1"/>
    <col min="2" max="2" width="93.109375" bestFit="1" customWidth="1"/>
    <col min="3" max="3" width="75.6640625" bestFit="1" customWidth="1"/>
    <col min="4" max="4" width="35.5546875" bestFit="1" customWidth="1"/>
    <col min="5" max="5" width="34.5546875" customWidth="1"/>
    <col min="6" max="6" width="31.109375" bestFit="1" customWidth="1"/>
    <col min="7" max="7" width="20" bestFit="1" customWidth="1"/>
    <col min="8" max="8" width="26.33203125" bestFit="1" customWidth="1"/>
    <col min="10" max="10" width="25" bestFit="1" customWidth="1"/>
    <col min="11" max="11" width="26.44140625" bestFit="1" customWidth="1"/>
    <col min="12" max="12" width="12.109375" bestFit="1" customWidth="1"/>
    <col min="13" max="13" width="26.6640625" customWidth="1"/>
    <col min="14" max="14" width="18.109375" bestFit="1" customWidth="1"/>
  </cols>
  <sheetData>
    <row r="11" spans="1:3" x14ac:dyDescent="0.3">
      <c r="A11" s="2" t="s">
        <v>209</v>
      </c>
    </row>
    <row r="12" spans="1:3" ht="15" thickBot="1" x14ac:dyDescent="0.35"/>
    <row r="13" spans="1:3" ht="15" thickBot="1" x14ac:dyDescent="0.35">
      <c r="B13" s="119" t="s">
        <v>210</v>
      </c>
      <c r="C13" s="119" t="s">
        <v>211</v>
      </c>
    </row>
    <row r="14" spans="1:3" x14ac:dyDescent="0.3">
      <c r="B14" s="46" t="s">
        <v>213</v>
      </c>
      <c r="C14" s="123">
        <f>ROUND(Manufacture!C14, 2-(1+INT(LOG10(ABS(Manufacture!C14)))))</f>
        <v>130</v>
      </c>
    </row>
    <row r="15" spans="1:3" x14ac:dyDescent="0.3">
      <c r="B15" s="7" t="s">
        <v>214</v>
      </c>
      <c r="C15" s="123">
        <f>ROUND(Manufacture!C15, 2-(1+INT(LOG10(ABS(Manufacture!C15)))))</f>
        <v>930</v>
      </c>
    </row>
    <row r="16" spans="1:3" x14ac:dyDescent="0.3">
      <c r="B16" s="6" t="s">
        <v>216</v>
      </c>
      <c r="C16" s="123">
        <f>ROUND(Manufacture!C16, 2-(1+INT(LOG10(ABS(Manufacture!C16)))))</f>
        <v>4.0999999999999996</v>
      </c>
    </row>
    <row r="17" spans="1:8" x14ac:dyDescent="0.3">
      <c r="B17" s="6" t="s">
        <v>217</v>
      </c>
      <c r="C17" s="123">
        <f>ROUND(Manufacture!C17, 2-(1+INT(LOG10(ABS(Manufacture!C17)))))</f>
        <v>12</v>
      </c>
    </row>
    <row r="18" spans="1:8" x14ac:dyDescent="0.3">
      <c r="B18" s="7" t="s">
        <v>298</v>
      </c>
      <c r="C18" s="123">
        <f>ROUND(Manufacture!C18, 2-(1+INT(LOG10(ABS(Manufacture!C18)))))</f>
        <v>2200</v>
      </c>
    </row>
    <row r="19" spans="1:8" x14ac:dyDescent="0.3">
      <c r="B19" s="7" t="s">
        <v>396</v>
      </c>
      <c r="C19" s="123">
        <f>ROUND(Manufacture!C19, 2-(1+INT(LOG10(ABS(Manufacture!C19)))))</f>
        <v>23</v>
      </c>
    </row>
    <row r="20" spans="1:8" x14ac:dyDescent="0.3">
      <c r="B20" s="52" t="s">
        <v>99</v>
      </c>
      <c r="C20" s="122">
        <f>ROUND(Manufacture!C20, 2-(1+INT(LOG10(ABS(Manufacture!C20)))))</f>
        <v>3300</v>
      </c>
    </row>
    <row r="23" spans="1:8" x14ac:dyDescent="0.3">
      <c r="A23" s="2" t="s">
        <v>218</v>
      </c>
      <c r="C23" t="s">
        <v>219</v>
      </c>
    </row>
    <row r="25" spans="1:8" ht="15" thickBot="1" x14ac:dyDescent="0.35">
      <c r="B25" s="168" t="s">
        <v>220</v>
      </c>
      <c r="C25" s="168" t="s">
        <v>221</v>
      </c>
      <c r="D25" s="178" t="s">
        <v>222</v>
      </c>
      <c r="E25" s="179"/>
      <c r="F25" s="179"/>
      <c r="G25" s="179"/>
      <c r="H25" s="180"/>
    </row>
    <row r="26" spans="1:8" ht="15" thickBot="1" x14ac:dyDescent="0.35">
      <c r="B26" s="169"/>
      <c r="C26" s="177"/>
      <c r="D26" s="119" t="s">
        <v>5</v>
      </c>
      <c r="E26" s="119" t="s">
        <v>6</v>
      </c>
      <c r="F26" s="119" t="s">
        <v>7</v>
      </c>
      <c r="G26" s="119" t="s">
        <v>8</v>
      </c>
      <c r="H26" s="119" t="s">
        <v>9</v>
      </c>
    </row>
    <row r="27" spans="1:8" x14ac:dyDescent="0.3">
      <c r="B27" s="7" t="s">
        <v>228</v>
      </c>
      <c r="C27" s="123">
        <f>IF(Manufacture!C27&gt;0,ROUND(Manufacture!C27, 2-(1+INT(LOG10(ABS(Manufacture!C27))))),0)</f>
        <v>76000</v>
      </c>
      <c r="D27" s="123">
        <f>IF(Manufacture!D27&gt;0,ROUND(Manufacture!D27, 2-(1+INT(LOG10(ABS(Manufacture!D27))))),0)</f>
        <v>76000</v>
      </c>
      <c r="E27" s="123">
        <f>IF(Manufacture!E27&gt;0,ROUND(Manufacture!E27, 2-(1+INT(LOG10(ABS(Manufacture!E27))))),0)</f>
        <v>150000</v>
      </c>
      <c r="F27" s="123">
        <f>IF(Manufacture!F27&gt;0,ROUND(Manufacture!F27, 2-(1+INT(LOG10(ABS(Manufacture!F27))))),0)</f>
        <v>230000</v>
      </c>
      <c r="G27" s="123">
        <f>IF(Manufacture!G27&gt;0,ROUND(Manufacture!G27, 2-(1+INT(LOG10(ABS(Manufacture!G27))))),0)</f>
        <v>0</v>
      </c>
      <c r="H27" s="123">
        <f>IF(Manufacture!H27&gt;0,ROUND(Manufacture!H27, 2-(1+INT(LOG10(ABS(Manufacture!H27))))),0)</f>
        <v>0</v>
      </c>
    </row>
    <row r="28" spans="1:8" x14ac:dyDescent="0.3">
      <c r="B28" s="7" t="s">
        <v>229</v>
      </c>
      <c r="C28" s="123">
        <f>IF(Manufacture!C28&gt;0,ROUND(Manufacture!C28, 2-(1+INT(LOG10(ABS(Manufacture!C28))))),0)</f>
        <v>250000</v>
      </c>
      <c r="D28" s="123">
        <f>IF(Manufacture!D28&gt;0,ROUND(Manufacture!D28, 2-(1+INT(LOG10(ABS(Manufacture!D28))))),0)</f>
        <v>250000</v>
      </c>
      <c r="E28" s="123">
        <f>IF(Manufacture!E28&gt;0,ROUND(Manufacture!E28, 2-(1+INT(LOG10(ABS(Manufacture!E28))))),0)</f>
        <v>0</v>
      </c>
      <c r="F28" s="123">
        <f>IF(Manufacture!F28&gt;0,ROUND(Manufacture!F28, 2-(1+INT(LOG10(ABS(Manufacture!F28))))),0)</f>
        <v>0</v>
      </c>
      <c r="G28" s="123">
        <f>IF(Manufacture!G28&gt;0,ROUND(Manufacture!G28, 2-(1+INT(LOG10(ABS(Manufacture!G28))))),0)</f>
        <v>0</v>
      </c>
      <c r="H28" s="123">
        <f>IF(Manufacture!H28&gt;0,ROUND(Manufacture!H28, 2-(1+INT(LOG10(ABS(Manufacture!H28))))),0)</f>
        <v>0</v>
      </c>
    </row>
    <row r="29" spans="1:8" x14ac:dyDescent="0.3">
      <c r="B29" s="7" t="s">
        <v>230</v>
      </c>
      <c r="C29" s="123">
        <f>IF(Manufacture!C29&gt;0,ROUND(Manufacture!C29, 2-(1+INT(LOG10(ABS(Manufacture!C29))))),0)</f>
        <v>50000</v>
      </c>
      <c r="D29" s="123">
        <f>IF(Manufacture!D29&gt;0,ROUND(Manufacture!D29, 2-(1+INT(LOG10(ABS(Manufacture!D29))))),0)</f>
        <v>50000</v>
      </c>
      <c r="E29" s="123">
        <f>IF(Manufacture!E29&gt;0,ROUND(Manufacture!E29, 2-(1+INT(LOG10(ABS(Manufacture!E29))))),0)</f>
        <v>0</v>
      </c>
      <c r="F29" s="123">
        <f>IF(Manufacture!F29&gt;0,ROUND(Manufacture!F29, 2-(1+INT(LOG10(ABS(Manufacture!F29))))),0)</f>
        <v>0</v>
      </c>
      <c r="G29" s="123">
        <f>IF(Manufacture!G29&gt;0,ROUND(Manufacture!G29, 2-(1+INT(LOG10(ABS(Manufacture!G29))))),0)</f>
        <v>0</v>
      </c>
      <c r="H29" s="123">
        <f>IF(Manufacture!H29&gt;0,ROUND(Manufacture!H29, 2-(1+INT(LOG10(ABS(Manufacture!H29))))),0)</f>
        <v>0</v>
      </c>
    </row>
    <row r="30" spans="1:8" x14ac:dyDescent="0.3">
      <c r="B30" s="7" t="s">
        <v>231</v>
      </c>
      <c r="C30" s="123">
        <f>IF(Manufacture!C30&gt;0,ROUND(Manufacture!C30, 2-(1+INT(LOG10(ABS(Manufacture!C30))))),0)</f>
        <v>800000</v>
      </c>
      <c r="D30" s="123">
        <f>IF(Manufacture!D30&gt;0,ROUND(Manufacture!D30, 2-(1+INT(LOG10(ABS(Manufacture!D30))))),0)</f>
        <v>800000</v>
      </c>
      <c r="E30" s="123">
        <f>IF(Manufacture!E30&gt;0,ROUND(Manufacture!E30, 2-(1+INT(LOG10(ABS(Manufacture!E30))))),0)</f>
        <v>0</v>
      </c>
      <c r="F30" s="123">
        <f>IF(Manufacture!F30&gt;0,ROUND(Manufacture!F30, 2-(1+INT(LOG10(ABS(Manufacture!F30))))),0)</f>
        <v>0</v>
      </c>
      <c r="G30" s="123">
        <f>IF(Manufacture!G30&gt;0,ROUND(Manufacture!G30, 2-(1+INT(LOG10(ABS(Manufacture!G30))))),0)</f>
        <v>0</v>
      </c>
      <c r="H30" s="123">
        <f>IF(Manufacture!H30&gt;0,ROUND(Manufacture!H30, 2-(1+INT(LOG10(ABS(Manufacture!H30))))),0)</f>
        <v>0</v>
      </c>
    </row>
    <row r="31" spans="1:8" x14ac:dyDescent="0.3">
      <c r="B31" s="7" t="s">
        <v>232</v>
      </c>
      <c r="C31" s="123">
        <f>IF(Manufacture!C31&gt;0,ROUND(Manufacture!C31, 2-(1+INT(LOG10(ABS(Manufacture!C31))))),0)</f>
        <v>41000</v>
      </c>
      <c r="D31" s="123">
        <f>IF(Manufacture!D31&gt;0,ROUND(Manufacture!D31, 2-(1+INT(LOG10(ABS(Manufacture!D31))))),0)</f>
        <v>41000</v>
      </c>
      <c r="E31" s="123">
        <f>IF(Manufacture!E31&gt;0,ROUND(Manufacture!E31, 2-(1+INT(LOG10(ABS(Manufacture!E31))))),0)</f>
        <v>0</v>
      </c>
      <c r="F31" s="123">
        <f>IF(Manufacture!F31&gt;0,ROUND(Manufacture!F31, 2-(1+INT(LOG10(ABS(Manufacture!F31))))),0)</f>
        <v>0</v>
      </c>
      <c r="G31" s="123">
        <f>IF(Manufacture!G31&gt;0,ROUND(Manufacture!G31, 2-(1+INT(LOG10(ABS(Manufacture!G31))))),0)</f>
        <v>0</v>
      </c>
      <c r="H31" s="123">
        <f>IF(Manufacture!H31&gt;0,ROUND(Manufacture!H31, 2-(1+INT(LOG10(ABS(Manufacture!H31))))),0)</f>
        <v>0</v>
      </c>
    </row>
    <row r="32" spans="1:8" x14ac:dyDescent="0.3">
      <c r="B32" s="7" t="s">
        <v>233</v>
      </c>
      <c r="C32" s="123">
        <f>IF(Manufacture!C32&gt;0,ROUND(Manufacture!C32, 2-(1+INT(LOG10(ABS(Manufacture!C32))))),0)</f>
        <v>6600</v>
      </c>
      <c r="D32" s="123">
        <f>IF(Manufacture!D32&gt;0,ROUND(Manufacture!D32, 2-(1+INT(LOG10(ABS(Manufacture!D32))))),0)</f>
        <v>6600</v>
      </c>
      <c r="E32" s="123">
        <f>IF(Manufacture!E32&gt;0,ROUND(Manufacture!E32, 2-(1+INT(LOG10(ABS(Manufacture!E32))))),0)</f>
        <v>0</v>
      </c>
      <c r="F32" s="123">
        <f>IF(Manufacture!F32&gt;0,ROUND(Manufacture!F32, 2-(1+INT(LOG10(ABS(Manufacture!F32))))),0)</f>
        <v>0</v>
      </c>
      <c r="G32" s="123">
        <f>IF(Manufacture!G32&gt;0,ROUND(Manufacture!G32, 2-(1+INT(LOG10(ABS(Manufacture!G32))))),0)</f>
        <v>0</v>
      </c>
      <c r="H32" s="123">
        <f>IF(Manufacture!H32&gt;0,ROUND(Manufacture!H32, 2-(1+INT(LOG10(ABS(Manufacture!H32))))),0)</f>
        <v>0</v>
      </c>
    </row>
    <row r="33" spans="1:14" x14ac:dyDescent="0.3">
      <c r="B33" s="7" t="s">
        <v>519</v>
      </c>
      <c r="C33" s="123">
        <f>IF(Manufacture!C33&gt;0,ROUND(Manufacture!C33, 2-(1+INT(LOG10(ABS(Manufacture!C33))))),0)</f>
        <v>430000</v>
      </c>
      <c r="D33" s="123">
        <f>IF(Manufacture!D33&gt;0,ROUND(Manufacture!D33, 2-(1+INT(LOG10(ABS(Manufacture!D33))))),0)</f>
        <v>430000</v>
      </c>
      <c r="E33" s="123">
        <f>IF(Manufacture!E33&gt;0,ROUND(Manufacture!E33, 2-(1+INT(LOG10(ABS(Manufacture!E33))))),0)</f>
        <v>0</v>
      </c>
      <c r="F33" s="123">
        <f>IF(Manufacture!F33&gt;0,ROUND(Manufacture!F33, 2-(1+INT(LOG10(ABS(Manufacture!F33))))),0)</f>
        <v>0</v>
      </c>
      <c r="G33" s="123">
        <f>IF(Manufacture!G33&gt;0,ROUND(Manufacture!G33, 2-(1+INT(LOG10(ABS(Manufacture!G33))))),0)</f>
        <v>0</v>
      </c>
      <c r="H33" s="123">
        <f>IF(Manufacture!H33&gt;0,ROUND(Manufacture!H33, 2-(1+INT(LOG10(ABS(Manufacture!H33))))),0)</f>
        <v>0</v>
      </c>
    </row>
    <row r="34" spans="1:14" x14ac:dyDescent="0.3">
      <c r="B34" s="7" t="s">
        <v>524</v>
      </c>
      <c r="C34" s="123">
        <f>IF(Manufacture!C34&gt;0,ROUND(Manufacture!C34, 2-(1+INT(LOG10(ABS(Manufacture!C34))))),0)</f>
        <v>470000</v>
      </c>
      <c r="D34" s="123">
        <f>IF(Manufacture!D34&gt;0,ROUND(Manufacture!D34, 2-(1+INT(LOG10(ABS(Manufacture!D34))))),0)</f>
        <v>470000</v>
      </c>
      <c r="E34" s="123">
        <f>IF(Manufacture!E34&gt;0,ROUND(Manufacture!E34, 2-(1+INT(LOG10(ABS(Manufacture!E34))))),0)</f>
        <v>0</v>
      </c>
      <c r="F34" s="123">
        <f>IF(Manufacture!F34&gt;0,ROUND(Manufacture!F34, 2-(1+INT(LOG10(ABS(Manufacture!F34))))),0)</f>
        <v>470000</v>
      </c>
      <c r="G34" s="123">
        <f>IF(Manufacture!G34&gt;0,ROUND(Manufacture!G34, 2-(1+INT(LOG10(ABS(Manufacture!G34))))),0)</f>
        <v>0</v>
      </c>
      <c r="H34" s="123">
        <f>IF(Manufacture!H34&gt;0,ROUND(Manufacture!H34, 2-(1+INT(LOG10(ABS(Manufacture!H34))))),0)</f>
        <v>0</v>
      </c>
    </row>
    <row r="35" spans="1:14" x14ac:dyDescent="0.3">
      <c r="C35" s="52" t="s">
        <v>99</v>
      </c>
      <c r="D35" s="122">
        <f>IF(Manufacture!D35&gt;0,ROUND(Manufacture!D35, 2-(1+INT(LOG10(ABS(Manufacture!D35))))),0)</f>
        <v>2100000</v>
      </c>
      <c r="E35" s="122">
        <f>IF(Manufacture!E35&gt;0,ROUND(Manufacture!E35, 2-(1+INT(LOG10(ABS(Manufacture!E35))))),0)</f>
        <v>150000</v>
      </c>
      <c r="F35" s="122">
        <f>IF(Manufacture!F35&gt;0,ROUND(Manufacture!F35, 2-(1+INT(LOG10(ABS(Manufacture!F35))))),0)</f>
        <v>700000</v>
      </c>
      <c r="G35" s="122">
        <f>IF(Manufacture!G35&gt;0,ROUND(Manufacture!G35, 2-(1+INT(LOG10(ABS(Manufacture!G35))))),0)</f>
        <v>0</v>
      </c>
      <c r="H35" s="122">
        <f>IF(Manufacture!H35&gt;0,ROUND(Manufacture!H35, 2-(1+INT(LOG10(ABS(Manufacture!H35))))),0)</f>
        <v>0</v>
      </c>
    </row>
    <row r="38" spans="1:14" x14ac:dyDescent="0.3">
      <c r="A38" s="2" t="s">
        <v>234</v>
      </c>
    </row>
    <row r="40" spans="1:14" x14ac:dyDescent="0.3">
      <c r="B40" s="52" t="s">
        <v>235</v>
      </c>
      <c r="C40" s="52" t="s">
        <v>236</v>
      </c>
      <c r="D40" s="52" t="s">
        <v>237</v>
      </c>
    </row>
    <row r="41" spans="1:14" x14ac:dyDescent="0.3">
      <c r="B41" s="123">
        <f>IF(Manufacture!B41&gt;0,ROUND(Manufacture!B41, 2-(1+INT(LOG10(ABS(Manufacture!B41))))),0)</f>
        <v>14</v>
      </c>
      <c r="C41" s="123">
        <f>IF(Manufacture!C41&gt;0,ROUND(Manufacture!C41, 2-(1+INT(LOG10(ABS(Manufacture!C41))))),0)</f>
        <v>140</v>
      </c>
      <c r="D41" s="123">
        <f>IF(Manufacture!D41&gt;0,ROUND(Manufacture!D41, 2-(1+INT(LOG10(ABS(Manufacture!D41))))),0)</f>
        <v>280</v>
      </c>
    </row>
    <row r="44" spans="1:14" x14ac:dyDescent="0.3">
      <c r="A44" s="2" t="s">
        <v>238</v>
      </c>
      <c r="J44" t="s">
        <v>239</v>
      </c>
      <c r="M44" t="s">
        <v>240</v>
      </c>
    </row>
    <row r="45" spans="1:14" ht="15" thickBot="1" x14ac:dyDescent="0.35"/>
    <row r="46" spans="1:14" ht="15" thickBot="1" x14ac:dyDescent="0.35">
      <c r="B46" s="52" t="s">
        <v>241</v>
      </c>
      <c r="D46" s="119" t="s">
        <v>242</v>
      </c>
      <c r="E46" s="119" t="s">
        <v>243</v>
      </c>
      <c r="F46" s="119" t="s">
        <v>244</v>
      </c>
      <c r="G46" s="119" t="s">
        <v>245</v>
      </c>
      <c r="H46" s="119" t="s">
        <v>246</v>
      </c>
      <c r="J46" s="53" t="s">
        <v>242</v>
      </c>
      <c r="K46" s="53" t="s">
        <v>245</v>
      </c>
      <c r="M46" s="53" t="s">
        <v>242</v>
      </c>
      <c r="N46" s="53" t="s">
        <v>247</v>
      </c>
    </row>
    <row r="47" spans="1:14" x14ac:dyDescent="0.3">
      <c r="B47" s="7">
        <f>C77</f>
        <v>16.999507560013335</v>
      </c>
      <c r="D47" s="46" t="s">
        <v>248</v>
      </c>
      <c r="E47" s="46">
        <f t="shared" ref="E47:E53" si="0">N47</f>
        <v>23</v>
      </c>
      <c r="F47" s="123">
        <f>IF(Manufacture!F47&gt;0,ROUND(Manufacture!F47, 2-(1+INT(LOG10(ABS(Manufacture!F47))))),0)</f>
        <v>17</v>
      </c>
      <c r="G47" s="46">
        <v>172.01</v>
      </c>
      <c r="H47" s="123">
        <f>IF(Manufacture!H47&gt;0,ROUND(Manufacture!H47, 2-(1+INT(LOG10(ABS(Manufacture!H47))))),0)</f>
        <v>2900</v>
      </c>
      <c r="J47" s="7" t="s">
        <v>248</v>
      </c>
      <c r="K47" s="7">
        <v>172.01</v>
      </c>
      <c r="M47" s="7" t="s">
        <v>248</v>
      </c>
      <c r="N47" s="7">
        <v>23</v>
      </c>
    </row>
    <row r="48" spans="1:14" x14ac:dyDescent="0.3">
      <c r="D48" s="7" t="s">
        <v>249</v>
      </c>
      <c r="E48" s="7">
        <f t="shared" si="0"/>
        <v>17</v>
      </c>
      <c r="F48" s="123">
        <f>IF(Manufacture!F48&gt;0,ROUND(Manufacture!F48, 2-(1+INT(LOG10(ABS(Manufacture!F48))))),0)</f>
        <v>13</v>
      </c>
      <c r="G48" s="7">
        <v>172.01</v>
      </c>
      <c r="H48" s="123">
        <f>IF(Manufacture!H48&gt;0,ROUND(Manufacture!H48, 2-(1+INT(LOG10(ABS(Manufacture!H48))))),0)</f>
        <v>2200</v>
      </c>
      <c r="J48" s="7" t="s">
        <v>249</v>
      </c>
      <c r="K48" s="7">
        <v>172.01</v>
      </c>
      <c r="M48" s="7" t="s">
        <v>249</v>
      </c>
      <c r="N48" s="7">
        <v>17</v>
      </c>
    </row>
    <row r="49" spans="1:14" x14ac:dyDescent="0.3">
      <c r="D49" s="7" t="s">
        <v>250</v>
      </c>
      <c r="E49" s="7">
        <f t="shared" si="0"/>
        <v>20</v>
      </c>
      <c r="F49" s="123">
        <f>IF(Manufacture!F49&gt;0,ROUND(Manufacture!F49, 2-(1+INT(LOG10(ABS(Manufacture!F49))))),0)</f>
        <v>15</v>
      </c>
      <c r="G49" s="7">
        <v>172.01</v>
      </c>
      <c r="H49" s="123">
        <f>IF(Manufacture!H49&gt;0,ROUND(Manufacture!H49, 2-(1+INT(LOG10(ABS(Manufacture!H49))))),0)</f>
        <v>2500</v>
      </c>
      <c r="J49" s="7" t="s">
        <v>250</v>
      </c>
      <c r="K49" s="7">
        <v>172.01</v>
      </c>
      <c r="M49" s="7" t="s">
        <v>250</v>
      </c>
      <c r="N49" s="7">
        <v>20</v>
      </c>
    </row>
    <row r="50" spans="1:14" x14ac:dyDescent="0.3">
      <c r="D50" s="7" t="s">
        <v>251</v>
      </c>
      <c r="E50" s="7">
        <f t="shared" si="0"/>
        <v>9</v>
      </c>
      <c r="F50" s="123">
        <f>IF(Manufacture!F50&gt;0,ROUND(Manufacture!F50, 2-(1+INT(LOG10(ABS(Manufacture!F50))))),0)</f>
        <v>6.7</v>
      </c>
      <c r="G50" s="7">
        <v>172.01</v>
      </c>
      <c r="H50" s="123">
        <f>IF(Manufacture!H50&gt;0,ROUND(Manufacture!H50, 2-(1+INT(LOG10(ABS(Manufacture!H50))))),0)</f>
        <v>1100</v>
      </c>
      <c r="J50" s="7" t="s">
        <v>251</v>
      </c>
      <c r="K50" s="7">
        <v>172.01</v>
      </c>
      <c r="M50" s="7" t="s">
        <v>251</v>
      </c>
      <c r="N50" s="7">
        <v>9</v>
      </c>
    </row>
    <row r="51" spans="1:14" x14ac:dyDescent="0.3">
      <c r="D51" s="7" t="s">
        <v>252</v>
      </c>
      <c r="E51" s="7">
        <f t="shared" si="0"/>
        <v>14</v>
      </c>
      <c r="F51" s="123">
        <f>IF(Manufacture!F51&gt;0,ROUND(Manufacture!F51, 2-(1+INT(LOG10(ABS(Manufacture!F51))))),0)</f>
        <v>10</v>
      </c>
      <c r="G51" s="7">
        <v>172.01</v>
      </c>
      <c r="H51" s="123">
        <f>IF(Manufacture!H51&gt;0,ROUND(Manufacture!H51, 2-(1+INT(LOG10(ABS(Manufacture!H51))))),0)</f>
        <v>1800</v>
      </c>
      <c r="J51" s="7" t="s">
        <v>252</v>
      </c>
      <c r="K51" s="7">
        <v>172.01</v>
      </c>
      <c r="M51" s="7" t="s">
        <v>252</v>
      </c>
      <c r="N51" s="7">
        <v>14</v>
      </c>
    </row>
    <row r="52" spans="1:14" x14ac:dyDescent="0.3">
      <c r="D52" s="7" t="s">
        <v>253</v>
      </c>
      <c r="E52" s="7">
        <f t="shared" si="0"/>
        <v>7</v>
      </c>
      <c r="F52" s="123">
        <f>IF(Manufacture!F52&gt;0,ROUND(Manufacture!F52, 2-(1+INT(LOG10(ABS(Manufacture!F52))))),0)</f>
        <v>5.2</v>
      </c>
      <c r="G52" s="7">
        <v>172.01</v>
      </c>
      <c r="H52" s="123">
        <f>IF(Manufacture!H52&gt;0,ROUND(Manufacture!H52, 2-(1+INT(LOG10(ABS(Manufacture!H52))))),0)</f>
        <v>890</v>
      </c>
      <c r="J52" s="7" t="s">
        <v>253</v>
      </c>
      <c r="K52" s="7">
        <v>172.01</v>
      </c>
      <c r="M52" s="7" t="s">
        <v>253</v>
      </c>
      <c r="N52" s="7">
        <v>7</v>
      </c>
    </row>
    <row r="53" spans="1:14" x14ac:dyDescent="0.3">
      <c r="D53" s="7" t="s">
        <v>254</v>
      </c>
      <c r="E53" s="7">
        <f t="shared" si="0"/>
        <v>10</v>
      </c>
      <c r="F53" s="123">
        <f>IF(Manufacture!F53&gt;0,ROUND(Manufacture!F53, 2-(1+INT(LOG10(ABS(Manufacture!F53))))),0)</f>
        <v>7.4</v>
      </c>
      <c r="G53" s="7">
        <v>172.01</v>
      </c>
      <c r="H53" s="123">
        <f>IF(Manufacture!H53&gt;0,ROUND(Manufacture!H53, 2-(1+INT(LOG10(ABS(Manufacture!H53))))),0)</f>
        <v>1300</v>
      </c>
      <c r="J53" s="7" t="s">
        <v>254</v>
      </c>
      <c r="K53" s="7">
        <v>172.01</v>
      </c>
      <c r="M53" s="7" t="s">
        <v>254</v>
      </c>
      <c r="N53" s="7">
        <v>10</v>
      </c>
    </row>
    <row r="54" spans="1:14" x14ac:dyDescent="0.3">
      <c r="G54" s="52" t="s">
        <v>99</v>
      </c>
      <c r="H54" s="122">
        <f>IF(Manufacture!H54&gt;0,ROUND(Manufacture!H54, 2-(1+INT(LOG10(ABS(Manufacture!H54))))),0)</f>
        <v>13000</v>
      </c>
      <c r="J54" t="s">
        <v>255</v>
      </c>
      <c r="M54" t="s">
        <v>256</v>
      </c>
    </row>
    <row r="57" spans="1:14" x14ac:dyDescent="0.3">
      <c r="A57" s="2" t="s">
        <v>257</v>
      </c>
      <c r="B57" t="s">
        <v>258</v>
      </c>
    </row>
    <row r="59" spans="1:14" x14ac:dyDescent="0.3">
      <c r="B59" s="53" t="s">
        <v>259</v>
      </c>
      <c r="C59" s="53" t="s">
        <v>260</v>
      </c>
      <c r="D59" s="53" t="s">
        <v>65</v>
      </c>
    </row>
    <row r="60" spans="1:14" x14ac:dyDescent="0.3">
      <c r="B60" s="7" t="s">
        <v>262</v>
      </c>
      <c r="C60" s="6" t="s">
        <v>263</v>
      </c>
      <c r="D60" s="123">
        <f>IF(Manufacture!D60&gt;0,ROUND(Manufacture!D60, 2-(1+INT(LOG10(ABS(Manufacture!D60))))),0)</f>
        <v>3400</v>
      </c>
    </row>
    <row r="61" spans="1:14" x14ac:dyDescent="0.3">
      <c r="B61" s="7" t="s">
        <v>264</v>
      </c>
      <c r="C61" s="6" t="s">
        <v>265</v>
      </c>
      <c r="D61" s="123">
        <f>IF(Manufacture!D61&gt;0,ROUND(Manufacture!D61, 2-(1+INT(LOG10(ABS(Manufacture!D61))))),0)</f>
        <v>5500</v>
      </c>
    </row>
    <row r="62" spans="1:14" ht="28.8" x14ac:dyDescent="0.3">
      <c r="B62" s="7" t="s">
        <v>266</v>
      </c>
      <c r="C62" s="6" t="s">
        <v>267</v>
      </c>
      <c r="D62" s="123">
        <f>IF(Manufacture!D62&gt;0,ROUND(Manufacture!D62, 2-(1+INT(LOG10(ABS(Manufacture!D62))))),0)</f>
        <v>8000</v>
      </c>
      <c r="E62" s="87" t="s">
        <v>268</v>
      </c>
    </row>
    <row r="63" spans="1:14" x14ac:dyDescent="0.3">
      <c r="B63" s="7" t="s">
        <v>269</v>
      </c>
      <c r="C63" s="6" t="s">
        <v>270</v>
      </c>
      <c r="D63" s="123">
        <f>IF(Manufacture!D63&gt;0,ROUND(Manufacture!D63, 2-(1+INT(LOG10(ABS(Manufacture!D63))))),0)</f>
        <v>11000</v>
      </c>
      <c r="E63" s="87" t="s">
        <v>271</v>
      </c>
    </row>
    <row r="64" spans="1:14" x14ac:dyDescent="0.3">
      <c r="B64" s="7" t="s">
        <v>542</v>
      </c>
      <c r="C64" s="6" t="s">
        <v>543</v>
      </c>
      <c r="D64" s="123">
        <f>IF(Manufacture!D64&gt;0,ROUND(Manufacture!D64, 2-(1+INT(LOG10(ABS(Manufacture!D64))))),0)</f>
        <v>17000</v>
      </c>
      <c r="E64" s="87"/>
    </row>
    <row r="65" spans="1:13" x14ac:dyDescent="0.3">
      <c r="C65" s="52" t="s">
        <v>99</v>
      </c>
      <c r="D65" s="122">
        <f>IF(Manufacture!D65&gt;0,ROUND(Manufacture!D65, 2-(1+INT(LOG10(ABS(Manufacture!D65))))),0)</f>
        <v>44000</v>
      </c>
    </row>
    <row r="72" spans="1:13" x14ac:dyDescent="0.3">
      <c r="A72" s="2" t="s">
        <v>525</v>
      </c>
    </row>
    <row r="74" spans="1:13" ht="15" thickBot="1" x14ac:dyDescent="0.35"/>
    <row r="75" spans="1:13" ht="15" thickBot="1" x14ac:dyDescent="0.35">
      <c r="B75" s="173" t="s">
        <v>241</v>
      </c>
      <c r="C75" s="174"/>
      <c r="D75" s="175"/>
      <c r="F75" s="172" t="s">
        <v>242</v>
      </c>
      <c r="G75" s="176" t="s">
        <v>244</v>
      </c>
      <c r="H75" s="176"/>
      <c r="I75" s="176"/>
      <c r="J75" s="172" t="s">
        <v>245</v>
      </c>
      <c r="K75" s="172" t="s">
        <v>246</v>
      </c>
      <c r="L75" s="172"/>
      <c r="M75" s="172"/>
    </row>
    <row r="76" spans="1:13" ht="15" thickBot="1" x14ac:dyDescent="0.35">
      <c r="B76" s="118" t="s">
        <v>24</v>
      </c>
      <c r="C76" s="118" t="s">
        <v>25</v>
      </c>
      <c r="D76" s="118" t="s">
        <v>195</v>
      </c>
      <c r="F76" s="172"/>
      <c r="G76" s="119" t="s">
        <v>167</v>
      </c>
      <c r="H76" s="119" t="s">
        <v>25</v>
      </c>
      <c r="I76" s="119" t="s">
        <v>169</v>
      </c>
      <c r="J76" s="172"/>
      <c r="K76" s="120" t="s">
        <v>167</v>
      </c>
      <c r="L76" s="120" t="s">
        <v>25</v>
      </c>
      <c r="M76" s="120" t="s">
        <v>169</v>
      </c>
    </row>
    <row r="77" spans="1:13" x14ac:dyDescent="0.3">
      <c r="B77" s="7">
        <f>SUM('Product breakdown'!S5:S21,Table57[Labour time per unit (mins) - lower],'Product breakdown'!S47:S53,'Product breakdown'!T61:T69,Table572[Labour time per unit (mins) - lower])/60</f>
        <v>12.003578053371994</v>
      </c>
      <c r="C77" s="7">
        <f>AVERAGE(B77,D77)</f>
        <v>16.999507560013335</v>
      </c>
      <c r="D77" s="7">
        <f>SUM('Product breakdown'!T5:T21,Table57[Labour time per unit (mins) - upper],'Product breakdown'!T47:T53,'Product breakdown'!U61:U69,Table572[Labour time per unit (mins) - upper])/60</f>
        <v>21.995437066654677</v>
      </c>
      <c r="F77" s="46" t="s">
        <v>248</v>
      </c>
      <c r="G77" s="46">
        <f>B77</f>
        <v>12.003578053371994</v>
      </c>
      <c r="H77" s="46">
        <f>C77</f>
        <v>16.999507560013335</v>
      </c>
      <c r="I77" s="46">
        <f>D77</f>
        <v>21.995437066654677</v>
      </c>
      <c r="J77" s="46">
        <v>172.01</v>
      </c>
      <c r="K77" s="46">
        <f>J77*G77</f>
        <v>2064.7354609605168</v>
      </c>
      <c r="L77" s="46">
        <f t="shared" ref="L77:M77" si="1">K77*H77</f>
        <v>35099.486078025926</v>
      </c>
      <c r="M77" s="46">
        <f t="shared" si="1"/>
        <v>772028.53710114129</v>
      </c>
    </row>
    <row r="78" spans="1:13" x14ac:dyDescent="0.3">
      <c r="F78" s="7" t="s">
        <v>249</v>
      </c>
      <c r="G78" s="7">
        <f>(B$77/($E$47/100))*($E48/100)</f>
        <v>8.8722098655358224</v>
      </c>
      <c r="H78" s="7">
        <f>(C$77/($E$47/100))*($E48/100)</f>
        <v>12.564853413922899</v>
      </c>
      <c r="I78" s="7">
        <f>(D$77/($E$47/100))*($E48/100)</f>
        <v>16.257496962309979</v>
      </c>
      <c r="J78" s="7">
        <v>172.01</v>
      </c>
      <c r="K78" s="7">
        <f t="shared" ref="K78:K83" si="2">J78*G78</f>
        <v>1526.1088189708166</v>
      </c>
      <c r="L78" s="7">
        <f t="shared" ref="L78:L83" si="3">K78*H78</f>
        <v>19175.333604063308</v>
      </c>
      <c r="M78" s="7">
        <f t="shared" ref="M78:M83" si="4">L78*I78</f>
        <v>311742.92781933967</v>
      </c>
    </row>
    <row r="79" spans="1:13" x14ac:dyDescent="0.3">
      <c r="F79" s="7" t="s">
        <v>250</v>
      </c>
      <c r="G79" s="7">
        <f>(B$77/($E$47/100))*($E49/100)</f>
        <v>10.437893959453909</v>
      </c>
      <c r="H79" s="7">
        <f>(C$77/($E$47/100))*($E49/100)</f>
        <v>14.782180486968116</v>
      </c>
      <c r="I79" s="7">
        <f>(D$77/($E$47/100))*($E49/100)</f>
        <v>19.126467014482326</v>
      </c>
      <c r="J79" s="7">
        <v>172.01</v>
      </c>
      <c r="K79" s="7">
        <f t="shared" si="2"/>
        <v>1795.4221399656667</v>
      </c>
      <c r="L79" s="7">
        <f t="shared" si="3"/>
        <v>26540.254123271017</v>
      </c>
      <c r="M79" s="7">
        <f t="shared" si="4"/>
        <v>507621.29504472169</v>
      </c>
    </row>
    <row r="80" spans="1:13" x14ac:dyDescent="0.3">
      <c r="F80" s="7" t="s">
        <v>251</v>
      </c>
      <c r="G80" s="7">
        <f>(B$77/($E$47/100))*($E50/100)</f>
        <v>4.6970522817542584</v>
      </c>
      <c r="H80" s="7">
        <f>(C$77/($E$47/100))*($E50/100)</f>
        <v>6.651981219135652</v>
      </c>
      <c r="I80" s="7">
        <f>(D$77/($E$47/100))*($E50/100)</f>
        <v>8.6069101565170474</v>
      </c>
      <c r="J80" s="7">
        <v>172.01</v>
      </c>
      <c r="K80" s="7">
        <f t="shared" si="2"/>
        <v>807.93996298454999</v>
      </c>
      <c r="L80" s="7">
        <f t="shared" si="3"/>
        <v>5374.4014599623806</v>
      </c>
      <c r="M80" s="7">
        <f t="shared" si="4"/>
        <v>46256.990510950258</v>
      </c>
    </row>
    <row r="81" spans="2:13" x14ac:dyDescent="0.3">
      <c r="F81" s="7" t="s">
        <v>252</v>
      </c>
      <c r="G81" s="7">
        <f>(B$77/($E$47/100))*($E51/100)</f>
        <v>7.3065257716177356</v>
      </c>
      <c r="H81" s="7">
        <f>(C$77/($E$47/100))*($E51/100)</f>
        <v>10.347526340877682</v>
      </c>
      <c r="I81" s="7">
        <f>(D$77/($E$47/100))*($E51/100)</f>
        <v>13.38852691013763</v>
      </c>
      <c r="J81" s="7">
        <v>172.01</v>
      </c>
      <c r="K81" s="7">
        <f t="shared" si="2"/>
        <v>1256.7954979759666</v>
      </c>
      <c r="L81" s="7">
        <f t="shared" si="3"/>
        <v>13004.724520402797</v>
      </c>
      <c r="M81" s="7">
        <f t="shared" si="4"/>
        <v>174114.10420033953</v>
      </c>
    </row>
    <row r="82" spans="2:13" x14ac:dyDescent="0.3">
      <c r="F82" s="7" t="s">
        <v>253</v>
      </c>
      <c r="G82" s="7">
        <f>(B$77/($E$47/100))*($E52/100)</f>
        <v>3.6532628858088678</v>
      </c>
      <c r="H82" s="7">
        <f>(C$77/($E$47/100))*($E52/100)</f>
        <v>5.1737631704388409</v>
      </c>
      <c r="I82" s="7">
        <f>(D$77/($E$47/100))*($E52/100)</f>
        <v>6.6942634550688149</v>
      </c>
      <c r="J82" s="7">
        <v>172.01</v>
      </c>
      <c r="K82" s="7">
        <f t="shared" si="2"/>
        <v>628.39774898798328</v>
      </c>
      <c r="L82" s="7">
        <f t="shared" si="3"/>
        <v>3251.1811301006992</v>
      </c>
      <c r="M82" s="7">
        <f t="shared" si="4"/>
        <v>21764.263025042441</v>
      </c>
    </row>
    <row r="83" spans="2:13" x14ac:dyDescent="0.3">
      <c r="F83" s="7" t="s">
        <v>254</v>
      </c>
      <c r="G83" s="7">
        <f>(B$77/($E$47/100))*($E53/100)</f>
        <v>5.2189469797269545</v>
      </c>
      <c r="H83" s="7">
        <f>(C$77/($E$47/100))*($E53/100)</f>
        <v>7.391090243484058</v>
      </c>
      <c r="I83" s="7">
        <f>(D$77/($E$47/100))*($E53/100)</f>
        <v>9.5632335072411632</v>
      </c>
      <c r="J83" s="7">
        <v>172.01</v>
      </c>
      <c r="K83" s="7">
        <f t="shared" si="2"/>
        <v>897.71106998283335</v>
      </c>
      <c r="L83" s="7">
        <f t="shared" si="3"/>
        <v>6635.0635308177543</v>
      </c>
      <c r="M83" s="7">
        <f t="shared" si="4"/>
        <v>63452.661880590211</v>
      </c>
    </row>
    <row r="84" spans="2:13" x14ac:dyDescent="0.3">
      <c r="J84" s="52" t="s">
        <v>99</v>
      </c>
      <c r="K84" s="7">
        <f>SUM(K77:K83)</f>
        <v>8977.110699828334</v>
      </c>
      <c r="L84" s="7">
        <f t="shared" ref="L84:M84" si="5">SUM(L77:L83)</f>
        <v>109080.44444664389</v>
      </c>
      <c r="M84" s="7">
        <f t="shared" si="5"/>
        <v>1896980.7795821251</v>
      </c>
    </row>
    <row r="88" spans="2:13" ht="15" thickBot="1" x14ac:dyDescent="0.35"/>
    <row r="89" spans="2:13" ht="15" thickBot="1" x14ac:dyDescent="0.35">
      <c r="B89" s="173" t="s">
        <v>241</v>
      </c>
      <c r="C89" s="174"/>
      <c r="D89" s="175"/>
      <c r="F89" s="172" t="s">
        <v>242</v>
      </c>
      <c r="G89" s="176" t="s">
        <v>244</v>
      </c>
      <c r="H89" s="176"/>
      <c r="I89" s="176"/>
      <c r="J89" s="172" t="s">
        <v>245</v>
      </c>
      <c r="K89" s="172" t="s">
        <v>246</v>
      </c>
      <c r="L89" s="172"/>
      <c r="M89" s="172"/>
    </row>
    <row r="90" spans="2:13" ht="15" thickBot="1" x14ac:dyDescent="0.35">
      <c r="B90" s="118" t="s">
        <v>24</v>
      </c>
      <c r="C90" s="118" t="s">
        <v>25</v>
      </c>
      <c r="D90" s="118" t="s">
        <v>195</v>
      </c>
      <c r="F90" s="172"/>
      <c r="G90" s="119" t="s">
        <v>167</v>
      </c>
      <c r="H90" s="119" t="s">
        <v>25</v>
      </c>
      <c r="I90" s="119" t="s">
        <v>169</v>
      </c>
      <c r="J90" s="172"/>
      <c r="K90" s="120" t="s">
        <v>167</v>
      </c>
      <c r="L90" s="120" t="s">
        <v>25</v>
      </c>
      <c r="M90" s="120" t="s">
        <v>169</v>
      </c>
    </row>
    <row r="91" spans="2:13" x14ac:dyDescent="0.3">
      <c r="B91" s="123">
        <f>IF(B77&gt;0,ROUND(B77, 2-(1+INT(LOG10(ABS(B77))))),0)</f>
        <v>12</v>
      </c>
      <c r="C91" s="123">
        <f t="shared" ref="C91:D91" si="6">IF(C77&gt;0,ROUND(C77, 2-(1+INT(LOG10(ABS(C77))))),0)</f>
        <v>17</v>
      </c>
      <c r="D91" s="123">
        <f t="shared" si="6"/>
        <v>22</v>
      </c>
      <c r="F91" s="46" t="s">
        <v>248</v>
      </c>
      <c r="G91" s="123">
        <f>IF(G77&gt;0,ROUND(G77, 2-(1+INT(LOG10(ABS(G77))))),0)</f>
        <v>12</v>
      </c>
      <c r="H91" s="123">
        <f t="shared" ref="H91:M91" si="7">IF(H77&gt;0,ROUND(H77, 2-(1+INT(LOG10(ABS(H77))))),0)</f>
        <v>17</v>
      </c>
      <c r="I91" s="123">
        <f t="shared" si="7"/>
        <v>22</v>
      </c>
      <c r="J91" s="123">
        <f t="shared" si="7"/>
        <v>170</v>
      </c>
      <c r="K91" s="123">
        <f t="shared" si="7"/>
        <v>2100</v>
      </c>
      <c r="L91" s="123">
        <f t="shared" si="7"/>
        <v>35000</v>
      </c>
      <c r="M91" s="123">
        <f t="shared" si="7"/>
        <v>770000</v>
      </c>
    </row>
    <row r="92" spans="2:13" x14ac:dyDescent="0.3">
      <c r="F92" s="7" t="s">
        <v>249</v>
      </c>
      <c r="G92" s="123">
        <f t="shared" ref="G92:M98" si="8">IF(G78&gt;0,ROUND(G78, 2-(1+INT(LOG10(ABS(G78))))),0)</f>
        <v>8.9</v>
      </c>
      <c r="H92" s="123">
        <f t="shared" si="8"/>
        <v>13</v>
      </c>
      <c r="I92" s="123">
        <f t="shared" si="8"/>
        <v>16</v>
      </c>
      <c r="J92" s="123">
        <f t="shared" si="8"/>
        <v>170</v>
      </c>
      <c r="K92" s="123">
        <f t="shared" si="8"/>
        <v>1500</v>
      </c>
      <c r="L92" s="123">
        <f t="shared" si="8"/>
        <v>19000</v>
      </c>
      <c r="M92" s="123">
        <f t="shared" si="8"/>
        <v>310000</v>
      </c>
    </row>
    <row r="93" spans="2:13" x14ac:dyDescent="0.3">
      <c r="F93" s="7" t="s">
        <v>250</v>
      </c>
      <c r="G93" s="123">
        <f t="shared" si="8"/>
        <v>10</v>
      </c>
      <c r="H93" s="123">
        <f t="shared" si="8"/>
        <v>15</v>
      </c>
      <c r="I93" s="123">
        <f t="shared" si="8"/>
        <v>19</v>
      </c>
      <c r="J93" s="123">
        <f t="shared" si="8"/>
        <v>170</v>
      </c>
      <c r="K93" s="123">
        <f t="shared" si="8"/>
        <v>1800</v>
      </c>
      <c r="L93" s="123">
        <f t="shared" si="8"/>
        <v>27000</v>
      </c>
      <c r="M93" s="123">
        <f t="shared" si="8"/>
        <v>510000</v>
      </c>
    </row>
    <row r="94" spans="2:13" x14ac:dyDescent="0.3">
      <c r="F94" s="7" t="s">
        <v>251</v>
      </c>
      <c r="G94" s="123">
        <f t="shared" si="8"/>
        <v>4.7</v>
      </c>
      <c r="H94" s="123">
        <f t="shared" si="8"/>
        <v>6.7</v>
      </c>
      <c r="I94" s="123">
        <f t="shared" si="8"/>
        <v>8.6</v>
      </c>
      <c r="J94" s="123">
        <f t="shared" si="8"/>
        <v>170</v>
      </c>
      <c r="K94" s="123">
        <f t="shared" si="8"/>
        <v>810</v>
      </c>
      <c r="L94" s="123">
        <f t="shared" si="8"/>
        <v>5400</v>
      </c>
      <c r="M94" s="123">
        <f t="shared" si="8"/>
        <v>46000</v>
      </c>
    </row>
    <row r="95" spans="2:13" x14ac:dyDescent="0.3">
      <c r="F95" s="7" t="s">
        <v>252</v>
      </c>
      <c r="G95" s="123">
        <f t="shared" si="8"/>
        <v>7.3</v>
      </c>
      <c r="H95" s="123">
        <f t="shared" si="8"/>
        <v>10</v>
      </c>
      <c r="I95" s="123">
        <f t="shared" si="8"/>
        <v>13</v>
      </c>
      <c r="J95" s="123">
        <f t="shared" si="8"/>
        <v>170</v>
      </c>
      <c r="K95" s="123">
        <f t="shared" si="8"/>
        <v>1300</v>
      </c>
      <c r="L95" s="123">
        <f t="shared" si="8"/>
        <v>13000</v>
      </c>
      <c r="M95" s="123">
        <f t="shared" si="8"/>
        <v>170000</v>
      </c>
    </row>
    <row r="96" spans="2:13" x14ac:dyDescent="0.3">
      <c r="F96" s="7" t="s">
        <v>253</v>
      </c>
      <c r="G96" s="123">
        <f t="shared" si="8"/>
        <v>3.7</v>
      </c>
      <c r="H96" s="123">
        <f t="shared" si="8"/>
        <v>5.2</v>
      </c>
      <c r="I96" s="123">
        <f t="shared" si="8"/>
        <v>6.7</v>
      </c>
      <c r="J96" s="123">
        <f t="shared" si="8"/>
        <v>170</v>
      </c>
      <c r="K96" s="123">
        <f t="shared" si="8"/>
        <v>630</v>
      </c>
      <c r="L96" s="123">
        <f t="shared" si="8"/>
        <v>3300</v>
      </c>
      <c r="M96" s="123">
        <f t="shared" si="8"/>
        <v>22000</v>
      </c>
    </row>
    <row r="97" spans="6:13" x14ac:dyDescent="0.3">
      <c r="F97" s="7" t="s">
        <v>254</v>
      </c>
      <c r="G97" s="123">
        <f t="shared" si="8"/>
        <v>5.2</v>
      </c>
      <c r="H97" s="123">
        <f t="shared" si="8"/>
        <v>7.4</v>
      </c>
      <c r="I97" s="123">
        <f t="shared" si="8"/>
        <v>9.6</v>
      </c>
      <c r="J97" s="123">
        <f t="shared" si="8"/>
        <v>170</v>
      </c>
      <c r="K97" s="123">
        <f t="shared" si="8"/>
        <v>900</v>
      </c>
      <c r="L97" s="123">
        <f t="shared" si="8"/>
        <v>6600</v>
      </c>
      <c r="M97" s="123">
        <f t="shared" si="8"/>
        <v>63000</v>
      </c>
    </row>
    <row r="98" spans="6:13" x14ac:dyDescent="0.3">
      <c r="J98" s="52" t="s">
        <v>99</v>
      </c>
      <c r="K98" s="122">
        <f t="shared" si="8"/>
        <v>9000</v>
      </c>
      <c r="L98" s="122">
        <f t="shared" si="8"/>
        <v>110000</v>
      </c>
      <c r="M98" s="122">
        <f t="shared" si="8"/>
        <v>1900000</v>
      </c>
    </row>
  </sheetData>
  <mergeCells count="13">
    <mergeCell ref="B25:B26"/>
    <mergeCell ref="C25:C26"/>
    <mergeCell ref="D25:H25"/>
    <mergeCell ref="B75:D75"/>
    <mergeCell ref="F75:F76"/>
    <mergeCell ref="G75:I75"/>
    <mergeCell ref="K75:M75"/>
    <mergeCell ref="B89:D89"/>
    <mergeCell ref="F89:F90"/>
    <mergeCell ref="G89:I89"/>
    <mergeCell ref="J89:J90"/>
    <mergeCell ref="K89:M89"/>
    <mergeCell ref="J75:J76"/>
  </mergeCells>
  <hyperlinks>
    <hyperlink ref="E62" r:id="rId1" xr:uid="{933C9F91-28BF-499E-BA95-477525D8A003}"/>
    <hyperlink ref="E63" r:id="rId2" xr:uid="{2F921A92-C79E-46C0-973A-D1901184076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10EBA-A240-41C6-9C91-51939CA847D8}">
  <dimension ref="A2:Z84"/>
  <sheetViews>
    <sheetView topLeftCell="A61" zoomScale="60" zoomScaleNormal="99" workbookViewId="0">
      <selection activeCell="M91" sqref="M91"/>
    </sheetView>
  </sheetViews>
  <sheetFormatPr defaultRowHeight="14.4" x14ac:dyDescent="0.3"/>
  <cols>
    <col min="2" max="2" width="9.44140625" customWidth="1"/>
    <col min="3" max="3" width="26" customWidth="1"/>
    <col min="4" max="4" width="20" customWidth="1"/>
    <col min="5" max="5" width="33.33203125" bestFit="1" customWidth="1"/>
    <col min="6" max="6" width="35.44140625" bestFit="1" customWidth="1"/>
    <col min="7" max="7" width="33.33203125" bestFit="1" customWidth="1"/>
    <col min="8" max="8" width="29.109375" customWidth="1"/>
    <col min="9" max="9" width="28.109375" bestFit="1" customWidth="1"/>
    <col min="10" max="10" width="33.44140625" bestFit="1" customWidth="1"/>
    <col min="11" max="11" width="33.88671875" bestFit="1" customWidth="1"/>
    <col min="12" max="12" width="41" customWidth="1"/>
    <col min="13" max="13" width="37.6640625" bestFit="1" customWidth="1"/>
    <col min="14" max="14" width="40.5546875" bestFit="1" customWidth="1"/>
    <col min="15" max="15" width="40.88671875" bestFit="1" customWidth="1"/>
    <col min="16" max="16" width="35.33203125" customWidth="1"/>
    <col min="17" max="17" width="34.88671875" customWidth="1"/>
    <col min="18" max="18" width="39.88671875" bestFit="1" customWidth="1"/>
    <col min="19" max="19" width="40.109375" bestFit="1" customWidth="1"/>
    <col min="20" max="22" width="33" bestFit="1" customWidth="1"/>
    <col min="23" max="23" width="37.33203125" bestFit="1" customWidth="1"/>
    <col min="24" max="24" width="43.33203125" bestFit="1" customWidth="1"/>
    <col min="25" max="25" width="64.5546875" customWidth="1"/>
    <col min="26" max="26" width="13.44140625" customWidth="1"/>
  </cols>
  <sheetData>
    <row r="2" spans="2:23" x14ac:dyDescent="0.3">
      <c r="H2" t="s">
        <v>275</v>
      </c>
      <c r="S2" t="s">
        <v>514</v>
      </c>
      <c r="T2">
        <v>5</v>
      </c>
      <c r="U2" t="s">
        <v>515</v>
      </c>
      <c r="V2">
        <f>1.56*10^3</f>
        <v>1560</v>
      </c>
    </row>
    <row r="3" spans="2:23" ht="17.399999999999999" x14ac:dyDescent="0.35">
      <c r="B3" s="181" t="s">
        <v>276</v>
      </c>
      <c r="C3" s="181"/>
      <c r="D3" s="181"/>
      <c r="E3" s="181"/>
      <c r="F3" s="181"/>
      <c r="G3" s="181"/>
      <c r="H3" s="181"/>
      <c r="I3" s="181"/>
      <c r="S3" t="s">
        <v>516</v>
      </c>
      <c r="T3">
        <f>T2/60</f>
        <v>8.3333333333333329E-2</v>
      </c>
    </row>
    <row r="4" spans="2:23" x14ac:dyDescent="0.3">
      <c r="B4" t="s">
        <v>277</v>
      </c>
      <c r="C4" t="s">
        <v>259</v>
      </c>
      <c r="D4" t="s">
        <v>278</v>
      </c>
      <c r="E4" t="s">
        <v>279</v>
      </c>
      <c r="F4" t="s">
        <v>280</v>
      </c>
      <c r="G4" t="s">
        <v>281</v>
      </c>
      <c r="H4" t="s">
        <v>210</v>
      </c>
      <c r="I4" t="s">
        <v>282</v>
      </c>
      <c r="J4" t="s">
        <v>283</v>
      </c>
      <c r="K4" t="s">
        <v>284</v>
      </c>
      <c r="L4" t="s">
        <v>285</v>
      </c>
      <c r="M4" t="s">
        <v>286</v>
      </c>
      <c r="N4" t="s">
        <v>287</v>
      </c>
      <c r="O4" t="s">
        <v>288</v>
      </c>
      <c r="P4" t="s">
        <v>289</v>
      </c>
      <c r="Q4" t="s">
        <v>290</v>
      </c>
      <c r="R4" t="s">
        <v>291</v>
      </c>
      <c r="S4" t="s">
        <v>292</v>
      </c>
      <c r="T4" t="s">
        <v>293</v>
      </c>
      <c r="U4" t="s">
        <v>294</v>
      </c>
      <c r="V4" t="s">
        <v>295</v>
      </c>
      <c r="W4" t="s">
        <v>296</v>
      </c>
    </row>
    <row r="5" spans="2:23" x14ac:dyDescent="0.3">
      <c r="B5">
        <v>1</v>
      </c>
      <c r="C5" t="s">
        <v>297</v>
      </c>
      <c r="D5">
        <v>4182976.79</v>
      </c>
      <c r="E5">
        <f>Table5[[#This Row],[Part volume (mm^3)]]/(1000^3)</f>
        <v>4.18297679E-3</v>
      </c>
      <c r="F5">
        <v>1</v>
      </c>
      <c r="G5">
        <f>Table5[[#This Row],[Part volume m^3]]*Table5[[#This Row],[Quantity]]</f>
        <v>4.18297679E-3</v>
      </c>
      <c r="H5" t="s">
        <v>298</v>
      </c>
      <c r="I5">
        <f t="shared" ref="I5:I25" si="0">((0.83*((225000*0.75)+((3930+7290)/2)))+(0.17*((4890+6230)/2)))</f>
        <v>145664</v>
      </c>
      <c r="J5">
        <f>Table5[[#This Row],[Material Cost per m^3]]*Table5[[#This Row],[Total volume (m^3)]]</f>
        <v>609.30913113856002</v>
      </c>
      <c r="L5" t="s">
        <v>299</v>
      </c>
      <c r="M5" t="s">
        <v>300</v>
      </c>
      <c r="O5">
        <f>(776/60000)*Table5[[#This Row],[Quantity]]</f>
        <v>1.2933333333333333E-2</v>
      </c>
      <c r="P5">
        <f>(3100/60000)*Table5[[#This Row],[Quantity]]</f>
        <v>5.1666666666666666E-2</v>
      </c>
      <c r="Q5">
        <f>0.28*1375*Table5[[#This Row],[Part volume m^3]]*Table5[[#This Row],[Quantity]]</f>
        <v>1.6104460641500002</v>
      </c>
      <c r="R5" t="s">
        <v>301</v>
      </c>
      <c r="U5">
        <v>1</v>
      </c>
      <c r="V5">
        <v>5</v>
      </c>
      <c r="W5">
        <f>180*((Table5[[#This Row],[Total volume (m^3)]])/($D$30))*20</f>
        <v>1.5058716444</v>
      </c>
    </row>
    <row r="6" spans="2:23" x14ac:dyDescent="0.3">
      <c r="B6">
        <v>2</v>
      </c>
      <c r="C6" t="s">
        <v>302</v>
      </c>
      <c r="D6">
        <v>395298.81199999998</v>
      </c>
      <c r="E6">
        <f>Table5[[#This Row],[Part volume (mm^3)]]/(1000^3)</f>
        <v>3.9529881199999999E-4</v>
      </c>
      <c r="F6">
        <v>1</v>
      </c>
      <c r="G6">
        <f>Table5[[#This Row],[Part volume m^3]]*Table5[[#This Row],[Quantity]]</f>
        <v>3.9529881199999999E-4</v>
      </c>
      <c r="H6" t="s">
        <v>298</v>
      </c>
      <c r="I6">
        <f t="shared" si="0"/>
        <v>145664</v>
      </c>
      <c r="J6">
        <f>Table5[[#This Row],[Material Cost per m^3]]*Table5[[#This Row],[Total volume (m^3)]]</f>
        <v>57.580806151167998</v>
      </c>
      <c r="L6" t="s">
        <v>303</v>
      </c>
      <c r="M6" t="s">
        <v>513</v>
      </c>
      <c r="N6">
        <v>2500000</v>
      </c>
      <c r="O6">
        <f>(776/1000)*Table5[[#This Row],[Quantity]]</f>
        <v>0.77600000000000002</v>
      </c>
      <c r="P6">
        <f>((1.55*10^4)/1000)*Table5[[#This Row],[Quantity]]</f>
        <v>15.5</v>
      </c>
      <c r="R6" t="s">
        <v>301</v>
      </c>
      <c r="S6">
        <f>2*(($V$2*Table5[[#This Row],[Part volume m^3]])/$T$3)</f>
        <v>14.79998752128</v>
      </c>
      <c r="T6">
        <f>5*(($V$2*Table5[[#This Row],[Part volume m^3]])/$T$3)</f>
        <v>36.999968803199998</v>
      </c>
      <c r="W6">
        <f>180*((Table5[[#This Row],[Total volume (m^3)]])/($D$30))*20</f>
        <v>0.14230757232000002</v>
      </c>
    </row>
    <row r="7" spans="2:23" x14ac:dyDescent="0.3">
      <c r="B7">
        <v>3</v>
      </c>
      <c r="C7" t="s">
        <v>305</v>
      </c>
      <c r="D7">
        <v>80786.512000000002</v>
      </c>
      <c r="E7">
        <f>Table5[[#This Row],[Part volume (mm^3)]]/(1000^3)</f>
        <v>8.0786511999999996E-5</v>
      </c>
      <c r="F7">
        <v>2</v>
      </c>
      <c r="G7">
        <f>Table5[[#This Row],[Part volume m^3]]*Table5[[#This Row],[Quantity]]</f>
        <v>1.6157302399999999E-4</v>
      </c>
      <c r="H7" t="s">
        <v>298</v>
      </c>
      <c r="I7">
        <f t="shared" si="0"/>
        <v>145664</v>
      </c>
      <c r="J7">
        <f>Table5[[#This Row],[Material Cost per m^3]]*Table5[[#This Row],[Total volume (m^3)]]</f>
        <v>23.535372967935999</v>
      </c>
      <c r="L7" t="s">
        <v>299</v>
      </c>
      <c r="M7" t="s">
        <v>300</v>
      </c>
      <c r="O7">
        <f>(776/60000)*Table5[[#This Row],[Quantity]]</f>
        <v>2.5866666666666666E-2</v>
      </c>
      <c r="P7">
        <f>(3100/60000)*Table5[[#This Row],[Quantity]]</f>
        <v>0.10333333333333333</v>
      </c>
      <c r="Q7">
        <f>0.28*1375*Table5[[#This Row],[Part volume m^3]]*Table5[[#This Row],[Quantity]]</f>
        <v>6.2205614240000005E-2</v>
      </c>
      <c r="R7" t="s">
        <v>301</v>
      </c>
      <c r="U7">
        <v>1</v>
      </c>
      <c r="V7">
        <v>5</v>
      </c>
      <c r="W7">
        <f>180*((Table5[[#This Row],[Total volume (m^3)]])/($D$30))*20</f>
        <v>5.8166288640000001E-2</v>
      </c>
    </row>
    <row r="8" spans="2:23" x14ac:dyDescent="0.3">
      <c r="B8">
        <v>4</v>
      </c>
      <c r="C8" t="s">
        <v>306</v>
      </c>
      <c r="D8">
        <v>263179.66100000002</v>
      </c>
      <c r="E8">
        <f>Table5[[#This Row],[Part volume (mm^3)]]/(1000^3)</f>
        <v>2.6317966100000001E-4</v>
      </c>
      <c r="F8">
        <v>1</v>
      </c>
      <c r="G8">
        <f>Table5[[#This Row],[Part volume m^3]]*Table5[[#This Row],[Quantity]]</f>
        <v>2.6317966100000001E-4</v>
      </c>
      <c r="H8" t="s">
        <v>298</v>
      </c>
      <c r="I8">
        <f t="shared" si="0"/>
        <v>145664</v>
      </c>
      <c r="J8">
        <f>Table5[[#This Row],[Material Cost per m^3]]*Table5[[#This Row],[Total volume (m^3)]]</f>
        <v>38.335802139904004</v>
      </c>
      <c r="L8" t="s">
        <v>303</v>
      </c>
      <c r="M8" t="s">
        <v>513</v>
      </c>
      <c r="N8">
        <v>2500000</v>
      </c>
      <c r="O8">
        <f>(776/1000)*Table5[[#This Row],[Quantity]]</f>
        <v>0.77600000000000002</v>
      </c>
      <c r="P8">
        <f>((1.55*10^4)/1000)*Table5[[#This Row],[Quantity]]</f>
        <v>15.5</v>
      </c>
      <c r="R8" t="s">
        <v>301</v>
      </c>
      <c r="S8">
        <f>2*(($V$2*Table5[[#This Row],[Part volume m^3]])/$T$3)</f>
        <v>9.8534465078400011</v>
      </c>
      <c r="T8">
        <f>5*(($V$2*Table5[[#This Row],[Part volume m^3]])/$T$3)</f>
        <v>24.633616269600005</v>
      </c>
      <c r="W8">
        <f>180*((Table5[[#This Row],[Total volume (m^3)]])/($D$30))*20</f>
        <v>9.4744677960000009E-2</v>
      </c>
    </row>
    <row r="9" spans="2:23" x14ac:dyDescent="0.3">
      <c r="B9">
        <v>5</v>
      </c>
      <c r="C9" t="s">
        <v>307</v>
      </c>
      <c r="D9">
        <v>141891.228</v>
      </c>
      <c r="E9">
        <f>Table5[[#This Row],[Part volume (mm^3)]]/(1000^3)</f>
        <v>1.4189122800000001E-4</v>
      </c>
      <c r="F9">
        <v>1</v>
      </c>
      <c r="G9">
        <f>Table5[[#This Row],[Part volume m^3]]*Table5[[#This Row],[Quantity]]</f>
        <v>1.4189122800000001E-4</v>
      </c>
      <c r="H9" t="s">
        <v>298</v>
      </c>
      <c r="I9">
        <f t="shared" si="0"/>
        <v>145664</v>
      </c>
      <c r="J9">
        <f>Table5[[#This Row],[Material Cost per m^3]]*Table5[[#This Row],[Total volume (m^3)]]</f>
        <v>20.668443835392001</v>
      </c>
      <c r="L9" t="s">
        <v>303</v>
      </c>
      <c r="M9" t="s">
        <v>513</v>
      </c>
      <c r="N9">
        <v>2500000</v>
      </c>
      <c r="O9">
        <f>(776/1000)*Table5[[#This Row],[Quantity]]</f>
        <v>0.77600000000000002</v>
      </c>
      <c r="P9">
        <f>((1.55*10^4)/1000)*Table5[[#This Row],[Quantity]]</f>
        <v>15.5</v>
      </c>
      <c r="R9" t="s">
        <v>301</v>
      </c>
      <c r="S9">
        <f>2*(($V$2*Table5[[#This Row],[Part volume m^3]])/$T$3)</f>
        <v>5.3124075763200009</v>
      </c>
      <c r="T9">
        <f>5*(($V$2*Table5[[#This Row],[Part volume m^3]])/$T$3)</f>
        <v>13.281018940800003</v>
      </c>
      <c r="W9">
        <f>180*((Table5[[#This Row],[Total volume (m^3)]])/($D$30))*20</f>
        <v>5.1080842080000008E-2</v>
      </c>
    </row>
    <row r="10" spans="2:23" x14ac:dyDescent="0.3">
      <c r="B10">
        <v>6</v>
      </c>
      <c r="C10" t="s">
        <v>308</v>
      </c>
      <c r="D10">
        <v>156361.61799999999</v>
      </c>
      <c r="E10">
        <f>Table5[[#This Row],[Part volume (mm^3)]]/(1000^3)</f>
        <v>1.5636161799999999E-4</v>
      </c>
      <c r="F10">
        <v>1</v>
      </c>
      <c r="G10">
        <f>Table5[[#This Row],[Part volume m^3]]*Table5[[#This Row],[Quantity]]</f>
        <v>1.5636161799999999E-4</v>
      </c>
      <c r="H10" t="s">
        <v>298</v>
      </c>
      <c r="I10">
        <f t="shared" si="0"/>
        <v>145664</v>
      </c>
      <c r="J10">
        <f>Table5[[#This Row],[Material Cost per m^3]]*Table5[[#This Row],[Total volume (m^3)]]</f>
        <v>22.776258724351997</v>
      </c>
      <c r="L10" t="s">
        <v>303</v>
      </c>
      <c r="M10" t="s">
        <v>513</v>
      </c>
      <c r="N10">
        <v>2500000</v>
      </c>
      <c r="O10">
        <f>(776/1000)*Table5[[#This Row],[Quantity]]</f>
        <v>0.77600000000000002</v>
      </c>
      <c r="P10">
        <f>((1.55*10^4)/1000)*Table5[[#This Row],[Quantity]]</f>
        <v>15.5</v>
      </c>
      <c r="R10" t="s">
        <v>301</v>
      </c>
      <c r="S10">
        <f>2*(($V$2*Table5[[#This Row],[Part volume m^3]])/$T$3)</f>
        <v>5.8541789779199993</v>
      </c>
      <c r="T10">
        <f>5*(($V$2*Table5[[#This Row],[Part volume m^3]])/$T$3)</f>
        <v>14.635447444799999</v>
      </c>
      <c r="W10">
        <f>180*((Table5[[#This Row],[Total volume (m^3)]])/($D$30))*20</f>
        <v>5.6290182479999992E-2</v>
      </c>
    </row>
    <row r="11" spans="2:23" hidden="1" x14ac:dyDescent="0.3">
      <c r="B11">
        <v>7</v>
      </c>
      <c r="C11" t="s">
        <v>309</v>
      </c>
      <c r="E11">
        <f>Table5[[#This Row],[Part volume (mm^3)]]/(1000^3)</f>
        <v>0</v>
      </c>
      <c r="F11">
        <v>1</v>
      </c>
      <c r="G11">
        <f>Table5[[#This Row],[Part volume m^3]]*Table5[[#This Row],[Quantity]]</f>
        <v>0</v>
      </c>
      <c r="J11">
        <f>Table5[[#This Row],[Material Cost per m^3]]*Table5[[#This Row],[Total volume (m^3)]]</f>
        <v>0</v>
      </c>
      <c r="N11">
        <v>2500000</v>
      </c>
      <c r="O11">
        <f>(776/1000)*Table5[[#This Row],[Quantity]]</f>
        <v>0.77600000000000002</v>
      </c>
      <c r="P11">
        <f>((1.55*10^4)/1000)*Table5[[#This Row],[Quantity]]</f>
        <v>15.5</v>
      </c>
      <c r="Q11">
        <f>0.28*1375*Table5[[#This Row],[Part volume m^3]]*Table5[[#This Row],[Quantity]]</f>
        <v>0</v>
      </c>
      <c r="R11" t="s">
        <v>301</v>
      </c>
      <c r="S11">
        <f>2*(($V$2*Table5[[#This Row],[Part volume m^3]])/$T$3)</f>
        <v>0</v>
      </c>
      <c r="T11">
        <f>5*(($V$2*Table5[[#This Row],[Part volume m^3]])/$T$3)</f>
        <v>0</v>
      </c>
      <c r="W11">
        <f>180*((Table5[[#This Row],[Total volume (m^3)]])/($D$30))*20</f>
        <v>0</v>
      </c>
    </row>
    <row r="12" spans="2:23" x14ac:dyDescent="0.3">
      <c r="B12">
        <v>8</v>
      </c>
      <c r="C12" t="s">
        <v>310</v>
      </c>
      <c r="D12">
        <v>878421.89300000004</v>
      </c>
      <c r="E12">
        <f>Table5[[#This Row],[Part volume (mm^3)]]/(1000^3)</f>
        <v>8.7842189300000001E-4</v>
      </c>
      <c r="F12">
        <v>1</v>
      </c>
      <c r="G12">
        <f>Table5[[#This Row],[Part volume m^3]]*Table5[[#This Row],[Quantity]]</f>
        <v>8.7842189300000001E-4</v>
      </c>
      <c r="H12" t="s">
        <v>298</v>
      </c>
      <c r="I12">
        <f t="shared" si="0"/>
        <v>145664</v>
      </c>
      <c r="J12">
        <f>Table5[[#This Row],[Material Cost per m^3]]*Table5[[#This Row],[Total volume (m^3)]]</f>
        <v>127.954446621952</v>
      </c>
      <c r="L12" t="s">
        <v>299</v>
      </c>
      <c r="M12" t="s">
        <v>300</v>
      </c>
      <c r="O12">
        <f>(776/60000)*Table5[[#This Row],[Quantity]]</f>
        <v>1.2933333333333333E-2</v>
      </c>
      <c r="P12">
        <f>(3100/60000)*Table5[[#This Row],[Quantity]]</f>
        <v>5.1666666666666666E-2</v>
      </c>
      <c r="Q12">
        <f>0.28*1375*Table5[[#This Row],[Part volume m^3]]*Table5[[#This Row],[Quantity]]</f>
        <v>0.33819242880500006</v>
      </c>
      <c r="R12" t="s">
        <v>301</v>
      </c>
      <c r="U12">
        <v>1</v>
      </c>
      <c r="V12">
        <v>5</v>
      </c>
      <c r="W12">
        <f>180*((Table5[[#This Row],[Total volume (m^3)]])/($D$30))*20</f>
        <v>0.31623188147999998</v>
      </c>
    </row>
    <row r="13" spans="2:23" x14ac:dyDescent="0.3">
      <c r="B13">
        <v>9</v>
      </c>
      <c r="C13" t="s">
        <v>311</v>
      </c>
      <c r="D13">
        <v>611481.00899999996</v>
      </c>
      <c r="E13">
        <f>Table5[[#This Row],[Part volume (mm^3)]]/(1000^3)</f>
        <v>6.1148100899999995E-4</v>
      </c>
      <c r="F13">
        <v>2</v>
      </c>
      <c r="G13">
        <f>Table5[[#This Row],[Part volume m^3]]*Table5[[#This Row],[Quantity]]</f>
        <v>1.2229620179999999E-3</v>
      </c>
      <c r="H13" t="s">
        <v>298</v>
      </c>
      <c r="I13">
        <f t="shared" si="0"/>
        <v>145664</v>
      </c>
      <c r="J13">
        <f>Table5[[#This Row],[Material Cost per m^3]]*Table5[[#This Row],[Total volume (m^3)]]</f>
        <v>178.14153938995199</v>
      </c>
      <c r="L13" t="s">
        <v>303</v>
      </c>
      <c r="M13" t="s">
        <v>513</v>
      </c>
      <c r="N13">
        <v>2500000</v>
      </c>
      <c r="O13">
        <f>(776/1000)*Table5[[#This Row],[Quantity]]</f>
        <v>1.552</v>
      </c>
      <c r="P13">
        <f>((1.55*10^4)/1000)*Table5[[#This Row],[Quantity]]</f>
        <v>31</v>
      </c>
      <c r="R13" t="s">
        <v>301</v>
      </c>
      <c r="S13">
        <f>2*(($V$2*Table5[[#This Row],[Part volume m^3]])/$T$3)</f>
        <v>22.893848976959998</v>
      </c>
      <c r="T13">
        <f>5*(($V$2*Table5[[#This Row],[Part volume m^3]])/$T$3)</f>
        <v>57.234622442399996</v>
      </c>
      <c r="W13">
        <f>180*((Table5[[#This Row],[Total volume (m^3)]])/($D$30))*20</f>
        <v>0.44026632647999991</v>
      </c>
    </row>
    <row r="14" spans="2:23" x14ac:dyDescent="0.3">
      <c r="B14">
        <v>10</v>
      </c>
      <c r="C14" t="s">
        <v>312</v>
      </c>
      <c r="D14">
        <v>140156.97099999999</v>
      </c>
      <c r="E14">
        <f>Table5[[#This Row],[Part volume (mm^3)]]/(1000^3)</f>
        <v>1.40156971E-4</v>
      </c>
      <c r="F14">
        <v>2</v>
      </c>
      <c r="G14">
        <f>Table5[[#This Row],[Part volume m^3]]*Table5[[#This Row],[Quantity]]</f>
        <v>2.80313942E-4</v>
      </c>
      <c r="H14" t="s">
        <v>298</v>
      </c>
      <c r="I14">
        <f t="shared" si="0"/>
        <v>145664</v>
      </c>
      <c r="J14">
        <f>Table5[[#This Row],[Material Cost per m^3]]*Table5[[#This Row],[Total volume (m^3)]]</f>
        <v>40.831650047487997</v>
      </c>
      <c r="L14" t="s">
        <v>303</v>
      </c>
      <c r="M14" t="s">
        <v>513</v>
      </c>
      <c r="N14">
        <v>2500000</v>
      </c>
      <c r="O14">
        <f>(776/1000)*Table5[[#This Row],[Quantity]]</f>
        <v>1.552</v>
      </c>
      <c r="P14">
        <f>((1.55*10^4)/1000)*Table5[[#This Row],[Quantity]]</f>
        <v>31</v>
      </c>
      <c r="R14" t="s">
        <v>301</v>
      </c>
      <c r="S14">
        <f>2*(($V$2*Table5[[#This Row],[Part volume m^3]])/$T$3)</f>
        <v>5.2474769942400004</v>
      </c>
      <c r="T14">
        <f>5*(($V$2*Table5[[#This Row],[Part volume m^3]])/$T$3)</f>
        <v>13.1186924856</v>
      </c>
      <c r="W14">
        <f>180*((Table5[[#This Row],[Total volume (m^3)]])/($D$30))*20</f>
        <v>0.10091301912</v>
      </c>
    </row>
    <row r="15" spans="2:23" x14ac:dyDescent="0.3">
      <c r="B15">
        <v>11</v>
      </c>
      <c r="C15" t="s">
        <v>313</v>
      </c>
      <c r="D15">
        <v>878421.89300000004</v>
      </c>
      <c r="E15">
        <f>Table5[[#This Row],[Part volume (mm^3)]]/(1000^3)</f>
        <v>8.7842189300000001E-4</v>
      </c>
      <c r="F15">
        <v>1</v>
      </c>
      <c r="G15">
        <f>Table5[[#This Row],[Part volume m^3]]*Table5[[#This Row],[Quantity]]</f>
        <v>8.7842189300000001E-4</v>
      </c>
      <c r="H15" t="s">
        <v>298</v>
      </c>
      <c r="I15">
        <f t="shared" si="0"/>
        <v>145664</v>
      </c>
      <c r="J15">
        <f>Table5[[#This Row],[Material Cost per m^3]]*Table5[[#This Row],[Total volume (m^3)]]</f>
        <v>127.954446621952</v>
      </c>
      <c r="L15" t="s">
        <v>299</v>
      </c>
      <c r="M15" t="s">
        <v>300</v>
      </c>
      <c r="O15">
        <f>(776/60000)*Table5[[#This Row],[Quantity]]</f>
        <v>1.2933333333333333E-2</v>
      </c>
      <c r="P15">
        <f>(3100/60000)*Table5[[#This Row],[Quantity]]</f>
        <v>5.1666666666666666E-2</v>
      </c>
      <c r="Q15">
        <f>0.28*1375*Table5[[#This Row],[Part volume m^3]]*Table5[[#This Row],[Quantity]]</f>
        <v>0.33819242880500006</v>
      </c>
      <c r="R15" t="s">
        <v>301</v>
      </c>
      <c r="U15">
        <v>1</v>
      </c>
      <c r="V15">
        <v>5</v>
      </c>
      <c r="W15">
        <f>180*((Table5[[#This Row],[Total volume (m^3)]])/($D$30))*20</f>
        <v>0.31623188147999998</v>
      </c>
    </row>
    <row r="16" spans="2:23" x14ac:dyDescent="0.3">
      <c r="B16">
        <v>12</v>
      </c>
      <c r="C16" t="s">
        <v>314</v>
      </c>
      <c r="D16">
        <v>174693.92600000001</v>
      </c>
      <c r="E16">
        <f>Table5[[#This Row],[Part volume (mm^3)]]/(1000^3)</f>
        <v>1.74693926E-4</v>
      </c>
      <c r="F16">
        <v>1</v>
      </c>
      <c r="G16">
        <f>Table5[[#This Row],[Part volume m^3]]*Table5[[#This Row],[Quantity]]</f>
        <v>1.74693926E-4</v>
      </c>
      <c r="H16" t="s">
        <v>298</v>
      </c>
      <c r="I16">
        <f t="shared" si="0"/>
        <v>145664</v>
      </c>
      <c r="J16">
        <f>Table5[[#This Row],[Material Cost per m^3]]*Table5[[#This Row],[Total volume (m^3)]]</f>
        <v>25.446616036864</v>
      </c>
      <c r="L16" t="s">
        <v>303</v>
      </c>
      <c r="M16" t="s">
        <v>513</v>
      </c>
      <c r="N16">
        <v>2500000</v>
      </c>
      <c r="O16">
        <f>(776/1000)*Table5[[#This Row],[Quantity]]</f>
        <v>0.77600000000000002</v>
      </c>
      <c r="P16">
        <f>((1.55*10^4)/1000)*Table5[[#This Row],[Quantity]]</f>
        <v>15.5</v>
      </c>
      <c r="R16" t="s">
        <v>301</v>
      </c>
      <c r="S16">
        <f>2*(($V$2*Table5[[#This Row],[Part volume m^3]])/$T$3)</f>
        <v>6.5405405894399999</v>
      </c>
      <c r="T16">
        <f>5*(($V$2*Table5[[#This Row],[Part volume m^3]])/$T$3)</f>
        <v>16.351351473600001</v>
      </c>
      <c r="W16">
        <f>180*((Table5[[#This Row],[Total volume (m^3)]])/($D$30))*20</f>
        <v>6.2889813360000005E-2</v>
      </c>
    </row>
    <row r="17" spans="2:23" x14ac:dyDescent="0.3">
      <c r="B17">
        <v>13</v>
      </c>
      <c r="C17" t="s">
        <v>315</v>
      </c>
      <c r="D17">
        <v>150262.56599999999</v>
      </c>
      <c r="E17">
        <f>Table5[[#This Row],[Part volume (mm^3)]]/(1000^3)</f>
        <v>1.5026256599999998E-4</v>
      </c>
      <c r="F17">
        <v>1</v>
      </c>
      <c r="G17">
        <f>Table5[[#This Row],[Part volume m^3]]*Table5[[#This Row],[Quantity]]</f>
        <v>1.5026256599999998E-4</v>
      </c>
      <c r="H17" t="s">
        <v>298</v>
      </c>
      <c r="I17">
        <f t="shared" si="0"/>
        <v>145664</v>
      </c>
      <c r="J17">
        <f>Table5[[#This Row],[Material Cost per m^3]]*Table5[[#This Row],[Total volume (m^3)]]</f>
        <v>21.887846413823997</v>
      </c>
      <c r="L17" t="s">
        <v>303</v>
      </c>
      <c r="M17" t="s">
        <v>513</v>
      </c>
      <c r="N17">
        <v>2500000</v>
      </c>
      <c r="O17">
        <f>(776/1000)*Table5[[#This Row],[Quantity]]</f>
        <v>0.77600000000000002</v>
      </c>
      <c r="P17">
        <f>((1.55*10^4)/1000)*Table5[[#This Row],[Quantity]]</f>
        <v>15.5</v>
      </c>
      <c r="R17" t="s">
        <v>301</v>
      </c>
      <c r="S17">
        <f>2*(($V$2*Table5[[#This Row],[Part volume m^3]])/$T$3)</f>
        <v>5.6258304710399996</v>
      </c>
      <c r="T17">
        <f>5*(($V$2*Table5[[#This Row],[Part volume m^3]])/$T$3)</f>
        <v>14.064576177599999</v>
      </c>
      <c r="W17">
        <f>180*((Table5[[#This Row],[Total volume (m^3)]])/($D$30))*20</f>
        <v>5.4094523759999985E-2</v>
      </c>
    </row>
    <row r="18" spans="2:23" x14ac:dyDescent="0.3">
      <c r="B18">
        <v>14</v>
      </c>
      <c r="C18" t="s">
        <v>316</v>
      </c>
      <c r="D18">
        <v>629709.98800000001</v>
      </c>
      <c r="E18">
        <f>Table5[[#This Row],[Part volume (mm^3)]]/(1000^3)</f>
        <v>6.2970998800000006E-4</v>
      </c>
      <c r="F18">
        <v>1</v>
      </c>
      <c r="G18">
        <f>Table5[[#This Row],[Part volume m^3]]*Table5[[#This Row],[Quantity]]</f>
        <v>6.2970998800000006E-4</v>
      </c>
      <c r="H18" t="s">
        <v>298</v>
      </c>
      <c r="I18">
        <f t="shared" si="0"/>
        <v>145664</v>
      </c>
      <c r="J18">
        <f>Table5[[#This Row],[Material Cost per m^3]]*Table5[[#This Row],[Total volume (m^3)]]</f>
        <v>91.726075692032012</v>
      </c>
      <c r="L18" t="s">
        <v>303</v>
      </c>
      <c r="M18" t="s">
        <v>513</v>
      </c>
      <c r="N18">
        <v>2500000</v>
      </c>
      <c r="O18">
        <f>(776/1000)*Table5[[#This Row],[Quantity]]</f>
        <v>0.77600000000000002</v>
      </c>
      <c r="P18">
        <f>((1.55*10^4)/1000)*Table5[[#This Row],[Quantity]]</f>
        <v>15.5</v>
      </c>
      <c r="R18" t="s">
        <v>301</v>
      </c>
      <c r="S18">
        <f>2*(($V$2*Table5[[#This Row],[Part volume m^3]])/$T$3)</f>
        <v>23.576341950720003</v>
      </c>
      <c r="T18">
        <f>5*(($V$2*Table5[[#This Row],[Part volume m^3]])/$T$3)</f>
        <v>58.94085487680001</v>
      </c>
      <c r="W18">
        <f>180*((Table5[[#This Row],[Total volume (m^3)]])/($D$30))*20</f>
        <v>0.22669559568000003</v>
      </c>
    </row>
    <row r="19" spans="2:23" x14ac:dyDescent="0.3">
      <c r="B19">
        <v>15</v>
      </c>
      <c r="C19" t="s">
        <v>317</v>
      </c>
      <c r="D19">
        <v>327917.56800000003</v>
      </c>
      <c r="E19">
        <f>Table5[[#This Row],[Part volume (mm^3)]]/(1000^3)</f>
        <v>3.2791756800000001E-4</v>
      </c>
      <c r="F19">
        <v>1</v>
      </c>
      <c r="G19">
        <f>Table5[[#This Row],[Part volume m^3]]*Table5[[#This Row],[Quantity]]</f>
        <v>3.2791756800000001E-4</v>
      </c>
      <c r="H19" t="s">
        <v>298</v>
      </c>
      <c r="I19">
        <f t="shared" si="0"/>
        <v>145664</v>
      </c>
      <c r="J19">
        <f>Table5[[#This Row],[Material Cost per m^3]]*Table5[[#This Row],[Total volume (m^3)]]</f>
        <v>47.765784625152001</v>
      </c>
      <c r="L19" t="s">
        <v>299</v>
      </c>
      <c r="M19" t="s">
        <v>300</v>
      </c>
      <c r="O19">
        <f>(776/60000)*Table5[[#This Row],[Quantity]]</f>
        <v>1.2933333333333333E-2</v>
      </c>
      <c r="P19">
        <f>(3100/60000)*Table5[[#This Row],[Quantity]]</f>
        <v>5.1666666666666666E-2</v>
      </c>
      <c r="Q19">
        <f>0.28*1375*Table5[[#This Row],[Part volume m^3]]*Table5[[#This Row],[Quantity]]</f>
        <v>0.12624826368000003</v>
      </c>
      <c r="R19" t="s">
        <v>301</v>
      </c>
      <c r="U19">
        <v>1</v>
      </c>
      <c r="V19">
        <v>5</v>
      </c>
      <c r="W19">
        <f>180*((Table5[[#This Row],[Total volume (m^3)]])/($D$30))*20</f>
        <v>0.11805032448</v>
      </c>
    </row>
    <row r="20" spans="2:23" x14ac:dyDescent="0.3">
      <c r="B20">
        <v>16</v>
      </c>
      <c r="C20" t="s">
        <v>318</v>
      </c>
      <c r="D20">
        <v>65492.942999999999</v>
      </c>
      <c r="E20">
        <f>Table5[[#This Row],[Part volume (mm^3)]]/(1000^3)</f>
        <v>6.5492943000000002E-5</v>
      </c>
      <c r="F20">
        <v>2</v>
      </c>
      <c r="G20">
        <f>Table5[[#This Row],[Part volume m^3]]*Table5[[#This Row],[Quantity]]</f>
        <v>1.30985886E-4</v>
      </c>
      <c r="H20" t="s">
        <v>298</v>
      </c>
      <c r="I20">
        <f t="shared" si="0"/>
        <v>145664</v>
      </c>
      <c r="J20">
        <f>Table5[[#This Row],[Material Cost per m^3]]*Table5[[#This Row],[Total volume (m^3)]]</f>
        <v>19.079928098304002</v>
      </c>
      <c r="L20" t="s">
        <v>303</v>
      </c>
      <c r="M20" t="s">
        <v>513</v>
      </c>
      <c r="N20">
        <v>2500000</v>
      </c>
      <c r="O20">
        <f>(776/1000)*Table5[[#This Row],[Quantity]]</f>
        <v>1.552</v>
      </c>
      <c r="P20">
        <f>((1.55*10^4)/1000)*Table5[[#This Row],[Quantity]]</f>
        <v>31</v>
      </c>
      <c r="R20" t="s">
        <v>301</v>
      </c>
      <c r="S20">
        <f>2*(($V$2*Table5[[#This Row],[Part volume m^3]])/$T$3)</f>
        <v>2.4520557859200003</v>
      </c>
      <c r="T20">
        <f>5*(($V$2*Table5[[#This Row],[Part volume m^3]])/$T$3)</f>
        <v>6.1301394648000009</v>
      </c>
      <c r="W20">
        <f>180*((Table5[[#This Row],[Total volume (m^3)]])/($D$30))*20</f>
        <v>4.715491896E-2</v>
      </c>
    </row>
    <row r="21" spans="2:23" x14ac:dyDescent="0.3">
      <c r="B21">
        <v>17</v>
      </c>
      <c r="C21" t="s">
        <v>319</v>
      </c>
      <c r="D21">
        <v>91655.409</v>
      </c>
      <c r="E21">
        <f>Table5[[#This Row],[Part volume (mm^3)]]/(1000^3)</f>
        <v>9.1655408999999995E-5</v>
      </c>
      <c r="F21">
        <v>2</v>
      </c>
      <c r="G21">
        <f>Table5[[#This Row],[Part volume m^3]]*Table5[[#This Row],[Quantity]]</f>
        <v>1.8331081799999999E-4</v>
      </c>
      <c r="H21" t="s">
        <v>298</v>
      </c>
      <c r="I21">
        <f t="shared" si="0"/>
        <v>145664</v>
      </c>
      <c r="J21">
        <f>Table5[[#This Row],[Material Cost per m^3]]*Table5[[#This Row],[Total volume (m^3)]]</f>
        <v>26.701786993151998</v>
      </c>
      <c r="L21" t="s">
        <v>299</v>
      </c>
      <c r="M21" t="s">
        <v>300</v>
      </c>
      <c r="N21">
        <v>2500000</v>
      </c>
      <c r="O21">
        <f>(776/1000)*Table5[[#This Row],[Quantity]]</f>
        <v>1.552</v>
      </c>
      <c r="P21">
        <f>((1.55*10^4)/1000)*Table5[[#This Row],[Quantity]]</f>
        <v>31</v>
      </c>
      <c r="R21" t="s">
        <v>301</v>
      </c>
      <c r="S21">
        <f>2*(($V$2*Table5[[#This Row],[Part volume m^3]])/$T$3)</f>
        <v>3.4315785129599998</v>
      </c>
      <c r="T21">
        <f>5*(($V$2*Table5[[#This Row],[Part volume m^3]])/$T$3)</f>
        <v>8.5789462824000005</v>
      </c>
      <c r="W21">
        <f>180*((Table5[[#This Row],[Total volume (m^3)]])/($D$30))*20</f>
        <v>6.5991894480000007E-2</v>
      </c>
    </row>
    <row r="22" spans="2:23" x14ac:dyDescent="0.3">
      <c r="B22">
        <v>18</v>
      </c>
      <c r="C22" t="s">
        <v>320</v>
      </c>
      <c r="D22">
        <v>3832893</v>
      </c>
      <c r="E22">
        <f>Table5[[#This Row],[Part volume (mm^3)]]/(1000^3)</f>
        <v>3.832893E-3</v>
      </c>
      <c r="F22">
        <v>1</v>
      </c>
      <c r="G22">
        <f>Table5[[#This Row],[Part volume m^3]]*Table5[[#This Row],[Quantity]]</f>
        <v>3.832893E-3</v>
      </c>
      <c r="H22" t="s">
        <v>298</v>
      </c>
      <c r="I22">
        <f t="shared" si="0"/>
        <v>145664</v>
      </c>
      <c r="J22">
        <f>Table5[[#This Row],[Material Cost per m^3]]*Table5[[#This Row],[Total volume (m^3)]]</f>
        <v>558.31452595199994</v>
      </c>
      <c r="L22" t="s">
        <v>299</v>
      </c>
      <c r="M22" t="s">
        <v>300</v>
      </c>
      <c r="N22">
        <v>2500000</v>
      </c>
      <c r="O22">
        <f>(776/60000)*Table5[[#This Row],[Quantity]]</f>
        <v>1.2933333333333333E-2</v>
      </c>
      <c r="P22">
        <f>(3100/60000)*Table5[[#This Row],[Quantity]]</f>
        <v>5.1666666666666666E-2</v>
      </c>
      <c r="Q22">
        <f>0.28*1375*Table5[[#This Row],[Part volume m^3]]*Table5[[#This Row],[Quantity]]</f>
        <v>1.4756638050000002</v>
      </c>
      <c r="R22" t="s">
        <v>301</v>
      </c>
      <c r="U22">
        <v>1</v>
      </c>
      <c r="V22">
        <v>5</v>
      </c>
      <c r="W22">
        <f>180*((Table5[[#This Row],[Total volume (m^3)]])/($D$30))*20</f>
        <v>1.3798414800000001</v>
      </c>
    </row>
    <row r="23" spans="2:23" x14ac:dyDescent="0.3">
      <c r="B23">
        <v>19</v>
      </c>
      <c r="C23" t="s">
        <v>321</v>
      </c>
      <c r="D23">
        <v>264273.67800000001</v>
      </c>
      <c r="E23">
        <f>Table5[[#This Row],[Part volume (mm^3)]]/(1000^3)</f>
        <v>2.6427367800000004E-4</v>
      </c>
      <c r="F23">
        <v>1</v>
      </c>
      <c r="G23">
        <f>Table5[[#This Row],[Part volume m^3]]*Table5[[#This Row],[Quantity]]</f>
        <v>2.6427367800000004E-4</v>
      </c>
      <c r="H23" t="s">
        <v>298</v>
      </c>
      <c r="I23">
        <f t="shared" si="0"/>
        <v>145664</v>
      </c>
      <c r="J23">
        <f>Table5[[#This Row],[Material Cost per m^3]]*Table5[[#This Row],[Total volume (m^3)]]</f>
        <v>38.495161032192009</v>
      </c>
      <c r="L23" t="s">
        <v>303</v>
      </c>
      <c r="M23" t="s">
        <v>513</v>
      </c>
      <c r="N23">
        <v>2500000</v>
      </c>
      <c r="O23">
        <f>(776/60000)*Table5[[#This Row],[Quantity]]</f>
        <v>1.2933333333333333E-2</v>
      </c>
      <c r="P23">
        <f>(3100/60000)*Table5[[#This Row],[Quantity]]</f>
        <v>5.1666666666666666E-2</v>
      </c>
      <c r="Q23">
        <f>0.28*1375*Table5[[#This Row],[Part volume m^3]]*Table5[[#This Row],[Quantity]]</f>
        <v>0.10174536603000003</v>
      </c>
      <c r="R23" t="s">
        <v>301</v>
      </c>
      <c r="U23">
        <v>1</v>
      </c>
      <c r="V23">
        <v>5</v>
      </c>
      <c r="W23">
        <f>180*((Table5[[#This Row],[Total volume (m^3)]])/($D$30))*20</f>
        <v>9.5138524080000009E-2</v>
      </c>
    </row>
    <row r="24" spans="2:23" x14ac:dyDescent="0.3">
      <c r="B24">
        <v>20</v>
      </c>
      <c r="C24" t="s">
        <v>322</v>
      </c>
      <c r="D24">
        <v>407865.75300000003</v>
      </c>
      <c r="E24">
        <f>Table5[[#This Row],[Part volume (mm^3)]]/(1000^3)</f>
        <v>4.0786575300000001E-4</v>
      </c>
      <c r="F24">
        <v>1</v>
      </c>
      <c r="G24">
        <f>Table5[[#This Row],[Part volume m^3]]*Table5[[#This Row],[Quantity]]</f>
        <v>4.0786575300000001E-4</v>
      </c>
      <c r="H24" t="s">
        <v>298</v>
      </c>
      <c r="I24">
        <f t="shared" si="0"/>
        <v>145664</v>
      </c>
      <c r="J24">
        <f>Table5[[#This Row],[Material Cost per m^3]]*Table5[[#This Row],[Total volume (m^3)]]</f>
        <v>59.411357044992002</v>
      </c>
      <c r="L24" t="s">
        <v>299</v>
      </c>
      <c r="M24" t="s">
        <v>300</v>
      </c>
      <c r="O24">
        <f>(776/60000)*Table5[[#This Row],[Quantity]]</f>
        <v>1.2933333333333333E-2</v>
      </c>
      <c r="P24">
        <f>(3100/60000)*Table5[[#This Row],[Quantity]]</f>
        <v>5.1666666666666666E-2</v>
      </c>
      <c r="Q24">
        <f>0.28*1375*Table5[[#This Row],[Part volume m^3]]*Table5[[#This Row],[Quantity]]</f>
        <v>0.15702831490500002</v>
      </c>
      <c r="R24" t="s">
        <v>301</v>
      </c>
      <c r="U24">
        <v>1</v>
      </c>
      <c r="V24">
        <v>5</v>
      </c>
      <c r="W24">
        <f>180*((Table5[[#This Row],[Total volume (m^3)]])/($D$30))*20</f>
        <v>0.14683167108</v>
      </c>
    </row>
    <row r="25" spans="2:23" x14ac:dyDescent="0.3">
      <c r="B25">
        <v>21</v>
      </c>
      <c r="C25" t="s">
        <v>323</v>
      </c>
      <c r="D25">
        <v>407865.75300000003</v>
      </c>
      <c r="E25">
        <f>Table5[[#This Row],[Part volume (mm^3)]]/(1000^3)</f>
        <v>4.0786575300000001E-4</v>
      </c>
      <c r="F25">
        <v>1</v>
      </c>
      <c r="G25">
        <f>Table5[[#This Row],[Part volume m^3]]*Table5[[#This Row],[Quantity]]</f>
        <v>4.0786575300000001E-4</v>
      </c>
      <c r="H25" t="s">
        <v>298</v>
      </c>
      <c r="I25">
        <f t="shared" si="0"/>
        <v>145664</v>
      </c>
      <c r="J25">
        <f>Table5[[#This Row],[Material Cost per m^3]]*Table5[[#This Row],[Total volume (m^3)]]</f>
        <v>59.411357044992002</v>
      </c>
      <c r="L25" t="s">
        <v>299</v>
      </c>
      <c r="M25" t="s">
        <v>300</v>
      </c>
      <c r="O25">
        <f>(776/60000)*Table5[[#This Row],[Quantity]]</f>
        <v>1.2933333333333333E-2</v>
      </c>
      <c r="P25">
        <f>(3100/60000)*Table5[[#This Row],[Quantity]]</f>
        <v>5.1666666666666666E-2</v>
      </c>
      <c r="Q25">
        <f>0.28*1375*Table5[[#This Row],[Part volume m^3]]*Table5[[#This Row],[Quantity]]</f>
        <v>0.15702831490500002</v>
      </c>
      <c r="R25" t="s">
        <v>301</v>
      </c>
      <c r="U25">
        <v>1</v>
      </c>
      <c r="V25">
        <v>5</v>
      </c>
      <c r="W25">
        <f>180*((Table5[[#This Row],[Total volume (m^3)]])/($D$30))*20</f>
        <v>0.14683167108</v>
      </c>
    </row>
    <row r="26" spans="2:23" x14ac:dyDescent="0.3">
      <c r="G26">
        <f>Table5[[#This Row],[Part volume m^3]]*Table5[[#This Row],[Quantity]]</f>
        <v>0</v>
      </c>
      <c r="J26">
        <f>Table5[[#This Row],[Material Cost per m^3]]*Table5[[#This Row],[Total volume (m^3)]]</f>
        <v>0</v>
      </c>
      <c r="Q26">
        <f>0.28*1375*Table5[[#This Row],[Part volume m^3]]*Table5[[#This Row],[Quantity]]</f>
        <v>0</v>
      </c>
      <c r="W26">
        <f>180*((Table5[[#This Row],[Total volume (m^3)]])/($D$30))*20</f>
        <v>0</v>
      </c>
    </row>
    <row r="27" spans="2:23" x14ac:dyDescent="0.3">
      <c r="G27">
        <f>Table5[[#This Row],[Part volume m^3]]*Table5[[#This Row],[Quantity]]</f>
        <v>0</v>
      </c>
      <c r="J27">
        <f>Table5[[#This Row],[Material Cost per m^3]]*Table5[[#This Row],[Total volume (m^3)]]</f>
        <v>0</v>
      </c>
      <c r="Q27">
        <f>0.28*1375*Table5[[#This Row],[Part volume m^3]]*Table5[[#This Row],[Quantity]]</f>
        <v>0</v>
      </c>
      <c r="W27">
        <f>180*((Table5[[#This Row],[Total volume (m^3)]])/($D$30))*20</f>
        <v>0</v>
      </c>
    </row>
    <row r="28" spans="2:23" x14ac:dyDescent="0.3">
      <c r="G28">
        <f>SUM(G6,G8,G9,G10,G13,G14,G16,G17,G20,G23)</f>
        <v>3.1802233349999998E-3</v>
      </c>
    </row>
    <row r="29" spans="2:23" ht="17.399999999999999" x14ac:dyDescent="0.35">
      <c r="B29" s="181" t="s">
        <v>324</v>
      </c>
      <c r="C29" s="181"/>
      <c r="D29" s="181"/>
      <c r="E29" s="181"/>
      <c r="F29" s="181"/>
      <c r="G29" s="181"/>
      <c r="H29" s="181"/>
      <c r="I29" s="181"/>
    </row>
    <row r="30" spans="2:23" x14ac:dyDescent="0.3">
      <c r="B30" s="2" t="s">
        <v>325</v>
      </c>
      <c r="D30">
        <v>10</v>
      </c>
      <c r="E30" t="s">
        <v>326</v>
      </c>
    </row>
    <row r="33" spans="2:23" x14ac:dyDescent="0.3">
      <c r="B33" s="52" t="s">
        <v>277</v>
      </c>
      <c r="C33" s="52" t="s">
        <v>259</v>
      </c>
      <c r="D33" s="52" t="s">
        <v>327</v>
      </c>
      <c r="E33" s="52" t="s">
        <v>280</v>
      </c>
      <c r="F33" s="52" t="s">
        <v>281</v>
      </c>
      <c r="G33" s="52" t="s">
        <v>210</v>
      </c>
      <c r="H33" s="52" t="s">
        <v>282</v>
      </c>
      <c r="I33" s="52" t="s">
        <v>283</v>
      </c>
      <c r="J33" s="52" t="s">
        <v>284</v>
      </c>
      <c r="K33" s="52" t="s">
        <v>285</v>
      </c>
      <c r="L33" s="52" t="s">
        <v>286</v>
      </c>
      <c r="M33" s="52" t="s">
        <v>520</v>
      </c>
      <c r="N33" s="52" t="s">
        <v>521</v>
      </c>
      <c r="O33" s="52" t="s">
        <v>288</v>
      </c>
      <c r="P33" s="52" t="s">
        <v>289</v>
      </c>
      <c r="Q33" s="52" t="s">
        <v>290</v>
      </c>
      <c r="R33" s="52" t="s">
        <v>291</v>
      </c>
      <c r="S33" s="52" t="s">
        <v>292</v>
      </c>
      <c r="T33" s="52" t="s">
        <v>293</v>
      </c>
      <c r="U33" s="52" t="s">
        <v>294</v>
      </c>
      <c r="V33" s="52" t="s">
        <v>295</v>
      </c>
      <c r="W33" s="52" t="s">
        <v>296</v>
      </c>
    </row>
    <row r="34" spans="2:23" x14ac:dyDescent="0.3">
      <c r="B34">
        <v>2.1</v>
      </c>
      <c r="C34" t="s">
        <v>328</v>
      </c>
      <c r="D34">
        <f t="shared" ref="D34" si="1">178971.069*0.000000001</f>
        <v>1.7897106899999999E-4</v>
      </c>
      <c r="E34">
        <v>2</v>
      </c>
      <c r="F34">
        <f>Table57[[#This Row],[Part volume (m^3)]]*Table57[[#This Row],[Quantity]]</f>
        <v>3.5794213799999997E-4</v>
      </c>
      <c r="G34" t="s">
        <v>213</v>
      </c>
      <c r="H34">
        <f>((0.83*((225000*0.75)+((3930+7290)/2)))+(0.17*((4890+6230)/2)))</f>
        <v>145664</v>
      </c>
      <c r="I34">
        <f>Table57[[#This Row],[Material Cost per m^3]]*Table57[[#This Row],[Total volume (m^3)]]</f>
        <v>52.139283589631994</v>
      </c>
      <c r="J34">
        <f>4.64*1325*Table57[[#This Row],[Total volume (m^3)]]</f>
        <v>2.2006282644239996</v>
      </c>
      <c r="K34" t="s">
        <v>329</v>
      </c>
      <c r="L34" s="31" t="s">
        <v>330</v>
      </c>
      <c r="M34" s="31">
        <v>250000</v>
      </c>
      <c r="N34">
        <v>50000</v>
      </c>
      <c r="O34">
        <f>(776/60000)*Table57[[#This Row],[Quantity]]</f>
        <v>2.5866666666666666E-2</v>
      </c>
      <c r="P34">
        <f>(3100/60000)*Table57[[#This Row],[Quantity]]</f>
        <v>0.10333333333333333</v>
      </c>
      <c r="Q34">
        <f>0.28*1325*Table57[[#This Row],[Total volume (m^3)]]</f>
        <v>0.132796533198</v>
      </c>
      <c r="R34" t="s">
        <v>301</v>
      </c>
      <c r="S34">
        <f>30-Table57[[#This Row],[Press time per unit (mins) - lower]]-Table57[[#This Row],[Oven adjusted time per unit (mins)]]</f>
        <v>28.957046943440002</v>
      </c>
      <c r="T34">
        <f>60-Table57[[#This Row],[Press time per unit (mins) - upper]]-Table57[[#This Row],[Oven adjusted time per unit (mins)]]</f>
        <v>54.957046943439998</v>
      </c>
      <c r="U34">
        <v>1</v>
      </c>
      <c r="V34">
        <v>5</v>
      </c>
      <c r="W34">
        <f>60*(Table57[[#This Row],[Total volume (m^3)]]/$D$30)*20</f>
        <v>4.2953056560000001E-2</v>
      </c>
    </row>
    <row r="35" spans="2:23" x14ac:dyDescent="0.3">
      <c r="B35">
        <v>2.2000000000000002</v>
      </c>
      <c r="C35" t="s">
        <v>331</v>
      </c>
      <c r="D35">
        <f>22371.421*0.000000001</f>
        <v>2.2371421000000001E-5</v>
      </c>
      <c r="E35">
        <v>1</v>
      </c>
      <c r="F35">
        <f>Table57[[#This Row],[Part volume (m^3)]]*Table57[[#This Row],[Quantity]]</f>
        <v>2.2371421000000001E-5</v>
      </c>
      <c r="G35" t="s">
        <v>213</v>
      </c>
      <c r="H35">
        <f t="shared" ref="H35:H44" si="2">((0.83*((225000*0.75)+((3930+7290)/2)))+(0.17*((4890+6230)/2)))</f>
        <v>145664</v>
      </c>
      <c r="I35">
        <f>Table57[[#This Row],[Material Cost per m^3]]*Table57[[#This Row],[Total volume (m^3)]]</f>
        <v>3.2587106685440004</v>
      </c>
      <c r="J35">
        <f>4.64*1325*Table57[[#This Row],[Total volume (m^3)]]</f>
        <v>0.137539496308</v>
      </c>
      <c r="K35" t="s">
        <v>329</v>
      </c>
      <c r="L35" s="31" t="s">
        <v>330</v>
      </c>
      <c r="M35" s="31">
        <v>250000</v>
      </c>
      <c r="N35">
        <v>50000</v>
      </c>
      <c r="O35">
        <f>(776/60000)*Table57[[#This Row],[Quantity]]</f>
        <v>1.2933333333333333E-2</v>
      </c>
      <c r="P35">
        <f>(3100/60000)*Table57[[#This Row],[Quantity]]</f>
        <v>5.1666666666666666E-2</v>
      </c>
      <c r="Q35">
        <f>0.28*1325*Table57[[#This Row],[Total volume (m^3)]]</f>
        <v>8.2997971910000017E-3</v>
      </c>
      <c r="R35" t="s">
        <v>301</v>
      </c>
      <c r="S35">
        <f>30-Table57[[#This Row],[Press time per unit (mins) - lower]]-Table57[[#This Row],[Oven adjusted time per unit (mins)]]</f>
        <v>28.99731542948</v>
      </c>
      <c r="T35">
        <f>60-Table57[[#This Row],[Press time per unit (mins) - upper]]-Table57[[#This Row],[Oven adjusted time per unit (mins)]]</f>
        <v>54.997315429479997</v>
      </c>
      <c r="U35">
        <v>1</v>
      </c>
      <c r="V35">
        <v>5</v>
      </c>
      <c r="W35">
        <f>60*(Table57[[#This Row],[Total volume (m^3)]]/$D$30)*20</f>
        <v>2.6845705199999999E-3</v>
      </c>
    </row>
    <row r="36" spans="2:23" x14ac:dyDescent="0.3">
      <c r="B36">
        <v>2.2999999999999998</v>
      </c>
      <c r="C36" t="s">
        <v>332</v>
      </c>
      <c r="D36">
        <f>37290.317*0.000000001</f>
        <v>3.7290317000000004E-5</v>
      </c>
      <c r="E36">
        <v>1</v>
      </c>
      <c r="F36">
        <f>Table57[[#This Row],[Part volume (m^3)]]*Table57[[#This Row],[Quantity]]</f>
        <v>3.7290317000000004E-5</v>
      </c>
      <c r="G36" t="s">
        <v>213</v>
      </c>
      <c r="H36">
        <f t="shared" si="2"/>
        <v>145664</v>
      </c>
      <c r="I36">
        <f>Table57[[#This Row],[Material Cost per m^3]]*Table57[[#This Row],[Total volume (m^3)]]</f>
        <v>5.431856735488001</v>
      </c>
      <c r="J36">
        <f>4.64*1325*Table57[[#This Row],[Total volume (m^3)]]</f>
        <v>0.22926086891600003</v>
      </c>
      <c r="K36" t="s">
        <v>329</v>
      </c>
      <c r="L36" s="31" t="s">
        <v>330</v>
      </c>
      <c r="M36" s="31">
        <v>250000</v>
      </c>
      <c r="N36">
        <v>50000</v>
      </c>
      <c r="O36">
        <f>(776/60000)*Table57[[#This Row],[Quantity]]</f>
        <v>1.2933333333333333E-2</v>
      </c>
      <c r="P36">
        <f>(3100/60000)*Table57[[#This Row],[Quantity]]</f>
        <v>5.1666666666666666E-2</v>
      </c>
      <c r="Q36">
        <f>0.28*1325*Table57[[#This Row],[Total volume (m^3)]]</f>
        <v>1.3834707607000004E-2</v>
      </c>
      <c r="R36" t="s">
        <v>301</v>
      </c>
      <c r="S36">
        <f>30-Table57[[#This Row],[Press time per unit (mins) - lower]]-Table57[[#This Row],[Oven adjusted time per unit (mins)]]</f>
        <v>28.99552516196</v>
      </c>
      <c r="T36">
        <f>60-Table57[[#This Row],[Press time per unit (mins) - upper]]-Table57[[#This Row],[Oven adjusted time per unit (mins)]]</f>
        <v>54.995525161960003</v>
      </c>
      <c r="U36">
        <v>1</v>
      </c>
      <c r="V36">
        <v>5</v>
      </c>
      <c r="W36">
        <f>60*(Table57[[#This Row],[Total volume (m^3)]]/$D$30)*20</f>
        <v>4.4748380400000008E-3</v>
      </c>
    </row>
    <row r="37" spans="2:23" x14ac:dyDescent="0.3">
      <c r="B37">
        <v>2.4</v>
      </c>
      <c r="C37" t="s">
        <v>333</v>
      </c>
      <c r="D37">
        <f>1674.967*0.000000001</f>
        <v>1.6749670000000002E-6</v>
      </c>
      <c r="E37">
        <v>1</v>
      </c>
      <c r="F37">
        <f>Table57[[#This Row],[Part volume (m^3)]]*Table57[[#This Row],[Quantity]]</f>
        <v>1.6749670000000002E-6</v>
      </c>
      <c r="G37" t="s">
        <v>213</v>
      </c>
      <c r="H37">
        <f t="shared" si="2"/>
        <v>145664</v>
      </c>
      <c r="I37">
        <f>Table57[[#This Row],[Material Cost per m^3]]*Table57[[#This Row],[Total volume (m^3)]]</f>
        <v>0.24398239308800004</v>
      </c>
      <c r="J37">
        <f>4.64*1325*Table57[[#This Row],[Total volume (m^3)]]</f>
        <v>1.0297697116000001E-2</v>
      </c>
      <c r="K37" t="s">
        <v>329</v>
      </c>
      <c r="L37" s="31" t="s">
        <v>330</v>
      </c>
      <c r="M37" s="31">
        <v>250000</v>
      </c>
      <c r="N37">
        <v>50000</v>
      </c>
      <c r="O37">
        <f>(776/60000)*Table57[[#This Row],[Quantity]]</f>
        <v>1.2933333333333333E-2</v>
      </c>
      <c r="P37">
        <f>(3100/60000)*Table57[[#This Row],[Quantity]]</f>
        <v>5.1666666666666666E-2</v>
      </c>
      <c r="Q37">
        <f>0.28*1325*Table57[[#This Row],[Total volume (m^3)]]</f>
        <v>6.2141275700000013E-4</v>
      </c>
      <c r="R37" t="s">
        <v>301</v>
      </c>
      <c r="S37">
        <f>30-Table57[[#This Row],[Press time per unit (mins) - lower]]-Table57[[#This Row],[Oven adjusted time per unit (mins)]]</f>
        <v>28.99979900396</v>
      </c>
      <c r="T37">
        <f>60-Table57[[#This Row],[Press time per unit (mins) - upper]]-Table57[[#This Row],[Oven adjusted time per unit (mins)]]</f>
        <v>54.99979900396</v>
      </c>
      <c r="U37">
        <v>1</v>
      </c>
      <c r="V37">
        <v>5</v>
      </c>
      <c r="W37">
        <f>60*(Table57[[#This Row],[Total volume (m^3)]]/$D$30)*20</f>
        <v>2.0099604000000006E-4</v>
      </c>
    </row>
    <row r="38" spans="2:23" x14ac:dyDescent="0.3">
      <c r="B38">
        <v>2.5</v>
      </c>
      <c r="C38" t="s">
        <v>334</v>
      </c>
      <c r="D38">
        <f>2137.158*0.000000001</f>
        <v>2.1371580000000002E-6</v>
      </c>
      <c r="E38">
        <v>1</v>
      </c>
      <c r="F38">
        <f>Table57[[#This Row],[Part volume (m^3)]]*Table57[[#This Row],[Quantity]]</f>
        <v>2.1371580000000002E-6</v>
      </c>
      <c r="G38" t="s">
        <v>213</v>
      </c>
      <c r="H38">
        <f t="shared" si="2"/>
        <v>145664</v>
      </c>
      <c r="I38">
        <f>Table57[[#This Row],[Material Cost per m^3]]*Table57[[#This Row],[Total volume (m^3)]]</f>
        <v>0.31130698291200004</v>
      </c>
      <c r="J38">
        <f>4.64*1325*Table57[[#This Row],[Total volume (m^3)]]</f>
        <v>1.3139247384000002E-2</v>
      </c>
      <c r="K38" t="s">
        <v>329</v>
      </c>
      <c r="L38" s="31" t="s">
        <v>330</v>
      </c>
      <c r="M38" s="31">
        <v>250000</v>
      </c>
      <c r="N38">
        <v>50000</v>
      </c>
      <c r="O38">
        <f>(776/60000)*Table57[[#This Row],[Quantity]]</f>
        <v>1.2933333333333333E-2</v>
      </c>
      <c r="P38">
        <f>(3100/60000)*Table57[[#This Row],[Quantity]]</f>
        <v>5.1666666666666666E-2</v>
      </c>
      <c r="Q38">
        <f>0.28*1325*Table57[[#This Row],[Total volume (m^3)]]</f>
        <v>7.9288561800000014E-4</v>
      </c>
      <c r="R38" t="s">
        <v>301</v>
      </c>
      <c r="S38">
        <f>30-Table57[[#This Row],[Press time per unit (mins) - lower]]-Table57[[#This Row],[Oven adjusted time per unit (mins)]]</f>
        <v>28.999743541040001</v>
      </c>
      <c r="T38">
        <f>60-Table57[[#This Row],[Press time per unit (mins) - upper]]-Table57[[#This Row],[Oven adjusted time per unit (mins)]]</f>
        <v>54.999743541039997</v>
      </c>
      <c r="U38">
        <v>1</v>
      </c>
      <c r="V38">
        <v>5</v>
      </c>
      <c r="W38">
        <f>60*(Table57[[#This Row],[Total volume (m^3)]]/$D$30)*20</f>
        <v>2.5645896000000006E-4</v>
      </c>
    </row>
    <row r="39" spans="2:23" x14ac:dyDescent="0.3">
      <c r="B39">
        <v>2.6</v>
      </c>
      <c r="C39" t="s">
        <v>335</v>
      </c>
      <c r="D39">
        <f>30606.443*0.000000001</f>
        <v>3.0606443000000003E-5</v>
      </c>
      <c r="E39">
        <v>1</v>
      </c>
      <c r="F39">
        <f>Table57[[#This Row],[Part volume (m^3)]]*Table57[[#This Row],[Quantity]]</f>
        <v>3.0606443000000003E-5</v>
      </c>
      <c r="G39" t="s">
        <v>213</v>
      </c>
      <c r="H39">
        <f t="shared" si="2"/>
        <v>145664</v>
      </c>
      <c r="I39">
        <f>Table57[[#This Row],[Material Cost per m^3]]*Table57[[#This Row],[Total volume (m^3)]]</f>
        <v>4.4582569131520007</v>
      </c>
      <c r="J39">
        <f>4.64*1325*Table57[[#This Row],[Total volume (m^3)]]</f>
        <v>0.18816841156400002</v>
      </c>
      <c r="K39" t="s">
        <v>329</v>
      </c>
      <c r="L39" s="31" t="s">
        <v>330</v>
      </c>
      <c r="M39" s="31">
        <v>250000</v>
      </c>
      <c r="N39">
        <v>50000</v>
      </c>
      <c r="O39">
        <f>(776/60000)*Table57[[#This Row],[Quantity]]</f>
        <v>1.2933333333333333E-2</v>
      </c>
      <c r="P39">
        <f>(3100/60000)*Table57[[#This Row],[Quantity]]</f>
        <v>5.1666666666666666E-2</v>
      </c>
      <c r="Q39">
        <f>0.28*1325*Table57[[#This Row],[Total volume (m^3)]]</f>
        <v>1.1354990353000003E-2</v>
      </c>
      <c r="R39" t="s">
        <v>301</v>
      </c>
      <c r="S39">
        <f>30-Table57[[#This Row],[Press time per unit (mins) - lower]]-Table57[[#This Row],[Oven adjusted time per unit (mins)]]</f>
        <v>28.996327226839998</v>
      </c>
      <c r="T39">
        <f>60-Table57[[#This Row],[Press time per unit (mins) - upper]]-Table57[[#This Row],[Oven adjusted time per unit (mins)]]</f>
        <v>54.996327226840002</v>
      </c>
      <c r="U39">
        <v>1</v>
      </c>
      <c r="V39">
        <v>5</v>
      </c>
      <c r="W39">
        <f>60*(Table57[[#This Row],[Total volume (m^3)]]/$D$30)*20</f>
        <v>3.6727731600000005E-3</v>
      </c>
    </row>
    <row r="40" spans="2:23" x14ac:dyDescent="0.3">
      <c r="B40">
        <v>2.7</v>
      </c>
      <c r="C40" t="s">
        <v>336</v>
      </c>
      <c r="D40">
        <f>89638.539*0.000000001</f>
        <v>8.9638539000000013E-5</v>
      </c>
      <c r="E40">
        <v>4</v>
      </c>
      <c r="F40">
        <f>Table57[[#This Row],[Part volume (m^3)]]*Table57[[#This Row],[Quantity]]</f>
        <v>3.5855415600000005E-4</v>
      </c>
      <c r="G40" t="s">
        <v>213</v>
      </c>
      <c r="H40">
        <f t="shared" si="2"/>
        <v>145664</v>
      </c>
      <c r="I40">
        <f>Table57[[#This Row],[Material Cost per m^3]]*Table57[[#This Row],[Total volume (m^3)]]</f>
        <v>52.228432579584009</v>
      </c>
      <c r="J40">
        <f>4.64*1325*Table57[[#This Row],[Total volume (m^3)]]</f>
        <v>2.2043909510880004</v>
      </c>
      <c r="K40" t="s">
        <v>329</v>
      </c>
      <c r="L40" s="31" t="s">
        <v>330</v>
      </c>
      <c r="M40" s="31">
        <v>250000</v>
      </c>
      <c r="N40">
        <v>50000</v>
      </c>
      <c r="O40">
        <f>(776/60000)*Table57[[#This Row],[Quantity]]</f>
        <v>5.1733333333333333E-2</v>
      </c>
      <c r="P40">
        <f>(3100/60000)*Table57[[#This Row],[Quantity]]</f>
        <v>0.20666666666666667</v>
      </c>
      <c r="Q40">
        <f>0.28*1325*Table57[[#This Row],[Total volume (m^3)]]</f>
        <v>0.13302359187600005</v>
      </c>
      <c r="R40" t="s">
        <v>301</v>
      </c>
      <c r="S40">
        <f>30-Table57[[#This Row],[Press time per unit (mins) - lower]]-Table57[[#This Row],[Oven adjusted time per unit (mins)]]</f>
        <v>28.95697350128</v>
      </c>
      <c r="T40">
        <f>60-Table57[[#This Row],[Press time per unit (mins) - upper]]-Table57[[#This Row],[Oven adjusted time per unit (mins)]]</f>
        <v>54.956973501279997</v>
      </c>
      <c r="U40">
        <v>1</v>
      </c>
      <c r="V40">
        <v>5</v>
      </c>
      <c r="W40">
        <f>60*(Table57[[#This Row],[Total volume (m^3)]]/$D$30)*20</f>
        <v>4.302649872E-2</v>
      </c>
    </row>
    <row r="41" spans="2:23" x14ac:dyDescent="0.3">
      <c r="B41">
        <v>2.8</v>
      </c>
      <c r="C41" t="s">
        <v>337</v>
      </c>
      <c r="D41">
        <f>2513.428*0.000000001</f>
        <v>2.5134279999999999E-6</v>
      </c>
      <c r="E41">
        <v>2</v>
      </c>
      <c r="F41">
        <f>Table57[[#This Row],[Part volume (m^3)]]*Table57[[#This Row],[Quantity]]</f>
        <v>5.0268559999999997E-6</v>
      </c>
      <c r="G41" t="s">
        <v>213</v>
      </c>
      <c r="H41">
        <f t="shared" si="2"/>
        <v>145664</v>
      </c>
      <c r="I41">
        <f>Table57[[#This Row],[Material Cost per m^3]]*Table57[[#This Row],[Total volume (m^3)]]</f>
        <v>0.73223195238399996</v>
      </c>
      <c r="J41">
        <f>4.64*1325*Table57[[#This Row],[Total volume (m^3)]]</f>
        <v>3.0905110687999997E-2</v>
      </c>
      <c r="K41" t="s">
        <v>329</v>
      </c>
      <c r="L41" s="31" t="s">
        <v>330</v>
      </c>
      <c r="M41" s="31">
        <v>250000</v>
      </c>
      <c r="N41">
        <v>50000</v>
      </c>
      <c r="O41">
        <f>(776/60000)*Table57[[#This Row],[Quantity]]</f>
        <v>2.5866666666666666E-2</v>
      </c>
      <c r="P41">
        <f>(3100/60000)*Table57[[#This Row],[Quantity]]</f>
        <v>0.10333333333333333</v>
      </c>
      <c r="Q41">
        <f>0.28*1325*Table57[[#This Row],[Total volume (m^3)]]</f>
        <v>1.8649635760000002E-3</v>
      </c>
      <c r="R41" t="s">
        <v>301</v>
      </c>
      <c r="S41">
        <f>30-Table57[[#This Row],[Press time per unit (mins) - lower]]-Table57[[#This Row],[Oven adjusted time per unit (mins)]]</f>
        <v>28.999396777280001</v>
      </c>
      <c r="T41">
        <f>60-Table57[[#This Row],[Press time per unit (mins) - upper]]-Table57[[#This Row],[Oven adjusted time per unit (mins)]]</f>
        <v>54.999396777279998</v>
      </c>
      <c r="U41">
        <v>1</v>
      </c>
      <c r="V41">
        <v>5</v>
      </c>
      <c r="W41">
        <f>60*(Table57[[#This Row],[Total volume (m^3)]]/$D$30)*20</f>
        <v>6.0322271999999999E-4</v>
      </c>
    </row>
    <row r="42" spans="2:23" x14ac:dyDescent="0.3">
      <c r="B42">
        <v>2.9</v>
      </c>
      <c r="C42" t="s">
        <v>338</v>
      </c>
      <c r="D42">
        <f>28877.566*0.000000001</f>
        <v>2.8877566E-5</v>
      </c>
      <c r="E42">
        <v>2</v>
      </c>
      <c r="F42">
        <f>Table57[[#This Row],[Part volume (m^3)]]*Table57[[#This Row],[Quantity]]</f>
        <v>5.7755132E-5</v>
      </c>
      <c r="G42" t="s">
        <v>213</v>
      </c>
      <c r="H42">
        <f t="shared" si="2"/>
        <v>145664</v>
      </c>
      <c r="I42">
        <f>Table57[[#This Row],[Material Cost per m^3]]*Table57[[#This Row],[Total volume (m^3)]]</f>
        <v>8.4128435476480004</v>
      </c>
      <c r="J42">
        <f>4.64*1325*Table57[[#This Row],[Total volume (m^3)]]</f>
        <v>0.35507855153599999</v>
      </c>
      <c r="K42" t="s">
        <v>329</v>
      </c>
      <c r="L42" s="31" t="s">
        <v>330</v>
      </c>
      <c r="M42" s="31">
        <v>250000</v>
      </c>
      <c r="N42">
        <v>50000</v>
      </c>
      <c r="O42">
        <f>(776/60000)*Table57[[#This Row],[Quantity]]</f>
        <v>2.5866666666666666E-2</v>
      </c>
      <c r="P42">
        <f>(3100/60000)*Table57[[#This Row],[Quantity]]</f>
        <v>0.10333333333333333</v>
      </c>
      <c r="Q42">
        <f>0.28*1325*Table57[[#This Row],[Total volume (m^3)]]</f>
        <v>2.1427153972000002E-2</v>
      </c>
      <c r="R42" t="s">
        <v>301</v>
      </c>
      <c r="S42">
        <f>30-Table57[[#This Row],[Press time per unit (mins) - lower]]-Table57[[#This Row],[Oven adjusted time per unit (mins)]]</f>
        <v>28.993069384159998</v>
      </c>
      <c r="T42">
        <f>60-Table57[[#This Row],[Press time per unit (mins) - upper]]-Table57[[#This Row],[Oven adjusted time per unit (mins)]]</f>
        <v>54.993069384160002</v>
      </c>
      <c r="U42">
        <v>1</v>
      </c>
      <c r="V42">
        <v>5</v>
      </c>
      <c r="W42">
        <f>60*(Table57[[#This Row],[Total volume (m^3)]]/$D$30)*20</f>
        <v>6.9306158399999995E-3</v>
      </c>
    </row>
    <row r="43" spans="2:23" x14ac:dyDescent="0.3">
      <c r="B43" s="30">
        <v>2.1</v>
      </c>
      <c r="C43" t="s">
        <v>339</v>
      </c>
      <c r="D43">
        <f>10109.259*0.000000001</f>
        <v>1.0109259000000001E-5</v>
      </c>
      <c r="E43">
        <v>2</v>
      </c>
      <c r="F43">
        <f>Table57[[#This Row],[Part volume (m^3)]]*Table57[[#This Row],[Quantity]]</f>
        <v>2.0218518000000002E-5</v>
      </c>
      <c r="G43" t="s">
        <v>213</v>
      </c>
      <c r="H43">
        <f t="shared" si="2"/>
        <v>145664</v>
      </c>
      <c r="I43">
        <f>Table57[[#This Row],[Material Cost per m^3]]*Table57[[#This Row],[Total volume (m^3)]]</f>
        <v>2.9451102059520005</v>
      </c>
      <c r="J43">
        <f>4.64*1325*Table57[[#This Row],[Total volume (m^3)]]</f>
        <v>0.12430344866400002</v>
      </c>
      <c r="K43" t="s">
        <v>329</v>
      </c>
      <c r="L43" s="31" t="s">
        <v>330</v>
      </c>
      <c r="M43" s="31">
        <v>250000</v>
      </c>
      <c r="N43">
        <v>50000</v>
      </c>
      <c r="O43">
        <f>(776/60000)*Table57[[#This Row],[Quantity]]</f>
        <v>2.5866666666666666E-2</v>
      </c>
      <c r="P43">
        <f>(3100/60000)*Table57[[#This Row],[Quantity]]</f>
        <v>0.10333333333333333</v>
      </c>
      <c r="Q43">
        <f>0.28*1325*Table57[[#This Row],[Total volume (m^3)]]</f>
        <v>7.5010701780000022E-3</v>
      </c>
      <c r="R43" t="s">
        <v>301</v>
      </c>
      <c r="S43">
        <f>30-Table57[[#This Row],[Press time per unit (mins) - lower]]-Table57[[#This Row],[Oven adjusted time per unit (mins)]]</f>
        <v>28.99757377784</v>
      </c>
      <c r="T43">
        <f>60-Table57[[#This Row],[Press time per unit (mins) - upper]]-Table57[[#This Row],[Oven adjusted time per unit (mins)]]</f>
        <v>54.997573777840003</v>
      </c>
      <c r="U43">
        <v>1</v>
      </c>
      <c r="V43">
        <v>5</v>
      </c>
      <c r="W43">
        <f>60*(Table57[[#This Row],[Total volume (m^3)]]/$D$30)*20</f>
        <v>2.4262221600000002E-3</v>
      </c>
    </row>
    <row r="44" spans="2:23" x14ac:dyDescent="0.3">
      <c r="B44">
        <v>2.11</v>
      </c>
      <c r="C44" t="s">
        <v>340</v>
      </c>
      <c r="D44">
        <f>3538.199*0.000000001</f>
        <v>3.5381990000000005E-6</v>
      </c>
      <c r="E44">
        <v>2</v>
      </c>
      <c r="F44">
        <f>Table57[[#This Row],[Part volume (m^3)]]*Table57[[#This Row],[Quantity]]</f>
        <v>7.0763980000000009E-6</v>
      </c>
      <c r="G44" t="s">
        <v>213</v>
      </c>
      <c r="H44">
        <f t="shared" si="2"/>
        <v>145664</v>
      </c>
      <c r="I44">
        <f>Table57[[#This Row],[Material Cost per m^3]]*Table57[[#This Row],[Total volume (m^3)]]</f>
        <v>1.0307764382720002</v>
      </c>
      <c r="J44">
        <f>4.64*1325*Table57[[#This Row],[Total volume (m^3)]]</f>
        <v>4.3505694904000004E-2</v>
      </c>
      <c r="K44" t="s">
        <v>329</v>
      </c>
      <c r="L44" s="31" t="s">
        <v>330</v>
      </c>
      <c r="M44" s="31">
        <v>250000</v>
      </c>
      <c r="N44">
        <v>50000</v>
      </c>
      <c r="O44">
        <f>(776/60000)*Table57[[#This Row],[Quantity]]</f>
        <v>2.5866666666666666E-2</v>
      </c>
      <c r="P44">
        <f>(3100/60000)*Table57[[#This Row],[Quantity]]</f>
        <v>0.10333333333333333</v>
      </c>
      <c r="Q44">
        <f>0.28*1325*Table57[[#This Row],[Total volume (m^3)]]</f>
        <v>2.6253436580000009E-3</v>
      </c>
      <c r="R44" t="s">
        <v>301</v>
      </c>
      <c r="S44">
        <f>30-Table57[[#This Row],[Press time per unit (mins) - lower]]-Table57[[#This Row],[Oven adjusted time per unit (mins)]]</f>
        <v>28.999150832240002</v>
      </c>
      <c r="T44">
        <f>60-Table57[[#This Row],[Press time per unit (mins) - upper]]-Table57[[#This Row],[Oven adjusted time per unit (mins)]]</f>
        <v>54.999150832239998</v>
      </c>
      <c r="U44">
        <v>1</v>
      </c>
      <c r="V44">
        <v>5</v>
      </c>
      <c r="W44">
        <f>60*(Table57[[#This Row],[Total volume (m^3)]]/$D$30)*20</f>
        <v>8.4916776000000017E-4</v>
      </c>
    </row>
    <row r="45" spans="2:23" ht="17.399999999999999" x14ac:dyDescent="0.35">
      <c r="B45" s="181" t="s">
        <v>341</v>
      </c>
      <c r="C45" s="181"/>
      <c r="D45" s="181"/>
      <c r="E45" s="181"/>
      <c r="F45" s="181"/>
      <c r="G45" s="181"/>
      <c r="H45" s="181"/>
      <c r="I45" s="181"/>
    </row>
    <row r="46" spans="2:23" x14ac:dyDescent="0.3">
      <c r="B46" t="s">
        <v>277</v>
      </c>
      <c r="C46" t="s">
        <v>259</v>
      </c>
      <c r="D46" t="s">
        <v>327</v>
      </c>
      <c r="E46" t="s">
        <v>280</v>
      </c>
      <c r="F46" t="s">
        <v>281</v>
      </c>
      <c r="G46" t="s">
        <v>210</v>
      </c>
      <c r="H46" t="s">
        <v>282</v>
      </c>
      <c r="I46" t="s">
        <v>283</v>
      </c>
      <c r="J46" t="s">
        <v>284</v>
      </c>
      <c r="K46" t="s">
        <v>285</v>
      </c>
      <c r="L46" t="s">
        <v>286</v>
      </c>
      <c r="M46" t="s">
        <v>520</v>
      </c>
      <c r="N46" t="s">
        <v>521</v>
      </c>
      <c r="O46" t="s">
        <v>288</v>
      </c>
      <c r="P46" t="s">
        <v>289</v>
      </c>
      <c r="Q46" t="s">
        <v>290</v>
      </c>
      <c r="R46" t="s">
        <v>291</v>
      </c>
      <c r="S46" t="s">
        <v>292</v>
      </c>
      <c r="T46" t="s">
        <v>293</v>
      </c>
      <c r="U46" t="s">
        <v>294</v>
      </c>
      <c r="V46" t="s">
        <v>295</v>
      </c>
      <c r="W46" t="s">
        <v>296</v>
      </c>
    </row>
    <row r="47" spans="2:23" x14ac:dyDescent="0.3">
      <c r="B47">
        <v>1.1000000000000001</v>
      </c>
      <c r="C47" t="s">
        <v>342</v>
      </c>
      <c r="D47">
        <f>0.002513425102/2</f>
        <v>1.2567125510000001E-3</v>
      </c>
      <c r="E47">
        <v>4</v>
      </c>
      <c r="F47">
        <f>Table58[[#This Row],[Part volume (m^3)]]*Table58[[#This Row],[Quantity]]</f>
        <v>5.0268502040000003E-3</v>
      </c>
      <c r="G47" t="s">
        <v>214</v>
      </c>
      <c r="H47">
        <v>144500</v>
      </c>
      <c r="I47">
        <f>Table58[[#This Row],[Material Cost per m^3]]*Table58[[#This Row],[Total volume (m^3)]]</f>
        <v>726.37985447800008</v>
      </c>
      <c r="K47" t="s">
        <v>299</v>
      </c>
      <c r="L47" s="31" t="s">
        <v>330</v>
      </c>
      <c r="M47" s="31">
        <v>250000</v>
      </c>
      <c r="N47">
        <v>50000</v>
      </c>
      <c r="O47">
        <f>(776/60000)*Table58[[#This Row],[Quantity]]</f>
        <v>5.1733333333333333E-2</v>
      </c>
      <c r="P47">
        <f>(3100/60000)*Table58[[#This Row],[Quantity]]</f>
        <v>0.20666666666666667</v>
      </c>
      <c r="Q47">
        <f>Table58[[#This Row],[Part volume (m^3)]]*0.28*1560</f>
        <v>0.54893204227680015</v>
      </c>
      <c r="R47" t="s">
        <v>301</v>
      </c>
      <c r="S47">
        <f>30-Table58[[#This Row],[Press time per unit (mins) - lower]]-Table58[[#This Row],[Oven adjusted time per unit (mins)]]</f>
        <v>9.3967779755199992</v>
      </c>
      <c r="T47">
        <f>90-Table58[[#This Row],[Press time per unit (mins) - upper]]-Table58[[#This Row],[Oven adjusted time per unit (mins)]]</f>
        <v>10.396777975519999</v>
      </c>
      <c r="U47">
        <v>20</v>
      </c>
      <c r="V47">
        <v>79</v>
      </c>
      <c r="W47">
        <f>60*(Table58[[#This Row],[Total volume (m^3)]]/$D$30)*20</f>
        <v>0.60322202448000006</v>
      </c>
    </row>
    <row r="48" spans="2:23" x14ac:dyDescent="0.3">
      <c r="B48">
        <v>1.2</v>
      </c>
      <c r="C48" t="s">
        <v>343</v>
      </c>
      <c r="D48">
        <v>2.4844005699999999E-4</v>
      </c>
      <c r="E48">
        <v>2</v>
      </c>
      <c r="F48">
        <f>Table58[[#This Row],[Part volume (m^3)]]*Table58[[#This Row],[Quantity]]</f>
        <v>4.9688011399999998E-4</v>
      </c>
      <c r="G48" t="s">
        <v>214</v>
      </c>
      <c r="H48">
        <v>144500</v>
      </c>
      <c r="I48">
        <f>Table58[[#This Row],[Material Cost per m^3]]*Table58[[#This Row],[Total volume (m^3)]]</f>
        <v>71.799176473000003</v>
      </c>
      <c r="K48" t="s">
        <v>299</v>
      </c>
      <c r="L48" s="31" t="s">
        <v>330</v>
      </c>
      <c r="M48" s="31">
        <v>250000</v>
      </c>
      <c r="N48">
        <v>50000</v>
      </c>
      <c r="O48">
        <f>(776/60000)*Table58[[#This Row],[Quantity]]</f>
        <v>2.5866666666666666E-2</v>
      </c>
      <c r="P48">
        <f>(3100/60000)*Table58[[#This Row],[Quantity]]</f>
        <v>0.10333333333333333</v>
      </c>
      <c r="Q48">
        <f>Table58[[#This Row],[Part volume (m^3)]]*0.28*1560</f>
        <v>0.10851861689760001</v>
      </c>
      <c r="R48" t="s">
        <v>301</v>
      </c>
      <c r="S48">
        <f>30-Table58[[#This Row],[Press time per unit (mins) - lower]]-Table58[[#This Row],[Oven adjusted time per unit (mins)]]</f>
        <v>9.9403743863200003</v>
      </c>
      <c r="T48">
        <f>90-Table58[[#This Row],[Press time per unit (mins) - upper]]-Table58[[#This Row],[Oven adjusted time per unit (mins)]]</f>
        <v>10.94037438632</v>
      </c>
      <c r="U48">
        <v>20</v>
      </c>
      <c r="V48">
        <v>79</v>
      </c>
      <c r="W48">
        <f>60*(Table58[[#This Row],[Total volume (m^3)]]/$D$30)*20</f>
        <v>5.9625613680000002E-2</v>
      </c>
    </row>
    <row r="49" spans="2:25" x14ac:dyDescent="0.3">
      <c r="B49">
        <v>1.3</v>
      </c>
      <c r="C49" t="s">
        <v>344</v>
      </c>
      <c r="D49">
        <v>1.5416100699999999E-4</v>
      </c>
      <c r="E49">
        <v>2</v>
      </c>
      <c r="F49">
        <f>Table58[[#This Row],[Part volume (m^3)]]*Table58[[#This Row],[Quantity]]</f>
        <v>3.0832201399999998E-4</v>
      </c>
      <c r="G49" t="s">
        <v>214</v>
      </c>
      <c r="H49">
        <v>144500</v>
      </c>
      <c r="I49">
        <f>Table58[[#This Row],[Material Cost per m^3]]*Table58[[#This Row],[Total volume (m^3)]]</f>
        <v>44.552531023</v>
      </c>
      <c r="K49" t="s">
        <v>299</v>
      </c>
      <c r="L49" s="31" t="s">
        <v>330</v>
      </c>
      <c r="M49" s="31">
        <v>250000</v>
      </c>
      <c r="N49">
        <v>50000</v>
      </c>
      <c r="O49">
        <f>(776/60000)*Table58[[#This Row],[Quantity]]</f>
        <v>2.5866666666666666E-2</v>
      </c>
      <c r="P49">
        <f>(3100/60000)*Table58[[#This Row],[Quantity]]</f>
        <v>0.10333333333333333</v>
      </c>
      <c r="Q49">
        <f>Table58[[#This Row],[Part volume (m^3)]]*0.28*1560</f>
        <v>6.7337527857599999E-2</v>
      </c>
      <c r="R49" t="s">
        <v>301</v>
      </c>
      <c r="S49">
        <f>30-Table58[[#This Row],[Press time per unit (mins) - lower]]-Table58[[#This Row],[Oven adjusted time per unit (mins)]]</f>
        <v>9.9630013583199997</v>
      </c>
      <c r="T49">
        <f>90-Table58[[#This Row],[Press time per unit (mins) - upper]]-Table58[[#This Row],[Oven adjusted time per unit (mins)]]</f>
        <v>10.96300135832</v>
      </c>
      <c r="U49">
        <v>20</v>
      </c>
      <c r="V49">
        <v>79</v>
      </c>
      <c r="W49">
        <f>60*(Table58[[#This Row],[Total volume (m^3)]]/$D$30)*20</f>
        <v>3.6998641679999993E-2</v>
      </c>
    </row>
    <row r="50" spans="2:25" x14ac:dyDescent="0.3">
      <c r="B50">
        <v>1.4</v>
      </c>
      <c r="C50" t="s">
        <v>345</v>
      </c>
      <c r="D50" s="32">
        <v>1.3764227E-5</v>
      </c>
      <c r="E50">
        <v>2</v>
      </c>
      <c r="F50">
        <f>Table58[[#This Row],[Part volume (m^3)]]*Table58[[#This Row],[Quantity]]</f>
        <v>2.7528454E-5</v>
      </c>
      <c r="G50" t="s">
        <v>214</v>
      </c>
      <c r="H50">
        <v>144500</v>
      </c>
      <c r="I50">
        <f>Table58[[#This Row],[Material Cost per m^3]]*Table58[[#This Row],[Total volume (m^3)]]</f>
        <v>3.977861603</v>
      </c>
      <c r="K50" t="s">
        <v>299</v>
      </c>
      <c r="L50" s="31" t="s">
        <v>330</v>
      </c>
      <c r="M50" s="31">
        <v>250000</v>
      </c>
      <c r="N50">
        <v>50000</v>
      </c>
      <c r="O50">
        <f>(776/60000)*Table58[[#This Row],[Quantity]]</f>
        <v>2.5866666666666666E-2</v>
      </c>
      <c r="P50">
        <f>(3100/60000)*Table58[[#This Row],[Quantity]]</f>
        <v>0.10333333333333333</v>
      </c>
      <c r="Q50">
        <f>Table58[[#This Row],[Part volume (m^3)]]*0.28*1560</f>
        <v>6.0122143536000009E-3</v>
      </c>
      <c r="R50" t="s">
        <v>301</v>
      </c>
      <c r="S50">
        <f>30-Table58[[#This Row],[Press time per unit (mins) - lower]]-Table58[[#This Row],[Oven adjusted time per unit (mins)]]</f>
        <v>9.9966965855200005</v>
      </c>
      <c r="T50">
        <f>90-Table58[[#This Row],[Press time per unit (mins) - upper]]-Table58[[#This Row],[Oven adjusted time per unit (mins)]]</f>
        <v>10.996696585520001</v>
      </c>
      <c r="U50">
        <v>20</v>
      </c>
      <c r="V50">
        <v>79</v>
      </c>
      <c r="W50">
        <f>60*(Table58[[#This Row],[Total volume (m^3)]]/$D$30)*20</f>
        <v>3.30341448E-3</v>
      </c>
    </row>
    <row r="51" spans="2:25" x14ac:dyDescent="0.3">
      <c r="B51">
        <v>1.5</v>
      </c>
      <c r="C51" t="s">
        <v>346</v>
      </c>
      <c r="D51" s="32">
        <v>5.5860119999999999E-6</v>
      </c>
      <c r="E51">
        <v>2</v>
      </c>
      <c r="F51">
        <f>Table58[[#This Row],[Part volume (m^3)]]*Table58[[#This Row],[Quantity]]</f>
        <v>1.1172024E-5</v>
      </c>
      <c r="G51" t="s">
        <v>214</v>
      </c>
      <c r="H51">
        <v>144500</v>
      </c>
      <c r="I51">
        <f>Table58[[#This Row],[Material Cost per m^3]]*Table58[[#This Row],[Total volume (m^3)]]</f>
        <v>1.6143574679999999</v>
      </c>
      <c r="K51" t="s">
        <v>299</v>
      </c>
      <c r="L51" s="31" t="s">
        <v>330</v>
      </c>
      <c r="M51" s="31">
        <v>250000</v>
      </c>
      <c r="N51">
        <v>50000</v>
      </c>
      <c r="O51">
        <f>(776/60000)*Table58[[#This Row],[Quantity]]</f>
        <v>2.5866666666666666E-2</v>
      </c>
      <c r="P51">
        <f>(3100/60000)*Table58[[#This Row],[Quantity]]</f>
        <v>0.10333333333333333</v>
      </c>
      <c r="Q51">
        <f>Table58[[#This Row],[Part volume (m^3)]]*0.28*1560</f>
        <v>2.4399700416000004E-3</v>
      </c>
      <c r="R51" t="s">
        <v>301</v>
      </c>
      <c r="S51">
        <f>30-Table58[[#This Row],[Press time per unit (mins) - lower]]-Table58[[#This Row],[Oven adjusted time per unit (mins)]]</f>
        <v>9.9986593571199993</v>
      </c>
      <c r="T51">
        <f>90-Table58[[#This Row],[Press time per unit (mins) - upper]]-Table58[[#This Row],[Oven adjusted time per unit (mins)]]</f>
        <v>10.998659357119999</v>
      </c>
      <c r="U51">
        <v>20</v>
      </c>
      <c r="V51">
        <v>79</v>
      </c>
      <c r="W51">
        <f>60*(Table58[[#This Row],[Total volume (m^3)]]/$D$30)*20</f>
        <v>1.3406428799999999E-3</v>
      </c>
    </row>
    <row r="52" spans="2:25" x14ac:dyDescent="0.3">
      <c r="B52">
        <v>1.6</v>
      </c>
      <c r="C52" t="s">
        <v>347</v>
      </c>
      <c r="D52" s="32">
        <v>1.2394109999999999E-5</v>
      </c>
      <c r="E52">
        <v>2</v>
      </c>
      <c r="F52">
        <f>Table58[[#This Row],[Part volume (m^3)]]*Table58[[#This Row],[Quantity]]</f>
        <v>2.4788219999999999E-5</v>
      </c>
      <c r="G52" t="s">
        <v>214</v>
      </c>
      <c r="H52">
        <v>144500</v>
      </c>
      <c r="I52">
        <f>Table58[[#This Row],[Material Cost per m^3]]*Table58[[#This Row],[Total volume (m^3)]]</f>
        <v>3.5818977899999997</v>
      </c>
      <c r="K52" t="s">
        <v>299</v>
      </c>
      <c r="L52" s="31" t="s">
        <v>330</v>
      </c>
      <c r="M52" s="31">
        <v>250000</v>
      </c>
      <c r="N52">
        <v>50000</v>
      </c>
      <c r="O52">
        <f>(776/60000)*Table58[[#This Row],[Quantity]]</f>
        <v>2.5866666666666666E-2</v>
      </c>
      <c r="P52">
        <f>(3100/60000)*Table58[[#This Row],[Quantity]]</f>
        <v>0.10333333333333333</v>
      </c>
      <c r="Q52">
        <f>Table58[[#This Row],[Part volume (m^3)]]*0.28*1560</f>
        <v>5.4137472479999999E-3</v>
      </c>
      <c r="R52" t="s">
        <v>301</v>
      </c>
      <c r="S52">
        <f>30-Table58[[#This Row],[Press time per unit (mins) - lower]]-Table58[[#This Row],[Oven adjusted time per unit (mins)]]</f>
        <v>9.9970254135999994</v>
      </c>
      <c r="T52">
        <f>90-Table58[[#This Row],[Press time per unit (mins) - upper]]-Table58[[#This Row],[Oven adjusted time per unit (mins)]]</f>
        <v>10.997025413599999</v>
      </c>
      <c r="U52">
        <v>20</v>
      </c>
      <c r="V52">
        <v>79</v>
      </c>
      <c r="W52">
        <f>60*(Table58[[#This Row],[Total volume (m^3)]]/$D$30)*20</f>
        <v>2.9745864000000001E-3</v>
      </c>
    </row>
    <row r="53" spans="2:25" x14ac:dyDescent="0.3">
      <c r="B53">
        <v>1.7</v>
      </c>
      <c r="C53" t="s">
        <v>348</v>
      </c>
      <c r="D53" s="32">
        <v>6.8335303999999994E-5</v>
      </c>
      <c r="E53">
        <v>2</v>
      </c>
      <c r="F53">
        <f>Table58[[#This Row],[Part volume (m^3)]]*Table58[[#This Row],[Quantity]]</f>
        <v>1.3667060799999999E-4</v>
      </c>
      <c r="G53" t="s">
        <v>214</v>
      </c>
      <c r="H53">
        <v>144500</v>
      </c>
      <c r="I53">
        <f>Table58[[#This Row],[Material Cost per m^3]]*Table58[[#This Row],[Total volume (m^3)]]</f>
        <v>19.748902855999997</v>
      </c>
      <c r="K53" t="s">
        <v>299</v>
      </c>
      <c r="L53" s="31" t="s">
        <v>330</v>
      </c>
      <c r="M53" s="31">
        <v>250000</v>
      </c>
      <c r="N53">
        <v>50000</v>
      </c>
      <c r="O53">
        <f>(776/60000)*Table58[[#This Row],[Quantity]]</f>
        <v>2.5866666666666666E-2</v>
      </c>
      <c r="P53">
        <f>(3100/60000)*Table58[[#This Row],[Quantity]]</f>
        <v>0.10333333333333333</v>
      </c>
      <c r="Q53">
        <f>Table58[[#This Row],[Part volume (m^3)]]*0.28*1560</f>
        <v>2.9848860787200001E-2</v>
      </c>
      <c r="R53" t="s">
        <v>301</v>
      </c>
      <c r="S53">
        <f>30-Table58[[#This Row],[Press time per unit (mins) - lower]]-Table58[[#This Row],[Oven adjusted time per unit (mins)]]</f>
        <v>9.9835995270400009</v>
      </c>
      <c r="T53">
        <f>90-Table58[[#This Row],[Press time per unit (mins) - upper]]-Table58[[#This Row],[Oven adjusted time per unit (mins)]]</f>
        <v>10.983599527040001</v>
      </c>
      <c r="U53">
        <v>20</v>
      </c>
      <c r="V53">
        <v>79</v>
      </c>
      <c r="W53">
        <f>60*(Table58[[#This Row],[Total volume (m^3)]]/$D$30)*20</f>
        <v>1.6400472959999999E-2</v>
      </c>
    </row>
    <row r="54" spans="2:25" x14ac:dyDescent="0.3">
      <c r="M54" s="31"/>
    </row>
    <row r="55" spans="2:25" x14ac:dyDescent="0.3">
      <c r="M55" s="31"/>
    </row>
    <row r="56" spans="2:25" ht="17.399999999999999" x14ac:dyDescent="0.35">
      <c r="B56" s="181" t="s">
        <v>349</v>
      </c>
      <c r="C56" s="181"/>
      <c r="D56" s="181"/>
      <c r="E56" s="181"/>
      <c r="F56" s="181"/>
      <c r="G56" s="181"/>
      <c r="H56" s="181"/>
      <c r="I56" s="181"/>
    </row>
    <row r="57" spans="2:25" x14ac:dyDescent="0.3">
      <c r="B57" t="s">
        <v>277</v>
      </c>
      <c r="C57" t="s">
        <v>259</v>
      </c>
      <c r="D57" t="s">
        <v>278</v>
      </c>
      <c r="E57" t="s">
        <v>327</v>
      </c>
      <c r="F57" t="s">
        <v>280</v>
      </c>
      <c r="G57" t="s">
        <v>281</v>
      </c>
      <c r="H57" t="s">
        <v>210</v>
      </c>
      <c r="I57" t="s">
        <v>350</v>
      </c>
      <c r="J57" t="s">
        <v>351</v>
      </c>
      <c r="K57" t="s">
        <v>284</v>
      </c>
      <c r="L57" t="s">
        <v>285</v>
      </c>
      <c r="M57" t="s">
        <v>286</v>
      </c>
      <c r="N57" t="s">
        <v>352</v>
      </c>
      <c r="O57" t="s">
        <v>353</v>
      </c>
      <c r="P57" t="s">
        <v>354</v>
      </c>
      <c r="Q57" t="s">
        <v>355</v>
      </c>
      <c r="R57" t="s">
        <v>290</v>
      </c>
      <c r="S57" t="s">
        <v>291</v>
      </c>
      <c r="T57" t="s">
        <v>292</v>
      </c>
      <c r="U57" t="s">
        <v>293</v>
      </c>
      <c r="V57" t="s">
        <v>517</v>
      </c>
      <c r="W57" t="s">
        <v>518</v>
      </c>
    </row>
    <row r="58" spans="2:25" x14ac:dyDescent="0.3">
      <c r="B58">
        <v>1</v>
      </c>
      <c r="C58" s="31" t="s">
        <v>356</v>
      </c>
      <c r="D58" s="32">
        <f>Table579[[#This Row],[Part volume (m^3)]]*(10^9)</f>
        <v>170657.628</v>
      </c>
      <c r="E58" s="32">
        <v>1.7065762799999999E-4</v>
      </c>
      <c r="F58" s="34">
        <v>2</v>
      </c>
      <c r="G58" s="32">
        <f>Table579[[#This Row],[Part volume (m^3)]]*Table579[[#This Row],[Quantity]]</f>
        <v>3.4131525599999997E-4</v>
      </c>
      <c r="H58" t="s">
        <v>298</v>
      </c>
      <c r="I58">
        <f t="shared" ref="I58" si="3">((0.83*((225000*0.75)+((3930+7290)/2)))+(0.17*((4890+6230)/2)))</f>
        <v>145664</v>
      </c>
      <c r="J58" s="101">
        <f>Table579[[#This Row],[Material Cost (GBP per m^3 )]]*Table579[[#This Row],[Total volume (m^3)]]</f>
        <v>49.717345449983995</v>
      </c>
      <c r="K58" s="36"/>
      <c r="L58" s="31" t="s">
        <v>357</v>
      </c>
      <c r="M58" s="31"/>
      <c r="P58" s="32"/>
      <c r="Q58" s="32"/>
      <c r="R58" s="32"/>
      <c r="S58" t="s">
        <v>301</v>
      </c>
    </row>
    <row r="59" spans="2:25" ht="29.25" customHeight="1" x14ac:dyDescent="0.3">
      <c r="B59">
        <v>2</v>
      </c>
      <c r="C59" s="31" t="s">
        <v>358</v>
      </c>
      <c r="D59" s="32">
        <f>Table579[[#This Row],[Part volume (m^3)]]*(10^9)</f>
        <v>64072.224000000002</v>
      </c>
      <c r="E59" s="32">
        <v>6.4072224000000005E-5</v>
      </c>
      <c r="F59" s="34">
        <v>2</v>
      </c>
      <c r="G59" s="32">
        <f>Table579[[#This Row],[Part volume (m^3)]]*Table579[[#This Row],[Quantity]]</f>
        <v>1.2814444800000001E-4</v>
      </c>
      <c r="H59" s="31" t="s">
        <v>216</v>
      </c>
      <c r="I59" s="35">
        <v>9060</v>
      </c>
      <c r="J59" s="37">
        <f>Table579[[#This Row],[Material Cost (GBP per m^3 )]]*Table579[[#This Row],[Total volume (m^3)]]</f>
        <v>1.16098869888</v>
      </c>
      <c r="K59" s="36">
        <f>2730*Table579[[#This Row],[Total volume (m^3)]]*13.3</f>
        <v>4.6527967624320006</v>
      </c>
      <c r="L59" s="31" t="s">
        <v>359</v>
      </c>
      <c r="M59" s="31" t="s">
        <v>360</v>
      </c>
      <c r="N59" s="35"/>
      <c r="O59" s="35"/>
      <c r="P59" s="98"/>
      <c r="Q59" s="98"/>
      <c r="R59" s="94"/>
      <c r="S59" s="54" t="s">
        <v>197</v>
      </c>
      <c r="W59" s="31"/>
    </row>
    <row r="60" spans="2:25" ht="29.25" customHeight="1" x14ac:dyDescent="0.3">
      <c r="B60">
        <v>3</v>
      </c>
      <c r="C60" s="31" t="s">
        <v>361</v>
      </c>
      <c r="D60" s="32">
        <f>Table579[[#This Row],[Part volume (m^3)]]*(10^9)</f>
        <v>64072.224000000002</v>
      </c>
      <c r="E60" s="32">
        <v>6.4072224000000005E-5</v>
      </c>
      <c r="F60" s="34">
        <v>2</v>
      </c>
      <c r="G60" s="32">
        <f>Table579[[#This Row],[Part volume (m^3)]]*Table579[[#This Row],[Quantity]]</f>
        <v>1.2814444800000001E-4</v>
      </c>
      <c r="H60" s="31" t="s">
        <v>216</v>
      </c>
      <c r="I60" s="35">
        <v>9060</v>
      </c>
      <c r="J60" s="37">
        <f>Table579[[#This Row],[Material Cost (GBP per m^3 )]]*Table579[[#This Row],[Total volume (m^3)]]</f>
        <v>1.16098869888</v>
      </c>
      <c r="K60" s="36">
        <f>2730*Table579[[#This Row],[Total volume (m^3)]]*13.3</f>
        <v>4.6527967624320006</v>
      </c>
      <c r="L60" s="31" t="s">
        <v>359</v>
      </c>
      <c r="M60" s="31" t="s">
        <v>360</v>
      </c>
      <c r="N60" s="35"/>
      <c r="O60" s="35"/>
      <c r="P60" s="98"/>
      <c r="Q60" s="98"/>
      <c r="R60" s="94"/>
      <c r="S60" s="54" t="s">
        <v>197</v>
      </c>
      <c r="Y60" s="93"/>
    </row>
    <row r="61" spans="2:25" ht="29.25" customHeight="1" x14ac:dyDescent="0.3">
      <c r="B61">
        <v>4</v>
      </c>
      <c r="C61" t="s">
        <v>362</v>
      </c>
      <c r="D61" s="32">
        <f>Table579[[#This Row],[Part volume (m^3)]]*(10^9)</f>
        <v>21426.603999999999</v>
      </c>
      <c r="E61" s="32">
        <v>2.1426604E-5</v>
      </c>
      <c r="F61" s="34">
        <v>1</v>
      </c>
      <c r="G61" s="32">
        <f>Table579[[#This Row],[Part volume (m^3)]]*Table579[[#This Row],[Quantity]]</f>
        <v>2.1426604E-5</v>
      </c>
      <c r="H61" s="31" t="s">
        <v>216</v>
      </c>
      <c r="I61" s="35">
        <v>9060</v>
      </c>
      <c r="J61" s="37">
        <f>Table579[[#This Row],[Material Cost (GBP per m^3 )]]*Table579[[#This Row],[Total volume (m^3)]]</f>
        <v>0.19412503224</v>
      </c>
      <c r="K61" s="36">
        <f>2730*Table579[[#This Row],[Total volume (m^3)]]*13.3</f>
        <v>0.77797856463600001</v>
      </c>
      <c r="L61" s="31" t="s">
        <v>363</v>
      </c>
      <c r="M61" s="31" t="s">
        <v>364</v>
      </c>
      <c r="N61" s="35" t="s">
        <v>365</v>
      </c>
      <c r="O61" s="35" t="s">
        <v>366</v>
      </c>
      <c r="P61" s="91" t="s">
        <v>197</v>
      </c>
      <c r="Q61" s="91" t="s">
        <v>197</v>
      </c>
      <c r="R61" s="94">
        <f>2730*Table579[[#This Row],[Total volume (m^3)]]*0.754</f>
        <v>4.4104950205679998E-2</v>
      </c>
      <c r="S61" t="s">
        <v>304</v>
      </c>
      <c r="T61">
        <v>20</v>
      </c>
      <c r="U61">
        <v>40</v>
      </c>
      <c r="V61" s="10" t="s">
        <v>367</v>
      </c>
      <c r="W61" s="10" t="s">
        <v>367</v>
      </c>
      <c r="Y61" s="92"/>
    </row>
    <row r="62" spans="2:25" ht="29.25" customHeight="1" x14ac:dyDescent="0.3">
      <c r="B62">
        <v>5</v>
      </c>
      <c r="C62" s="31" t="s">
        <v>368</v>
      </c>
      <c r="D62" s="32">
        <v>24053.938999999998</v>
      </c>
      <c r="E62" s="32">
        <f>Table579[[#This Row],[Part volume (mm^3)]]*(10^-9)</f>
        <v>2.4053939E-5</v>
      </c>
      <c r="F62" s="34">
        <v>4</v>
      </c>
      <c r="G62" s="32">
        <f>Table579[[#This Row],[Part volume (m^3)]]*Table579[[#This Row],[Quantity]]</f>
        <v>9.6215756000000001E-5</v>
      </c>
      <c r="H62" s="31" t="s">
        <v>216</v>
      </c>
      <c r="I62" s="35">
        <v>9060</v>
      </c>
      <c r="J62" s="37">
        <f>Table579[[#This Row],[Material Cost (GBP per m^3 )]]*Table579[[#This Row],[Total volume (m^3)]]</f>
        <v>0.87171474936000004</v>
      </c>
      <c r="K62" s="36">
        <f>2730*Table579[[#This Row],[Total volume (m^3)]]*13.3</f>
        <v>3.4934978846040003</v>
      </c>
      <c r="L62" s="31" t="s">
        <v>363</v>
      </c>
      <c r="M62" s="31" t="s">
        <v>364</v>
      </c>
      <c r="N62" s="35" t="s">
        <v>365</v>
      </c>
      <c r="O62" s="35" t="s">
        <v>366</v>
      </c>
      <c r="P62" s="91" t="s">
        <v>197</v>
      </c>
      <c r="Q62" s="91" t="s">
        <v>197</v>
      </c>
      <c r="R62" s="94">
        <f>2730*Table579[[#This Row],[Total volume (m^3)]]*0.754</f>
        <v>0.19805243646552001</v>
      </c>
      <c r="S62" t="s">
        <v>304</v>
      </c>
      <c r="T62">
        <v>20</v>
      </c>
      <c r="U62">
        <v>40</v>
      </c>
      <c r="V62" s="10" t="s">
        <v>367</v>
      </c>
      <c r="W62" s="10" t="s">
        <v>367</v>
      </c>
      <c r="Y62" t="s">
        <v>369</v>
      </c>
    </row>
    <row r="63" spans="2:25" ht="28.8" x14ac:dyDescent="0.3">
      <c r="B63">
        <v>6</v>
      </c>
      <c r="C63" s="31" t="s">
        <v>370</v>
      </c>
      <c r="D63" s="32">
        <v>9564.652</v>
      </c>
      <c r="E63" s="32">
        <f>Table579[[#This Row],[Part volume (mm^3)]]*(10^-9)</f>
        <v>9.5646520000000005E-6</v>
      </c>
      <c r="F63" s="34">
        <v>2</v>
      </c>
      <c r="G63" s="32">
        <f>Table579[[#This Row],[Part volume (m^3)]]*Table579[[#This Row],[Quantity]]</f>
        <v>1.9129304000000001E-5</v>
      </c>
      <c r="H63" s="31" t="s">
        <v>216</v>
      </c>
      <c r="I63" s="31">
        <v>9060</v>
      </c>
      <c r="J63" s="37">
        <f>Table579[[#This Row],[Material Cost (GBP per m^3 )]]*Table579[[#This Row],[Total volume (m^3)]]</f>
        <v>0.17331149424</v>
      </c>
      <c r="K63" s="36">
        <f>2730*Table579[[#This Row],[Total volume (m^3)]]*13.3</f>
        <v>0.69456589893600007</v>
      </c>
      <c r="L63" s="31" t="s">
        <v>363</v>
      </c>
      <c r="M63" s="31" t="s">
        <v>364</v>
      </c>
      <c r="N63" s="35" t="s">
        <v>365</v>
      </c>
      <c r="O63" s="35" t="s">
        <v>366</v>
      </c>
      <c r="P63" s="91" t="s">
        <v>197</v>
      </c>
      <c r="Q63" s="91" t="s">
        <v>197</v>
      </c>
      <c r="R63" s="94">
        <f>2730*Table579[[#This Row],[Total volume (m^3)]]*0.754</f>
        <v>3.9376141939680004E-2</v>
      </c>
      <c r="S63" t="s">
        <v>304</v>
      </c>
      <c r="T63">
        <v>20</v>
      </c>
      <c r="U63">
        <v>40</v>
      </c>
      <c r="V63" s="10" t="s">
        <v>367</v>
      </c>
      <c r="W63" s="10" t="s">
        <v>367</v>
      </c>
    </row>
    <row r="64" spans="2:25" ht="28.8" x14ac:dyDescent="0.3">
      <c r="B64">
        <v>7</v>
      </c>
      <c r="C64" s="31" t="s">
        <v>371</v>
      </c>
      <c r="D64" s="32">
        <v>9564.652</v>
      </c>
      <c r="E64" s="32">
        <f>Table579[[#This Row],[Part volume (mm^3)]]*(10^-9)</f>
        <v>9.5646520000000005E-6</v>
      </c>
      <c r="F64" s="34">
        <v>2</v>
      </c>
      <c r="G64" s="32">
        <f>Table579[[#This Row],[Part volume (m^3)]]*Table579[[#This Row],[Quantity]]</f>
        <v>1.9129304000000001E-5</v>
      </c>
      <c r="H64" s="31" t="s">
        <v>216</v>
      </c>
      <c r="I64" s="31">
        <v>9060</v>
      </c>
      <c r="J64" s="37">
        <f>Table579[[#This Row],[Material Cost (GBP per m^3 )]]*Table579[[#This Row],[Total volume (m^3)]]</f>
        <v>0.17331149424</v>
      </c>
      <c r="K64" s="36">
        <f>2730*Table579[[#This Row],[Total volume (m^3)]]*13.3</f>
        <v>0.69456589893600007</v>
      </c>
      <c r="L64" s="31" t="s">
        <v>363</v>
      </c>
      <c r="M64" s="31" t="s">
        <v>364</v>
      </c>
      <c r="N64" s="35" t="s">
        <v>365</v>
      </c>
      <c r="O64" s="35" t="s">
        <v>366</v>
      </c>
      <c r="P64" s="91" t="s">
        <v>197</v>
      </c>
      <c r="Q64" s="91" t="s">
        <v>197</v>
      </c>
      <c r="R64" s="94">
        <f>2730*Table579[[#This Row],[Total volume (m^3)]]*0.754</f>
        <v>3.9376141939680004E-2</v>
      </c>
      <c r="S64" t="s">
        <v>304</v>
      </c>
      <c r="T64">
        <v>20</v>
      </c>
      <c r="U64">
        <v>40</v>
      </c>
      <c r="V64" s="10" t="s">
        <v>367</v>
      </c>
      <c r="W64" s="10" t="s">
        <v>367</v>
      </c>
    </row>
    <row r="65" spans="1:26" ht="28.8" x14ac:dyDescent="0.3">
      <c r="B65">
        <v>8</v>
      </c>
      <c r="C65" s="31" t="s">
        <v>372</v>
      </c>
      <c r="D65" s="32">
        <f>Table579[[#This Row],[Part volume (m^3)]]*(10^9)</f>
        <v>12096.773000000001</v>
      </c>
      <c r="E65" s="32">
        <v>1.2096773E-5</v>
      </c>
      <c r="F65" s="34">
        <v>1</v>
      </c>
      <c r="G65" s="32">
        <f>Table579[[#This Row],[Part volume (m^3)]]*Table579[[#This Row],[Quantity]]</f>
        <v>1.2096773E-5</v>
      </c>
      <c r="H65" s="31" t="s">
        <v>216</v>
      </c>
      <c r="I65" s="31">
        <v>9060</v>
      </c>
      <c r="J65" s="37">
        <f>Table579[[#This Row],[Material Cost (GBP per m^3 )]]*Table579[[#This Row],[Total volume (m^3)]]</f>
        <v>0.10959676338</v>
      </c>
      <c r="K65" s="36">
        <f>2730*Table579[[#This Row],[Total volume (m^3)]]*13.3</f>
        <v>0.439221730857</v>
      </c>
      <c r="L65" s="31" t="s">
        <v>373</v>
      </c>
      <c r="M65" s="31" t="s">
        <v>374</v>
      </c>
      <c r="N65" s="35" t="s">
        <v>375</v>
      </c>
      <c r="O65" s="35" t="s">
        <v>376</v>
      </c>
      <c r="P65" s="98" t="s">
        <v>377</v>
      </c>
      <c r="Q65" s="98" t="s">
        <v>378</v>
      </c>
      <c r="R65" s="94">
        <f>2730*Table579[[#This Row],[Total volume (m^3)]]*1.254</f>
        <v>4.1412334623660001E-2</v>
      </c>
      <c r="S65" t="s">
        <v>304</v>
      </c>
      <c r="T65">
        <v>15</v>
      </c>
      <c r="U65">
        <v>30</v>
      </c>
      <c r="V65">
        <v>5</v>
      </c>
      <c r="W65">
        <v>10</v>
      </c>
    </row>
    <row r="66" spans="1:26" ht="28.8" x14ac:dyDescent="0.3">
      <c r="B66">
        <v>9</v>
      </c>
      <c r="C66" s="31" t="s">
        <v>379</v>
      </c>
      <c r="D66" s="32">
        <f>Table579[[#This Row],[Part volume (m^3)]]*(10^9)</f>
        <v>15538.142000000002</v>
      </c>
      <c r="E66" s="32">
        <v>1.5538142000000001E-5</v>
      </c>
      <c r="F66" s="34">
        <v>2</v>
      </c>
      <c r="G66" s="32">
        <f>Table579[[#This Row],[Part volume (m^3)]]*Table579[[#This Row],[Quantity]]</f>
        <v>3.1076284000000002E-5</v>
      </c>
      <c r="H66" s="31" t="s">
        <v>216</v>
      </c>
      <c r="I66" s="31">
        <v>9060</v>
      </c>
      <c r="J66" s="37">
        <f>Table579[[#This Row],[Material Cost (GBP per m^3 )]]*Table579[[#This Row],[Total volume (m^3)]]</f>
        <v>0.28155113304000001</v>
      </c>
      <c r="K66" s="36">
        <f>2730*Table579[[#This Row],[Total volume (m^3)]]*13.3</f>
        <v>1.1283487957560001</v>
      </c>
      <c r="L66" s="31" t="s">
        <v>373</v>
      </c>
      <c r="M66" s="31" t="s">
        <v>374</v>
      </c>
      <c r="N66" s="35" t="s">
        <v>375</v>
      </c>
      <c r="O66" s="35" t="s">
        <v>376</v>
      </c>
      <c r="P66" s="98" t="s">
        <v>380</v>
      </c>
      <c r="Q66" s="98" t="s">
        <v>381</v>
      </c>
      <c r="R66" s="94">
        <f>2730*Table579[[#This Row],[Total volume (m^3)]]*1.254</f>
        <v>0.10638717217128001</v>
      </c>
      <c r="S66" t="s">
        <v>304</v>
      </c>
      <c r="T66">
        <v>15</v>
      </c>
      <c r="U66">
        <v>30</v>
      </c>
      <c r="V66">
        <v>5</v>
      </c>
      <c r="W66">
        <v>10</v>
      </c>
    </row>
    <row r="67" spans="1:26" x14ac:dyDescent="0.3">
      <c r="B67">
        <v>10</v>
      </c>
      <c r="C67" s="31" t="s">
        <v>382</v>
      </c>
      <c r="D67" s="32">
        <f>(144*210*315)-D68-D69</f>
        <v>5908800</v>
      </c>
      <c r="E67" s="32">
        <f>Table579[[#This Row],[Part volume (mm^3)]]*(10^-9)</f>
        <v>5.9088000000000005E-3</v>
      </c>
      <c r="F67" s="34">
        <v>1</v>
      </c>
      <c r="G67" s="32">
        <f>Table579[[#This Row],[Part volume (m^3)]]*Table579[[#This Row],[Quantity]]</f>
        <v>5.9088000000000005E-3</v>
      </c>
      <c r="H67" s="31" t="s">
        <v>383</v>
      </c>
      <c r="I67" s="31">
        <v>68</v>
      </c>
      <c r="J67" s="37">
        <f>27*Table579[[#This Row],[Material Cost (GBP per m^3 )]]*Table579[[#This Row],[Total volume (m^3)]]</f>
        <v>10.848556800000001</v>
      </c>
      <c r="K67" s="36">
        <f>27*Table579[[#This Row],[Total volume (m^3)]]*3.14</f>
        <v>0.50094806400000003</v>
      </c>
      <c r="L67" s="31" t="s">
        <v>197</v>
      </c>
      <c r="M67" s="31" t="s">
        <v>384</v>
      </c>
      <c r="P67" s="32"/>
      <c r="Q67" s="32"/>
      <c r="R67" s="94">
        <f>68*Table579[[#This Row],[Total volume (m^3)]]*1.76</f>
        <v>0.70716518400000006</v>
      </c>
      <c r="S67" s="54" t="s">
        <v>197</v>
      </c>
    </row>
    <row r="68" spans="1:26" ht="28.8" x14ac:dyDescent="0.3">
      <c r="B68">
        <v>11</v>
      </c>
      <c r="C68" s="31" t="s">
        <v>385</v>
      </c>
      <c r="D68" s="32">
        <v>1480050</v>
      </c>
      <c r="E68" s="32">
        <f>Table579[[#This Row],[Part volume (mm^3)]]*(10^-9)</f>
        <v>1.4800500000000001E-3</v>
      </c>
      <c r="F68" s="34">
        <v>2</v>
      </c>
      <c r="G68" s="32">
        <f>Table579[[#This Row],[Part volume (m^3)]]*Table579[[#This Row],[Quantity]]</f>
        <v>2.9601000000000002E-3</v>
      </c>
      <c r="H68" s="31" t="s">
        <v>217</v>
      </c>
      <c r="I68" s="31">
        <v>1680</v>
      </c>
      <c r="J68" s="37">
        <f>Table579[[#This Row],[Material Cost (GBP per m^3 )]]*Table579[[#This Row],[Total volume (m^3)]]</f>
        <v>4.9729680000000007</v>
      </c>
      <c r="K68" s="36">
        <f>1060*Table579[[#This Row],[Total volume (m^3)]]*3.17</f>
        <v>9.9465280200000006</v>
      </c>
      <c r="L68" s="31" t="s">
        <v>386</v>
      </c>
      <c r="M68" s="31" t="s">
        <v>233</v>
      </c>
      <c r="N68">
        <v>31000</v>
      </c>
      <c r="O68">
        <f>698000</f>
        <v>698000</v>
      </c>
      <c r="P68" s="97">
        <f>3100/60000*Table579[[#This Row],[Quantity]]</f>
        <v>0.10333333333333333</v>
      </c>
      <c r="Q68" s="97">
        <f>77600/60000*Table579[[#This Row],[Quantity]]</f>
        <v>2.5866666666666664</v>
      </c>
      <c r="R68" s="94">
        <f>1060*Table579[[#This Row],[Total volume (m^3)]]*1.49</f>
        <v>4.6751819399999999</v>
      </c>
      <c r="S68" t="s">
        <v>301</v>
      </c>
      <c r="T68">
        <v>18</v>
      </c>
      <c r="U68">
        <v>32</v>
      </c>
      <c r="V68">
        <v>1.5</v>
      </c>
      <c r="W68">
        <v>4.5</v>
      </c>
      <c r="Y68" s="99"/>
      <c r="Z68" s="95"/>
    </row>
    <row r="69" spans="1:26" ht="28.8" x14ac:dyDescent="0.3">
      <c r="B69">
        <v>12</v>
      </c>
      <c r="C69" s="31" t="s">
        <v>387</v>
      </c>
      <c r="D69" s="32">
        <v>2136750</v>
      </c>
      <c r="E69" s="32">
        <f>Table579[[#This Row],[Part volume (mm^3)]]*(10^-9)</f>
        <v>2.1367500000000002E-3</v>
      </c>
      <c r="F69" s="34">
        <v>2</v>
      </c>
      <c r="G69" s="32">
        <f>Table579[[#This Row],[Part volume (m^3)]]*Table579[[#This Row],[Quantity]]</f>
        <v>4.2735000000000004E-3</v>
      </c>
      <c r="H69" s="31" t="s">
        <v>217</v>
      </c>
      <c r="I69" s="31">
        <v>1680</v>
      </c>
      <c r="J69" s="37">
        <f>Table579[[#This Row],[Material Cost (GBP per m^3 )]]*Table579[[#This Row],[Total volume (m^3)]]</f>
        <v>7.1794800000000008</v>
      </c>
      <c r="K69" s="36">
        <f>1060*Table579[[#This Row],[Total volume (m^3)]]*3.17</f>
        <v>14.359814699999999</v>
      </c>
      <c r="L69" s="31" t="s">
        <v>386</v>
      </c>
      <c r="M69" s="31" t="s">
        <v>233</v>
      </c>
      <c r="N69">
        <v>31000</v>
      </c>
      <c r="O69">
        <f>698000</f>
        <v>698000</v>
      </c>
      <c r="P69" s="97">
        <f>3100/60000*Table579[[#This Row],[Quantity]]</f>
        <v>0.10333333333333333</v>
      </c>
      <c r="Q69" s="97">
        <f>77600/60000*Table579[[#This Row],[Quantity]]</f>
        <v>2.5866666666666664</v>
      </c>
      <c r="R69" s="32">
        <f>1060*Table579[[#This Row],[Total volume (m^3)]]*1.49</f>
        <v>6.7495659000000003</v>
      </c>
      <c r="S69" t="s">
        <v>301</v>
      </c>
      <c r="T69">
        <v>18</v>
      </c>
      <c r="U69">
        <v>32</v>
      </c>
      <c r="V69">
        <v>2</v>
      </c>
      <c r="W69">
        <v>6.5</v>
      </c>
      <c r="Y69" s="99"/>
      <c r="Z69" s="96"/>
    </row>
    <row r="70" spans="1:26" x14ac:dyDescent="0.3">
      <c r="B70">
        <v>13</v>
      </c>
      <c r="C70" s="31"/>
      <c r="D70" s="32"/>
      <c r="E70" s="32"/>
      <c r="F70" s="34"/>
      <c r="G70" s="32"/>
      <c r="H70" s="31"/>
      <c r="I70" s="31"/>
      <c r="J70" s="37"/>
      <c r="K70" s="36"/>
      <c r="L70" s="31"/>
      <c r="M70" s="31"/>
      <c r="P70" s="32"/>
      <c r="Q70" s="32"/>
    </row>
    <row r="71" spans="1:26" x14ac:dyDescent="0.3">
      <c r="B71">
        <v>14</v>
      </c>
      <c r="C71" s="31"/>
      <c r="D71" s="32"/>
      <c r="E71" s="32"/>
      <c r="F71" s="34"/>
      <c r="G71" s="32"/>
      <c r="H71" s="31"/>
      <c r="I71" s="31"/>
      <c r="J71" s="37"/>
      <c r="K71" s="36"/>
      <c r="L71" s="31"/>
      <c r="M71" s="31"/>
      <c r="P71" s="32"/>
      <c r="Q71" s="32"/>
    </row>
    <row r="72" spans="1:26" ht="17.399999999999999" x14ac:dyDescent="0.35">
      <c r="B72" s="181" t="s">
        <v>388</v>
      </c>
      <c r="C72" s="181"/>
      <c r="D72" s="181"/>
      <c r="E72" s="181"/>
      <c r="F72" s="181"/>
      <c r="G72" s="181"/>
      <c r="H72" s="181"/>
      <c r="I72" s="181"/>
    </row>
    <row r="73" spans="1:26" x14ac:dyDescent="0.3">
      <c r="B73" s="52" t="s">
        <v>277</v>
      </c>
      <c r="C73" s="52" t="s">
        <v>259</v>
      </c>
      <c r="D73" s="52" t="s">
        <v>327</v>
      </c>
      <c r="E73" s="52" t="s">
        <v>280</v>
      </c>
      <c r="F73" s="52" t="s">
        <v>281</v>
      </c>
      <c r="G73" s="52" t="s">
        <v>210</v>
      </c>
      <c r="H73" s="52" t="s">
        <v>389</v>
      </c>
      <c r="I73" s="52" t="s">
        <v>282</v>
      </c>
      <c r="J73" s="52" t="s">
        <v>283</v>
      </c>
      <c r="K73" s="52" t="s">
        <v>284</v>
      </c>
      <c r="L73" s="52" t="s">
        <v>285</v>
      </c>
      <c r="M73" s="52" t="s">
        <v>286</v>
      </c>
      <c r="N73" s="52" t="s">
        <v>523</v>
      </c>
      <c r="O73" s="52" t="s">
        <v>522</v>
      </c>
      <c r="P73" s="52" t="s">
        <v>521</v>
      </c>
      <c r="Q73" s="52" t="s">
        <v>288</v>
      </c>
      <c r="R73" s="52" t="s">
        <v>289</v>
      </c>
      <c r="S73" s="52" t="s">
        <v>290</v>
      </c>
      <c r="T73" s="52" t="s">
        <v>291</v>
      </c>
      <c r="U73" s="52" t="s">
        <v>292</v>
      </c>
      <c r="V73" s="52" t="s">
        <v>293</v>
      </c>
      <c r="W73" s="52" t="s">
        <v>294</v>
      </c>
      <c r="X73" s="52" t="s">
        <v>295</v>
      </c>
      <c r="Y73" s="52" t="s">
        <v>296</v>
      </c>
    </row>
    <row r="74" spans="1:26" ht="28.8" x14ac:dyDescent="0.3">
      <c r="A74" t="s">
        <v>390</v>
      </c>
      <c r="B74">
        <v>1.1000000000000001</v>
      </c>
      <c r="C74" t="s">
        <v>391</v>
      </c>
      <c r="D74">
        <f t="shared" ref="D74:D78" si="4">88385.061*0.000000001</f>
        <v>8.8385061000000002E-5</v>
      </c>
      <c r="E74">
        <v>1</v>
      </c>
      <c r="F74">
        <f>Table572[[#This Row],[Part volume (m^3)]]*Table572[[#This Row],[Quantity]]</f>
        <v>8.8385061000000002E-5</v>
      </c>
      <c r="G74" s="31" t="s">
        <v>392</v>
      </c>
      <c r="H74" s="31">
        <v>1570</v>
      </c>
      <c r="I74">
        <v>155000</v>
      </c>
      <c r="J74" s="102">
        <f>Table572[[#This Row],[Part volume (m^3)]]*Table572[[#This Row],[Material Cost per m^3]]</f>
        <v>13.699684455</v>
      </c>
      <c r="K74" s="102">
        <f>34.1*Table572[[#This Row],[Density kg/m^3]]*Table572[[#This Row],[Total volume (m^3)]]</f>
        <v>4.7318710107569997</v>
      </c>
      <c r="L74" t="s">
        <v>393</v>
      </c>
      <c r="M74" s="31" t="s">
        <v>330</v>
      </c>
      <c r="N74" s="31" t="s">
        <v>197</v>
      </c>
      <c r="O74" s="31">
        <v>250000</v>
      </c>
      <c r="P74" s="31">
        <v>50000</v>
      </c>
      <c r="Q74">
        <f>(776/60000)*Table572[[#This Row],[Quantity]]</f>
        <v>1.2933333333333333E-2</v>
      </c>
      <c r="R74">
        <f>(3100/60000)*Table572[[#This Row],[Quantity]]</f>
        <v>5.1666666666666666E-2</v>
      </c>
      <c r="S74">
        <f>0.28*Table572[[#This Row],[Density kg/m^3]]*Table572[[#This Row],[Total volume (m^3)]]</f>
        <v>3.8854072815600001E-2</v>
      </c>
      <c r="T74" t="s">
        <v>301</v>
      </c>
      <c r="U74">
        <f>30-Table572[[#This Row],[Press time per unit (mins) - lower]]-Table572[[#This Row],[Oven adjusted time per unit (mins)]]</f>
        <v>9.9893937926799996</v>
      </c>
      <c r="V74">
        <f>90-Table572[[#This Row],[Press time per unit (mins) - upper]]-Table572[[#This Row],[Oven adjusted time per unit (mins)]]</f>
        <v>10.98939379268</v>
      </c>
      <c r="W74">
        <v>20</v>
      </c>
      <c r="X74">
        <v>79</v>
      </c>
      <c r="Y74">
        <f>60*(Table572[[#This Row],[Total volume (m^3)]]/$D$30)*20</f>
        <v>1.0606207320000002E-2</v>
      </c>
    </row>
    <row r="75" spans="1:26" ht="28.8" x14ac:dyDescent="0.3">
      <c r="B75">
        <v>1.2</v>
      </c>
      <c r="C75" t="s">
        <v>394</v>
      </c>
      <c r="D75">
        <f>87873.743*0.000000001</f>
        <v>8.7873743000000003E-5</v>
      </c>
      <c r="E75">
        <v>1</v>
      </c>
      <c r="F75">
        <f>Table572[[#This Row],[Part volume (m^3)]]*Table572[[#This Row],[Quantity]]</f>
        <v>8.7873743000000003E-5</v>
      </c>
      <c r="G75" s="31" t="s">
        <v>392</v>
      </c>
      <c r="H75" s="31">
        <v>1570</v>
      </c>
      <c r="I75">
        <v>155000</v>
      </c>
      <c r="J75">
        <f>Table572[[#This Row],[Part volume (m^3)]]*Table572[[#This Row],[Material Cost per m^3]]</f>
        <v>13.620430165</v>
      </c>
      <c r="K75" s="102">
        <f>34.1*Table572[[#This Row],[Density kg/m^3]]*Table572[[#This Row],[Total volume (m^3)]]</f>
        <v>4.7044965789909998</v>
      </c>
      <c r="L75" t="s">
        <v>393</v>
      </c>
      <c r="M75" s="31" t="s">
        <v>330</v>
      </c>
      <c r="N75" s="31" t="s">
        <v>197</v>
      </c>
      <c r="O75" s="31">
        <v>250000</v>
      </c>
      <c r="P75" s="31">
        <v>50000</v>
      </c>
      <c r="Q75">
        <f>(776/60000)*Table572[[#This Row],[Quantity]]</f>
        <v>1.2933333333333333E-2</v>
      </c>
      <c r="R75">
        <f>(3100/60000)*Table572[[#This Row],[Quantity]]</f>
        <v>5.1666666666666666E-2</v>
      </c>
      <c r="S75">
        <f>0.28*Table572[[#This Row],[Density kg/m^3]]*Table572[[#This Row],[Total volume (m^3)]]</f>
        <v>3.8629297422800003E-2</v>
      </c>
      <c r="T75" t="s">
        <v>301</v>
      </c>
      <c r="U75">
        <f>30-Table572[[#This Row],[Press time per unit (mins) - lower]]-Table572[[#This Row],[Oven adjusted time per unit (mins)]]</f>
        <v>9.9894551508399996</v>
      </c>
      <c r="V75">
        <f>90-Table572[[#This Row],[Press time per unit (mins) - upper]]-Table572[[#This Row],[Oven adjusted time per unit (mins)]]</f>
        <v>10.98945515084</v>
      </c>
      <c r="W75">
        <v>20</v>
      </c>
      <c r="X75">
        <v>79</v>
      </c>
      <c r="Y75">
        <f>60*(Table572[[#This Row],[Total volume (m^3)]]/$D$30)*20</f>
        <v>1.0544849160000001E-2</v>
      </c>
    </row>
    <row r="76" spans="1:26" ht="43.2" x14ac:dyDescent="0.3">
      <c r="B76">
        <v>1.3</v>
      </c>
      <c r="C76" t="s">
        <v>395</v>
      </c>
      <c r="D76">
        <f>4038.467*0.000000001</f>
        <v>4.0384670000000001E-6</v>
      </c>
      <c r="E76">
        <v>1</v>
      </c>
      <c r="F76">
        <f>Table572[[#This Row],[Part volume (m^3)]]*Table572[[#This Row],[Quantity]]</f>
        <v>4.0384670000000001E-6</v>
      </c>
      <c r="G76" s="31" t="s">
        <v>396</v>
      </c>
      <c r="H76" s="31">
        <v>1440</v>
      </c>
      <c r="I76">
        <v>93000</v>
      </c>
      <c r="J76">
        <f>Table572[[#This Row],[Part volume (m^3)]]*Table572[[#This Row],[Material Cost per m^3]]</f>
        <v>0.37557743100000002</v>
      </c>
      <c r="K76" s="102">
        <f>34.1*Table572[[#This Row],[Density kg/m^3]]*Table572[[#This Row],[Total volume (m^3)]]</f>
        <v>0.198304883568</v>
      </c>
      <c r="L76" t="s">
        <v>393</v>
      </c>
      <c r="M76" s="31" t="s">
        <v>330</v>
      </c>
      <c r="N76" s="31" t="s">
        <v>197</v>
      </c>
      <c r="O76" s="31">
        <v>250000</v>
      </c>
      <c r="P76" s="31">
        <v>50000</v>
      </c>
      <c r="Q76">
        <f>(776/60000)*Table572[[#This Row],[Quantity]]</f>
        <v>1.2933333333333333E-2</v>
      </c>
      <c r="R76">
        <f>(3100/60000)*Table572[[#This Row],[Quantity]]</f>
        <v>5.1666666666666666E-2</v>
      </c>
      <c r="S76">
        <f>0.28*Table572[[#This Row],[Density kg/m^3]]*Table572[[#This Row],[Total volume (m^3)]]</f>
        <v>1.6283098944000001E-3</v>
      </c>
      <c r="T76" t="s">
        <v>301</v>
      </c>
      <c r="U76">
        <f>30-Table572[[#This Row],[Press time per unit (mins) - lower]]-Table572[[#This Row],[Oven adjusted time per unit (mins)]]</f>
        <v>9.9995153839600004</v>
      </c>
      <c r="V76">
        <f>90-Table572[[#This Row],[Press time per unit (mins) - upper]]-Table572[[#This Row],[Oven adjusted time per unit (mins)]]</f>
        <v>10.99951538396</v>
      </c>
      <c r="W76">
        <v>20</v>
      </c>
      <c r="X76">
        <v>79</v>
      </c>
      <c r="Y76">
        <f>60*(Table572[[#This Row],[Total volume (m^3)]]/$D$30)*20</f>
        <v>4.8461604E-4</v>
      </c>
    </row>
    <row r="77" spans="1:26" ht="43.2" x14ac:dyDescent="0.3">
      <c r="B77">
        <v>1.4</v>
      </c>
      <c r="C77" t="s">
        <v>397</v>
      </c>
      <c r="D77">
        <f>32481.251*0.000000001</f>
        <v>3.2481251000000003E-5</v>
      </c>
      <c r="E77">
        <v>1</v>
      </c>
      <c r="F77">
        <f>Table572[[#This Row],[Part volume (m^3)]]*Table572[[#This Row],[Quantity]]</f>
        <v>3.2481251000000003E-5</v>
      </c>
      <c r="G77" s="31" t="s">
        <v>396</v>
      </c>
      <c r="H77" s="31">
        <v>1440</v>
      </c>
      <c r="I77">
        <v>93000</v>
      </c>
      <c r="J77">
        <f>Table572[[#This Row],[Part volume (m^3)]]*Table572[[#This Row],[Material Cost per m^3]]</f>
        <v>3.0207563430000004</v>
      </c>
      <c r="K77" s="102">
        <f>34.1*Table572[[#This Row],[Density kg/m^3]]*Table572[[#This Row],[Total volume (m^3)]]</f>
        <v>1.5949593491040002</v>
      </c>
      <c r="L77" t="s">
        <v>393</v>
      </c>
      <c r="M77" s="31" t="s">
        <v>330</v>
      </c>
      <c r="N77" s="31" t="s">
        <v>197</v>
      </c>
      <c r="O77" s="31">
        <v>250000</v>
      </c>
      <c r="P77" s="31">
        <v>50000</v>
      </c>
      <c r="Q77">
        <f>(776/60000)*Table572[[#This Row],[Quantity]]</f>
        <v>1.2933333333333333E-2</v>
      </c>
      <c r="R77">
        <f>(3100/60000)*Table572[[#This Row],[Quantity]]</f>
        <v>5.1666666666666666E-2</v>
      </c>
      <c r="S77">
        <f>0.28*Table572[[#This Row],[Density kg/m^3]]*Table572[[#This Row],[Total volume (m^3)]]</f>
        <v>1.3096440403200002E-2</v>
      </c>
      <c r="T77" t="s">
        <v>301</v>
      </c>
      <c r="U77">
        <f>30-Table572[[#This Row],[Press time per unit (mins) - lower]]-Table572[[#This Row],[Oven adjusted time per unit (mins)]]</f>
        <v>9.9961022498799998</v>
      </c>
      <c r="V77">
        <f>90-Table572[[#This Row],[Press time per unit (mins) - upper]]-Table572[[#This Row],[Oven adjusted time per unit (mins)]]</f>
        <v>10.99610224988</v>
      </c>
      <c r="W77">
        <v>20</v>
      </c>
      <c r="X77">
        <v>79</v>
      </c>
      <c r="Y77">
        <f>60*(Table572[[#This Row],[Total volume (m^3)]]/$D$30)*20</f>
        <v>3.8977501200000006E-3</v>
      </c>
    </row>
    <row r="78" spans="1:26" ht="28.8" x14ac:dyDescent="0.3">
      <c r="B78">
        <v>1.5</v>
      </c>
      <c r="C78" t="s">
        <v>398</v>
      </c>
      <c r="D78">
        <f t="shared" si="4"/>
        <v>8.8385061000000002E-5</v>
      </c>
      <c r="E78">
        <v>1</v>
      </c>
      <c r="F78">
        <f>Table572[[#This Row],[Part volume (m^3)]]*Table572[[#This Row],[Quantity]]</f>
        <v>8.8385061000000002E-5</v>
      </c>
      <c r="G78" s="31" t="s">
        <v>392</v>
      </c>
      <c r="H78" s="31">
        <v>1570</v>
      </c>
      <c r="I78">
        <v>155000</v>
      </c>
      <c r="J78">
        <f>Table572[[#This Row],[Part volume (m^3)]]*Table572[[#This Row],[Material Cost per m^3]]</f>
        <v>13.699684455</v>
      </c>
      <c r="K78" s="102">
        <f>34.1*Table572[[#This Row],[Density kg/m^3]]*Table572[[#This Row],[Total volume (m^3)]]</f>
        <v>4.7318710107569997</v>
      </c>
      <c r="L78" t="s">
        <v>393</v>
      </c>
      <c r="M78" s="31" t="s">
        <v>330</v>
      </c>
      <c r="N78" s="31" t="s">
        <v>197</v>
      </c>
      <c r="O78" s="31">
        <v>250000</v>
      </c>
      <c r="P78" s="31">
        <v>50000</v>
      </c>
      <c r="Q78">
        <f>(776/60000)*Table572[[#This Row],[Quantity]]</f>
        <v>1.2933333333333333E-2</v>
      </c>
      <c r="R78">
        <f>(3100/60000)*Table572[[#This Row],[Quantity]]</f>
        <v>5.1666666666666666E-2</v>
      </c>
      <c r="S78">
        <f>0.28*Table572[[#This Row],[Density kg/m^3]]*Table572[[#This Row],[Total volume (m^3)]]</f>
        <v>3.8854072815600001E-2</v>
      </c>
      <c r="T78" t="s">
        <v>301</v>
      </c>
      <c r="U78">
        <f>30-Table572[[#This Row],[Press time per unit (mins) - lower]]-Table572[[#This Row],[Oven adjusted time per unit (mins)]]</f>
        <v>9.9893937926799996</v>
      </c>
      <c r="V78">
        <f>90-Table572[[#This Row],[Press time per unit (mins) - upper]]-Table572[[#This Row],[Oven adjusted time per unit (mins)]]</f>
        <v>10.98939379268</v>
      </c>
      <c r="W78">
        <v>20</v>
      </c>
      <c r="X78">
        <v>79</v>
      </c>
      <c r="Y78">
        <f>60*(Table572[[#This Row],[Total volume (m^3)]]/$D$30)*20</f>
        <v>1.0606207320000002E-2</v>
      </c>
    </row>
    <row r="79" spans="1:26" ht="28.8" x14ac:dyDescent="0.3">
      <c r="B79">
        <v>1.6</v>
      </c>
      <c r="C79" t="s">
        <v>399</v>
      </c>
      <c r="D79">
        <f>87873.743*0.000000001</f>
        <v>8.7873743000000003E-5</v>
      </c>
      <c r="E79">
        <v>1</v>
      </c>
      <c r="F79">
        <f>Table572[[#This Row],[Part volume (m^3)]]*Table572[[#This Row],[Quantity]]</f>
        <v>8.7873743000000003E-5</v>
      </c>
      <c r="G79" s="31" t="s">
        <v>392</v>
      </c>
      <c r="H79" s="31">
        <v>1570</v>
      </c>
      <c r="I79">
        <v>155000</v>
      </c>
      <c r="J79">
        <f>Table572[[#This Row],[Part volume (m^3)]]*Table572[[#This Row],[Material Cost per m^3]]</f>
        <v>13.620430165</v>
      </c>
      <c r="K79" s="102">
        <f>34.1*Table572[[#This Row],[Density kg/m^3]]*Table572[[#This Row],[Total volume (m^3)]]</f>
        <v>4.7044965789909998</v>
      </c>
      <c r="L79" t="s">
        <v>393</v>
      </c>
      <c r="M79" s="31" t="s">
        <v>330</v>
      </c>
      <c r="N79" s="31" t="s">
        <v>197</v>
      </c>
      <c r="O79" s="31">
        <v>250000</v>
      </c>
      <c r="P79" s="31">
        <v>50000</v>
      </c>
      <c r="Q79">
        <f>(776/60000)*Table572[[#This Row],[Quantity]]</f>
        <v>1.2933333333333333E-2</v>
      </c>
      <c r="R79">
        <f>(3100/60000)*Table572[[#This Row],[Quantity]]</f>
        <v>5.1666666666666666E-2</v>
      </c>
      <c r="S79">
        <f>0.28*Table572[[#This Row],[Density kg/m^3]]*Table572[[#This Row],[Total volume (m^3)]]</f>
        <v>3.8629297422800003E-2</v>
      </c>
      <c r="T79" t="s">
        <v>301</v>
      </c>
      <c r="U79">
        <f>30-Table572[[#This Row],[Press time per unit (mins) - lower]]-Table572[[#This Row],[Oven adjusted time per unit (mins)]]</f>
        <v>9.9894551508399996</v>
      </c>
      <c r="V79">
        <f>90-Table572[[#This Row],[Press time per unit (mins) - upper]]-Table572[[#This Row],[Oven adjusted time per unit (mins)]]</f>
        <v>10.98945515084</v>
      </c>
      <c r="W79">
        <v>20</v>
      </c>
      <c r="X79">
        <v>79</v>
      </c>
      <c r="Y79">
        <f>60*(Table572[[#This Row],[Total volume (m^3)]]/$D$30)*20</f>
        <v>1.0544849160000001E-2</v>
      </c>
    </row>
    <row r="80" spans="1:26" ht="43.2" x14ac:dyDescent="0.3">
      <c r="B80">
        <v>1.7</v>
      </c>
      <c r="C80" t="s">
        <v>400</v>
      </c>
      <c r="D80">
        <f>4038.467*0.000000001</f>
        <v>4.0384670000000001E-6</v>
      </c>
      <c r="E80">
        <v>1</v>
      </c>
      <c r="F80">
        <f>Table572[[#This Row],[Part volume (m^3)]]*Table572[[#This Row],[Quantity]]</f>
        <v>4.0384670000000001E-6</v>
      </c>
      <c r="G80" s="31" t="s">
        <v>396</v>
      </c>
      <c r="H80" s="31">
        <v>1440</v>
      </c>
      <c r="I80">
        <v>93000</v>
      </c>
      <c r="J80">
        <f>Table572[[#This Row],[Part volume (m^3)]]*Table572[[#This Row],[Material Cost per m^3]]</f>
        <v>0.37557743100000002</v>
      </c>
      <c r="K80" s="102">
        <f>34.1*Table572[[#This Row],[Density kg/m^3]]*Table572[[#This Row],[Total volume (m^3)]]</f>
        <v>0.198304883568</v>
      </c>
      <c r="L80" t="s">
        <v>393</v>
      </c>
      <c r="M80" s="31" t="s">
        <v>330</v>
      </c>
      <c r="N80" s="31" t="s">
        <v>197</v>
      </c>
      <c r="O80" s="31">
        <v>250000</v>
      </c>
      <c r="P80" s="31">
        <v>50000</v>
      </c>
      <c r="Q80">
        <f>(776/60000)*Table572[[#This Row],[Quantity]]</f>
        <v>1.2933333333333333E-2</v>
      </c>
      <c r="R80">
        <f>(3100/60000)*Table572[[#This Row],[Quantity]]</f>
        <v>5.1666666666666666E-2</v>
      </c>
      <c r="S80">
        <f>0.28*Table572[[#This Row],[Density kg/m^3]]*Table572[[#This Row],[Total volume (m^3)]]</f>
        <v>1.6283098944000001E-3</v>
      </c>
      <c r="T80" t="s">
        <v>301</v>
      </c>
      <c r="U80">
        <f>30-Table572[[#This Row],[Press time per unit (mins) - lower]]-Table572[[#This Row],[Oven adjusted time per unit (mins)]]</f>
        <v>9.9995153839600004</v>
      </c>
      <c r="V80">
        <f>90-Table572[[#This Row],[Press time per unit (mins) - upper]]-Table572[[#This Row],[Oven adjusted time per unit (mins)]]</f>
        <v>10.99951538396</v>
      </c>
      <c r="W80">
        <v>20</v>
      </c>
      <c r="X80">
        <v>79</v>
      </c>
      <c r="Y80">
        <f>60*(Table572[[#This Row],[Total volume (m^3)]]/$D$30)*20</f>
        <v>4.8461604E-4</v>
      </c>
    </row>
    <row r="81" spans="1:25" ht="43.2" x14ac:dyDescent="0.3">
      <c r="B81">
        <v>1.8</v>
      </c>
      <c r="C81" t="s">
        <v>401</v>
      </c>
      <c r="D81">
        <f>32481.251*0.000000001</f>
        <v>3.2481251000000003E-5</v>
      </c>
      <c r="E81">
        <v>1</v>
      </c>
      <c r="F81">
        <f>Table572[[#This Row],[Part volume (m^3)]]*Table572[[#This Row],[Quantity]]</f>
        <v>3.2481251000000003E-5</v>
      </c>
      <c r="G81" s="31" t="s">
        <v>396</v>
      </c>
      <c r="H81" s="31">
        <v>1440</v>
      </c>
      <c r="I81">
        <v>93000</v>
      </c>
      <c r="J81">
        <f>Table572[[#This Row],[Part volume (m^3)]]*Table572[[#This Row],[Material Cost per m^3]]</f>
        <v>3.0207563430000004</v>
      </c>
      <c r="K81" s="102">
        <f>34.1*Table572[[#This Row],[Density kg/m^3]]*Table572[[#This Row],[Total volume (m^3)]]</f>
        <v>1.5949593491040002</v>
      </c>
      <c r="L81" t="s">
        <v>393</v>
      </c>
      <c r="M81" s="31" t="s">
        <v>330</v>
      </c>
      <c r="N81" s="31" t="s">
        <v>197</v>
      </c>
      <c r="O81" s="31">
        <v>250000</v>
      </c>
      <c r="P81" s="31">
        <v>50000</v>
      </c>
      <c r="Q81">
        <f>(776/60000)*Table572[[#This Row],[Quantity]]</f>
        <v>1.2933333333333333E-2</v>
      </c>
      <c r="R81">
        <f>(3100/60000)*Table572[[#This Row],[Quantity]]</f>
        <v>5.1666666666666666E-2</v>
      </c>
      <c r="S81">
        <f>0.28*Table572[[#This Row],[Density kg/m^3]]*Table572[[#This Row],[Total volume (m^3)]]</f>
        <v>1.3096440403200002E-2</v>
      </c>
      <c r="T81" t="s">
        <v>301</v>
      </c>
      <c r="U81">
        <f>30-Table572[[#This Row],[Press time per unit (mins) - lower]]-Table572[[#This Row],[Oven adjusted time per unit (mins)]]</f>
        <v>9.9961022498799998</v>
      </c>
      <c r="V81">
        <f>90-Table572[[#This Row],[Press time per unit (mins) - upper]]-Table572[[#This Row],[Oven adjusted time per unit (mins)]]</f>
        <v>10.99610224988</v>
      </c>
      <c r="W81">
        <v>20</v>
      </c>
      <c r="X81">
        <v>79</v>
      </c>
      <c r="Y81">
        <f>60*(Table572[[#This Row],[Total volume (m^3)]]/$D$30)*20</f>
        <v>3.8977501200000006E-3</v>
      </c>
    </row>
    <row r="82" spans="1:25" ht="43.2" x14ac:dyDescent="0.3">
      <c r="A82" t="s">
        <v>402</v>
      </c>
      <c r="B82">
        <v>2.1</v>
      </c>
      <c r="C82" t="s">
        <v>403</v>
      </c>
      <c r="D82">
        <f>62001.549*0.000000001</f>
        <v>6.2001549000000007E-5</v>
      </c>
      <c r="E82">
        <v>1</v>
      </c>
      <c r="F82">
        <f>Table572[[#This Row],[Part volume (m^3)]]*Table572[[#This Row],[Quantity]]</f>
        <v>6.2001549000000007E-5</v>
      </c>
      <c r="G82" s="31" t="s">
        <v>396</v>
      </c>
      <c r="H82" s="31">
        <v>1440</v>
      </c>
      <c r="I82">
        <v>93000</v>
      </c>
      <c r="J82">
        <f>Table572[[#This Row],[Part volume (m^3)]]*Table572[[#This Row],[Material Cost per m^3]]</f>
        <v>5.7661440570000009</v>
      </c>
      <c r="K82" s="102">
        <f>34.1*Table572[[#This Row],[Density kg/m^3]]*Table572[[#This Row],[Total volume (m^3)]]</f>
        <v>3.0445240620960003</v>
      </c>
      <c r="L82" t="s">
        <v>404</v>
      </c>
      <c r="M82" s="31" t="s">
        <v>405</v>
      </c>
      <c r="N82" s="31">
        <v>100000</v>
      </c>
      <c r="O82" s="31" t="s">
        <v>197</v>
      </c>
      <c r="P82" s="31" t="s">
        <v>197</v>
      </c>
      <c r="Q82">
        <f>(3100/60000)*Table572[[#This Row],[Quantity]]</f>
        <v>5.1666666666666666E-2</v>
      </c>
      <c r="R82">
        <f>(77600/60000)*Table572[[#This Row],[Quantity]]</f>
        <v>1.2933333333333332</v>
      </c>
      <c r="S82">
        <f>2*Table572[[#This Row],[Density kg/m^3]]*Table572[[#This Row],[Total volume (m^3)]]</f>
        <v>0.17856446112000002</v>
      </c>
      <c r="T82" t="s">
        <v>304</v>
      </c>
      <c r="U82">
        <f>0.17</f>
        <v>0.17</v>
      </c>
      <c r="V82">
        <v>0.88</v>
      </c>
      <c r="W82" t="s">
        <v>197</v>
      </c>
      <c r="X82" t="s">
        <v>197</v>
      </c>
      <c r="Y82" t="s">
        <v>197</v>
      </c>
    </row>
    <row r="83" spans="1:25" ht="43.2" x14ac:dyDescent="0.3">
      <c r="B83">
        <v>2.2000000000000002</v>
      </c>
      <c r="C83" t="s">
        <v>406</v>
      </c>
      <c r="D83">
        <f>62001.549*0.000000001</f>
        <v>6.2001549000000007E-5</v>
      </c>
      <c r="E83">
        <v>1</v>
      </c>
      <c r="F83">
        <f>Table572[[#This Row],[Part volume (m^3)]]*Table572[[#This Row],[Quantity]]</f>
        <v>6.2001549000000007E-5</v>
      </c>
      <c r="G83" s="31" t="s">
        <v>396</v>
      </c>
      <c r="H83" s="31">
        <v>1440</v>
      </c>
      <c r="I83">
        <v>93000</v>
      </c>
      <c r="J83">
        <f>Table572[[#This Row],[Part volume (m^3)]]*Table572[[#This Row],[Material Cost per m^3]]</f>
        <v>5.7661440570000009</v>
      </c>
      <c r="K83" s="102">
        <f>34.1*Table572[[#This Row],[Density kg/m^3]]*Table572[[#This Row],[Total volume (m^3)]]</f>
        <v>3.0445240620960003</v>
      </c>
      <c r="L83" t="s">
        <v>404</v>
      </c>
      <c r="M83" s="31" t="s">
        <v>405</v>
      </c>
      <c r="N83" s="31">
        <v>100000</v>
      </c>
      <c r="O83" s="31" t="s">
        <v>197</v>
      </c>
      <c r="P83" s="31" t="s">
        <v>197</v>
      </c>
      <c r="Q83">
        <f>(3100/60000)*Table572[[#This Row],[Quantity]]</f>
        <v>5.1666666666666666E-2</v>
      </c>
      <c r="R83">
        <f>(77600/60000)*Table572[[#This Row],[Quantity]]</f>
        <v>1.2933333333333332</v>
      </c>
      <c r="S83">
        <f>2*Table572[[#This Row],[Density kg/m^3]]*Table572[[#This Row],[Total volume (m^3)]]</f>
        <v>0.17856446112000002</v>
      </c>
      <c r="T83" t="s">
        <v>304</v>
      </c>
      <c r="U83">
        <f t="shared" ref="U83:U84" si="5">0.17</f>
        <v>0.17</v>
      </c>
      <c r="V83">
        <v>0.88</v>
      </c>
      <c r="W83" t="s">
        <v>197</v>
      </c>
      <c r="X83" t="s">
        <v>197</v>
      </c>
      <c r="Y83" t="s">
        <v>197</v>
      </c>
    </row>
    <row r="84" spans="1:25" ht="43.2" x14ac:dyDescent="0.3">
      <c r="A84" t="s">
        <v>407</v>
      </c>
      <c r="B84">
        <v>3.1</v>
      </c>
      <c r="C84" t="s">
        <v>407</v>
      </c>
      <c r="D84">
        <f>45247.032*0.000000001</f>
        <v>4.5247032000000003E-5</v>
      </c>
      <c r="E84">
        <v>1</v>
      </c>
      <c r="F84">
        <f>Table572[[#This Row],[Part volume (m^3)]]*Table572[[#This Row],[Quantity]]</f>
        <v>4.5247032000000003E-5</v>
      </c>
      <c r="G84" s="31" t="s">
        <v>396</v>
      </c>
      <c r="H84" s="31">
        <v>1440</v>
      </c>
      <c r="I84">
        <v>93000</v>
      </c>
      <c r="J84">
        <f>Table572[[#This Row],[Part volume (m^3)]]*Table572[[#This Row],[Material Cost per m^3]]</f>
        <v>4.2079739759999999</v>
      </c>
      <c r="K84" s="102">
        <f>34.1*Table572[[#This Row],[Density kg/m^3]]*Table572[[#This Row],[Total volume (m^3)]]</f>
        <v>2.221810259328</v>
      </c>
      <c r="L84" t="s">
        <v>404</v>
      </c>
      <c r="M84" s="31" t="s">
        <v>405</v>
      </c>
      <c r="N84" s="31">
        <v>100000</v>
      </c>
      <c r="O84" s="31" t="s">
        <v>197</v>
      </c>
      <c r="P84" s="31" t="s">
        <v>197</v>
      </c>
      <c r="Q84">
        <f>(3100/60000)*Table572[[#This Row],[Quantity]]</f>
        <v>5.1666666666666666E-2</v>
      </c>
      <c r="R84">
        <f>(77600/60000)*Table572[[#This Row],[Quantity]]</f>
        <v>1.2933333333333332</v>
      </c>
      <c r="S84">
        <f>2*Table572[[#This Row],[Density kg/m^3]]*Table572[[#This Row],[Total volume (m^3)]]</f>
        <v>0.13031145216000001</v>
      </c>
      <c r="T84" t="s">
        <v>304</v>
      </c>
      <c r="U84">
        <f t="shared" si="5"/>
        <v>0.17</v>
      </c>
      <c r="V84">
        <v>0.88</v>
      </c>
      <c r="W84" t="s">
        <v>197</v>
      </c>
      <c r="X84" t="s">
        <v>197</v>
      </c>
      <c r="Y84" t="s">
        <v>197</v>
      </c>
    </row>
  </sheetData>
  <mergeCells count="5">
    <mergeCell ref="B3:I3"/>
    <mergeCell ref="B29:I29"/>
    <mergeCell ref="B45:I45"/>
    <mergeCell ref="B56:I56"/>
    <mergeCell ref="B72:I72"/>
  </mergeCells>
  <phoneticPr fontId="21" type="noConversion"/>
  <pageMargins left="0.7" right="0.7" top="0.75" bottom="0.75" header="0.3" footer="0.3"/>
  <legacyDrawing r:id="rId1"/>
  <tableParts count="5">
    <tablePart r:id="rId2"/>
    <tablePart r:id="rId3"/>
    <tablePart r:id="rId4"/>
    <tablePart r:id="rId5"/>
    <tablePart r:id="rId6"/>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705A7-8A60-40EC-8D48-64B65EABC2FD}">
  <dimension ref="B2:N49"/>
  <sheetViews>
    <sheetView topLeftCell="A15" zoomScale="80" zoomScaleNormal="80" workbookViewId="0">
      <selection activeCell="D12" sqref="D12"/>
    </sheetView>
  </sheetViews>
  <sheetFormatPr defaultRowHeight="14.4" x14ac:dyDescent="0.3"/>
  <cols>
    <col min="2" max="2" width="39.6640625" customWidth="1"/>
    <col min="3" max="3" width="35.6640625" customWidth="1"/>
    <col min="4" max="4" width="42.33203125" bestFit="1" customWidth="1"/>
    <col min="5" max="5" width="31" bestFit="1" customWidth="1"/>
    <col min="6" max="9" width="13.6640625" customWidth="1"/>
    <col min="10" max="10" width="8.33203125" customWidth="1"/>
  </cols>
  <sheetData>
    <row r="2" spans="2:14" ht="27" customHeight="1" x14ac:dyDescent="0.3">
      <c r="B2" s="183" t="s">
        <v>220</v>
      </c>
      <c r="C2" s="183" t="s">
        <v>408</v>
      </c>
      <c r="D2" s="183" t="s">
        <v>409</v>
      </c>
      <c r="E2" s="182" t="s">
        <v>410</v>
      </c>
      <c r="F2" s="182"/>
      <c r="G2" s="182"/>
      <c r="H2" s="182"/>
      <c r="I2" s="182"/>
      <c r="J2" s="182" t="s">
        <v>411</v>
      </c>
      <c r="K2" s="182"/>
      <c r="L2" s="182"/>
      <c r="M2" s="182"/>
      <c r="N2" s="182"/>
    </row>
    <row r="3" spans="2:14" x14ac:dyDescent="0.3">
      <c r="B3" s="185"/>
      <c r="C3" s="186"/>
      <c r="D3" s="184"/>
      <c r="E3" s="52" t="s">
        <v>223</v>
      </c>
      <c r="F3" s="52" t="s">
        <v>224</v>
      </c>
      <c r="G3" s="52" t="s">
        <v>225</v>
      </c>
      <c r="H3" s="52" t="s">
        <v>226</v>
      </c>
      <c r="I3" s="52" t="s">
        <v>227</v>
      </c>
      <c r="J3" s="52" t="s">
        <v>223</v>
      </c>
      <c r="K3" s="52" t="s">
        <v>224</v>
      </c>
      <c r="L3" s="52" t="s">
        <v>225</v>
      </c>
      <c r="M3" s="52" t="s">
        <v>226</v>
      </c>
      <c r="N3" s="52" t="s">
        <v>227</v>
      </c>
    </row>
    <row r="4" spans="2:14" x14ac:dyDescent="0.3">
      <c r="B4" s="7" t="s">
        <v>228</v>
      </c>
      <c r="C4" s="46">
        <v>3</v>
      </c>
      <c r="D4" s="125">
        <f>((SUM('Product breakdown'!U5:U25)+SUM('Product breakdown'!V5:V25))/2)+((SUM(Table57[Press time per unit (mins) - lower])+SUM(Table57[Press time per unit (mins) - upper]))/2)+((SUM('Product breakdown'!U47:U53)+SUM('Product breakdown'!V47:V53))/2)+((SUM('Product breakdown'!W74:W81)+SUM('Product breakdown'!X74:X81))/2)</f>
        <v>802.5</v>
      </c>
      <c r="E4" s="7" t="str">
        <f t="shared" ref="E4:I11" si="0">IF(ISNUMBER(C$18),($D4/C$18)*100,"N/A")</f>
        <v>N/A</v>
      </c>
      <c r="F4" s="125">
        <f t="shared" si="0"/>
        <v>93.531468531468548</v>
      </c>
      <c r="G4" s="125">
        <f t="shared" si="0"/>
        <v>280.59440559440554</v>
      </c>
      <c r="H4" s="125">
        <f t="shared" si="0"/>
        <v>561.18881118881109</v>
      </c>
      <c r="I4" s="125">
        <f t="shared" si="0"/>
        <v>561.18881118881109</v>
      </c>
      <c r="J4" s="7" t="str">
        <f t="shared" ref="J4:N11" si="1">IF(ISNUMBER(E4),ROUNDUP((E4/100),0),"N/A")</f>
        <v>N/A</v>
      </c>
      <c r="K4" s="7">
        <f t="shared" si="1"/>
        <v>1</v>
      </c>
      <c r="L4" s="7">
        <f t="shared" si="1"/>
        <v>3</v>
      </c>
      <c r="M4" s="7">
        <f t="shared" si="1"/>
        <v>6</v>
      </c>
      <c r="N4" s="7">
        <f t="shared" si="1"/>
        <v>6</v>
      </c>
    </row>
    <row r="5" spans="2:14" x14ac:dyDescent="0.3">
      <c r="B5" s="7" t="s">
        <v>229</v>
      </c>
      <c r="C5" s="7">
        <f>2.5*2</f>
        <v>5</v>
      </c>
      <c r="D5" s="125">
        <f>60+SUM('Product breakdown'!W7,'Product breakdown'!W12,'Product breakdown'!W15,'Product breakdown'!W19,'Product breakdown'!W22,'Product breakdown'!W23,'Product breakdown'!W24,'Product breakdown'!W25, 'Product breakdown'!W5,Table57[Oven adjusted time per unit (mins)],'Product breakdown'!W47:W53,Table572[Oven adjusted time per unit (mins)])</f>
        <v>64.966206029039995</v>
      </c>
      <c r="E5" s="7" t="str">
        <f t="shared" si="0"/>
        <v>N/A</v>
      </c>
      <c r="F5" s="125">
        <f t="shared" si="0"/>
        <v>7.5718188845034966</v>
      </c>
      <c r="G5" s="125">
        <f t="shared" si="0"/>
        <v>22.715456653510483</v>
      </c>
      <c r="H5" s="125">
        <f t="shared" si="0"/>
        <v>45.430913307020965</v>
      </c>
      <c r="I5" s="125">
        <f t="shared" si="0"/>
        <v>45.430913307020965</v>
      </c>
      <c r="J5" s="7" t="str">
        <f t="shared" si="1"/>
        <v>N/A</v>
      </c>
      <c r="K5" s="7">
        <f t="shared" si="1"/>
        <v>1</v>
      </c>
      <c r="L5" s="7">
        <f t="shared" si="1"/>
        <v>1</v>
      </c>
      <c r="M5" s="7">
        <f t="shared" si="1"/>
        <v>1</v>
      </c>
      <c r="N5" s="7">
        <f t="shared" si="1"/>
        <v>1</v>
      </c>
    </row>
    <row r="6" spans="2:14" x14ac:dyDescent="0.3">
      <c r="B6" s="7" t="s">
        <v>230</v>
      </c>
      <c r="C6" s="6">
        <f>0.92*0.76</f>
        <v>0.69920000000000004</v>
      </c>
      <c r="D6" s="125">
        <v>30</v>
      </c>
      <c r="E6" s="7" t="str">
        <f t="shared" si="0"/>
        <v>N/A</v>
      </c>
      <c r="F6" s="125">
        <f t="shared" si="0"/>
        <v>3.4965034965034967</v>
      </c>
      <c r="G6" s="125">
        <f t="shared" si="0"/>
        <v>10.489510489510486</v>
      </c>
      <c r="H6" s="125">
        <f t="shared" si="0"/>
        <v>20.979020979020973</v>
      </c>
      <c r="I6" s="125">
        <f t="shared" si="0"/>
        <v>20.979020979020973</v>
      </c>
      <c r="J6" s="7" t="str">
        <f t="shared" si="1"/>
        <v>N/A</v>
      </c>
      <c r="K6" s="7">
        <f t="shared" si="1"/>
        <v>1</v>
      </c>
      <c r="L6" s="7">
        <f t="shared" si="1"/>
        <v>1</v>
      </c>
      <c r="M6" s="7">
        <f t="shared" si="1"/>
        <v>1</v>
      </c>
      <c r="N6" s="7">
        <f t="shared" si="1"/>
        <v>1</v>
      </c>
    </row>
    <row r="7" spans="2:14" x14ac:dyDescent="0.3">
      <c r="B7" s="7" t="s">
        <v>231</v>
      </c>
      <c r="C7" s="7">
        <f>0.6*0.8</f>
        <v>0.48</v>
      </c>
      <c r="D7" s="125">
        <v>30</v>
      </c>
      <c r="E7" s="7" t="str">
        <f t="shared" si="0"/>
        <v>N/A</v>
      </c>
      <c r="F7" s="125">
        <f t="shared" si="0"/>
        <v>3.4965034965034967</v>
      </c>
      <c r="G7" s="125">
        <f t="shared" si="0"/>
        <v>10.489510489510486</v>
      </c>
      <c r="H7" s="125">
        <f t="shared" si="0"/>
        <v>20.979020979020973</v>
      </c>
      <c r="I7" s="125">
        <f t="shared" si="0"/>
        <v>20.979020979020973</v>
      </c>
      <c r="J7" s="7" t="str">
        <f t="shared" si="1"/>
        <v>N/A</v>
      </c>
      <c r="K7" s="7">
        <f t="shared" si="1"/>
        <v>1</v>
      </c>
      <c r="L7" s="7">
        <f t="shared" si="1"/>
        <v>1</v>
      </c>
      <c r="M7" s="7">
        <f t="shared" si="1"/>
        <v>1</v>
      </c>
      <c r="N7" s="7">
        <f t="shared" si="1"/>
        <v>1</v>
      </c>
    </row>
    <row r="8" spans="2:14" x14ac:dyDescent="0.3">
      <c r="B8" s="7" t="s">
        <v>232</v>
      </c>
      <c r="C8" s="7">
        <f>1.56*1.11</f>
        <v>1.7316000000000003</v>
      </c>
      <c r="D8" s="125">
        <f>(SUM('Product breakdown'!V65:V66)+SUM('Product breakdown'!W65:W66))/2</f>
        <v>15</v>
      </c>
      <c r="E8" s="7" t="str">
        <f t="shared" si="0"/>
        <v>N/A</v>
      </c>
      <c r="F8" s="125">
        <f t="shared" si="0"/>
        <v>1.7482517482517483</v>
      </c>
      <c r="G8" s="125">
        <f t="shared" si="0"/>
        <v>5.2447552447552432</v>
      </c>
      <c r="H8" s="125">
        <f t="shared" si="0"/>
        <v>10.489510489510486</v>
      </c>
      <c r="I8" s="125">
        <f t="shared" si="0"/>
        <v>10.489510489510486</v>
      </c>
      <c r="J8" s="7" t="str">
        <f t="shared" si="1"/>
        <v>N/A</v>
      </c>
      <c r="K8" s="7">
        <f t="shared" si="1"/>
        <v>1</v>
      </c>
      <c r="L8" s="7">
        <f t="shared" si="1"/>
        <v>1</v>
      </c>
      <c r="M8" s="7">
        <f t="shared" si="1"/>
        <v>1</v>
      </c>
      <c r="N8" s="7">
        <f t="shared" si="1"/>
        <v>1</v>
      </c>
    </row>
    <row r="9" spans="2:14" x14ac:dyDescent="0.3">
      <c r="B9" s="7" t="s">
        <v>233</v>
      </c>
      <c r="C9" s="7">
        <f>1.1*2.4</f>
        <v>2.64</v>
      </c>
      <c r="D9" s="125">
        <f>(SUM('Product breakdown'!V68:V69)+SUM('Product breakdown'!W68:W69))/2</f>
        <v>7.25</v>
      </c>
      <c r="E9" s="7" t="str">
        <f t="shared" si="0"/>
        <v>N/A</v>
      </c>
      <c r="F9" s="125">
        <f t="shared" si="0"/>
        <v>0.84498834498834519</v>
      </c>
      <c r="G9" s="125">
        <f t="shared" si="0"/>
        <v>2.5349650349650346</v>
      </c>
      <c r="H9" s="125">
        <f t="shared" si="0"/>
        <v>5.0699300699300691</v>
      </c>
      <c r="I9" s="125">
        <f t="shared" si="0"/>
        <v>5.0699300699300691</v>
      </c>
      <c r="J9" s="7" t="str">
        <f t="shared" si="1"/>
        <v>N/A</v>
      </c>
      <c r="K9" s="7">
        <f t="shared" si="1"/>
        <v>1</v>
      </c>
      <c r="L9" s="7">
        <f t="shared" si="1"/>
        <v>1</v>
      </c>
      <c r="M9" s="7">
        <f t="shared" si="1"/>
        <v>1</v>
      </c>
      <c r="N9" s="7">
        <f t="shared" si="1"/>
        <v>1</v>
      </c>
    </row>
    <row r="10" spans="2:14" x14ac:dyDescent="0.3">
      <c r="B10" s="7" t="s">
        <v>519</v>
      </c>
      <c r="C10" s="7">
        <f>C4*5</f>
        <v>15</v>
      </c>
      <c r="D10" s="125">
        <f>(SUM('Product breakdown'!S5:S21))/2</f>
        <v>52.793846932320001</v>
      </c>
      <c r="E10" s="7" t="str">
        <f t="shared" si="0"/>
        <v>N/A</v>
      </c>
      <c r="F10" s="125">
        <f t="shared" si="0"/>
        <v>6.1531290130909095</v>
      </c>
      <c r="G10" s="125">
        <f t="shared" si="0"/>
        <v>18.459387039272723</v>
      </c>
      <c r="H10" s="125">
        <f t="shared" si="0"/>
        <v>36.918774078545447</v>
      </c>
      <c r="I10" s="125">
        <f t="shared" si="0"/>
        <v>36.918774078545447</v>
      </c>
      <c r="J10" s="7" t="str">
        <f t="shared" si="1"/>
        <v>N/A</v>
      </c>
      <c r="K10" s="7">
        <f t="shared" si="1"/>
        <v>1</v>
      </c>
      <c r="L10" s="7">
        <f t="shared" si="1"/>
        <v>1</v>
      </c>
      <c r="M10" s="7">
        <f t="shared" si="1"/>
        <v>1</v>
      </c>
      <c r="N10" s="7">
        <f t="shared" si="1"/>
        <v>1</v>
      </c>
    </row>
    <row r="11" spans="2:14" x14ac:dyDescent="0.3">
      <c r="B11" s="7" t="s">
        <v>524</v>
      </c>
      <c r="C11" s="7">
        <f>2.29*0.789</f>
        <v>1.80681</v>
      </c>
      <c r="D11" s="125">
        <v>149</v>
      </c>
      <c r="E11" s="7" t="str">
        <f t="shared" si="0"/>
        <v>N/A</v>
      </c>
      <c r="F11" s="125">
        <f t="shared" si="0"/>
        <v>17.365967365967368</v>
      </c>
      <c r="G11" s="125">
        <f t="shared" si="0"/>
        <v>52.097902097902079</v>
      </c>
      <c r="H11" s="125">
        <f t="shared" si="0"/>
        <v>104.19580419580416</v>
      </c>
      <c r="I11" s="125">
        <f t="shared" si="0"/>
        <v>104.19580419580416</v>
      </c>
      <c r="J11" s="7" t="str">
        <f t="shared" si="1"/>
        <v>N/A</v>
      </c>
      <c r="K11" s="7">
        <f t="shared" si="1"/>
        <v>1</v>
      </c>
      <c r="L11" s="7">
        <f t="shared" si="1"/>
        <v>1</v>
      </c>
      <c r="M11" s="7">
        <f t="shared" si="1"/>
        <v>2</v>
      </c>
      <c r="N11" s="7">
        <f t="shared" si="1"/>
        <v>2</v>
      </c>
    </row>
    <row r="13" spans="2:14" x14ac:dyDescent="0.3">
      <c r="C13" s="52" t="s">
        <v>223</v>
      </c>
      <c r="D13" s="52" t="s">
        <v>224</v>
      </c>
      <c r="E13" s="52" t="s">
        <v>225</v>
      </c>
      <c r="F13" s="52" t="s">
        <v>226</v>
      </c>
      <c r="G13" s="52" t="s">
        <v>227</v>
      </c>
    </row>
    <row r="14" spans="2:14" x14ac:dyDescent="0.3">
      <c r="B14" s="52" t="s">
        <v>412</v>
      </c>
      <c r="C14" s="7">
        <v>0</v>
      </c>
      <c r="D14" s="7">
        <v>200</v>
      </c>
      <c r="E14" s="7">
        <v>600</v>
      </c>
      <c r="F14" s="7">
        <v>1200</v>
      </c>
      <c r="G14" s="7">
        <v>1200</v>
      </c>
    </row>
    <row r="15" spans="2:14" x14ac:dyDescent="0.3">
      <c r="B15" s="52" t="s">
        <v>413</v>
      </c>
      <c r="C15" s="7">
        <f>C14/(52*5)</f>
        <v>0</v>
      </c>
      <c r="D15" s="61">
        <f t="shared" ref="D15:G15" si="2">D14/(52*5)</f>
        <v>0.76923076923076927</v>
      </c>
      <c r="E15" s="61">
        <f t="shared" si="2"/>
        <v>2.3076923076923075</v>
      </c>
      <c r="F15" s="61">
        <f t="shared" si="2"/>
        <v>4.615384615384615</v>
      </c>
      <c r="G15" s="61">
        <f t="shared" si="2"/>
        <v>4.615384615384615</v>
      </c>
    </row>
    <row r="16" spans="2:14" x14ac:dyDescent="0.3">
      <c r="B16" s="52" t="s">
        <v>414</v>
      </c>
      <c r="C16" s="7">
        <v>11</v>
      </c>
      <c r="D16" s="7">
        <v>11</v>
      </c>
      <c r="E16" s="7">
        <v>11</v>
      </c>
      <c r="F16" s="7">
        <v>11</v>
      </c>
      <c r="G16" s="7">
        <v>11</v>
      </c>
    </row>
    <row r="17" spans="2:8" x14ac:dyDescent="0.3">
      <c r="B17" s="52" t="s">
        <v>415</v>
      </c>
      <c r="C17" s="7" t="str">
        <f>IF(C14&gt;0,C16/C15,"N/A")</f>
        <v>N/A</v>
      </c>
      <c r="D17" s="124">
        <f t="shared" ref="D17:G17" si="3">IF(D14&gt;0,D16/D15,"N/A")</f>
        <v>14.299999999999999</v>
      </c>
      <c r="E17" s="124">
        <f t="shared" si="3"/>
        <v>4.7666666666666675</v>
      </c>
      <c r="F17" s="124">
        <f t="shared" si="3"/>
        <v>2.3833333333333337</v>
      </c>
      <c r="G17" s="124">
        <f t="shared" si="3"/>
        <v>2.3833333333333337</v>
      </c>
    </row>
    <row r="18" spans="2:8" x14ac:dyDescent="0.3">
      <c r="B18" s="52" t="s">
        <v>416</v>
      </c>
      <c r="C18" s="7" t="str">
        <f>IF(C14&gt;0,C17*60,"N/A")</f>
        <v>N/A</v>
      </c>
      <c r="D18" s="7">
        <f t="shared" ref="D18:G18" si="4">IF(D14&gt;0,D17*60,"N/A")</f>
        <v>857.99999999999989</v>
      </c>
      <c r="E18" s="7">
        <f t="shared" si="4"/>
        <v>286.00000000000006</v>
      </c>
      <c r="F18" s="7">
        <f t="shared" si="4"/>
        <v>143.00000000000003</v>
      </c>
      <c r="G18" s="7">
        <f t="shared" si="4"/>
        <v>143.00000000000003</v>
      </c>
    </row>
    <row r="23" spans="2:8" x14ac:dyDescent="0.3">
      <c r="B23" t="s">
        <v>526</v>
      </c>
      <c r="H23">
        <f>C4*N4</f>
        <v>18</v>
      </c>
    </row>
    <row r="24" spans="2:8" x14ac:dyDescent="0.3">
      <c r="C24" t="s">
        <v>527</v>
      </c>
      <c r="H24">
        <f t="shared" ref="H24:H30" si="5">C5*N5</f>
        <v>5</v>
      </c>
    </row>
    <row r="25" spans="2:8" x14ac:dyDescent="0.3">
      <c r="C25" s="87" t="s">
        <v>528</v>
      </c>
      <c r="H25">
        <f t="shared" si="5"/>
        <v>0.69920000000000004</v>
      </c>
    </row>
    <row r="26" spans="2:8" x14ac:dyDescent="0.3">
      <c r="C26" s="87" t="s">
        <v>529</v>
      </c>
      <c r="H26">
        <f t="shared" si="5"/>
        <v>0.48</v>
      </c>
    </row>
    <row r="27" spans="2:8" x14ac:dyDescent="0.3">
      <c r="C27" s="87" t="s">
        <v>530</v>
      </c>
      <c r="H27">
        <f t="shared" si="5"/>
        <v>1.7316000000000003</v>
      </c>
    </row>
    <row r="28" spans="2:8" x14ac:dyDescent="0.3">
      <c r="C28" s="87" t="s">
        <v>531</v>
      </c>
      <c r="H28">
        <f t="shared" si="5"/>
        <v>2.64</v>
      </c>
    </row>
    <row r="29" spans="2:8" x14ac:dyDescent="0.3">
      <c r="C29" s="87" t="s">
        <v>532</v>
      </c>
      <c r="H29">
        <f t="shared" si="5"/>
        <v>15</v>
      </c>
    </row>
    <row r="30" spans="2:8" x14ac:dyDescent="0.3">
      <c r="C30" t="s">
        <v>533</v>
      </c>
      <c r="H30">
        <f t="shared" si="5"/>
        <v>3.6136200000000001</v>
      </c>
    </row>
    <row r="31" spans="2:8" x14ac:dyDescent="0.3">
      <c r="C31" s="87" t="s">
        <v>534</v>
      </c>
    </row>
    <row r="33" spans="2:8" x14ac:dyDescent="0.3">
      <c r="H33">
        <f>SUM(H23:H30)</f>
        <v>47.16442</v>
      </c>
    </row>
    <row r="40" spans="2:8" x14ac:dyDescent="0.3">
      <c r="B40" s="157" t="s">
        <v>220</v>
      </c>
      <c r="C40" s="157" t="s">
        <v>408</v>
      </c>
      <c r="D40" s="157" t="s">
        <v>411</v>
      </c>
      <c r="E40" s="157" t="s">
        <v>540</v>
      </c>
    </row>
    <row r="41" spans="2:8" x14ac:dyDescent="0.3">
      <c r="B41" s="7" t="s">
        <v>228</v>
      </c>
      <c r="C41" s="121">
        <v>3</v>
      </c>
      <c r="D41" s="46">
        <v>6</v>
      </c>
      <c r="E41" s="160">
        <f>D41*C41</f>
        <v>18</v>
      </c>
    </row>
    <row r="42" spans="2:8" x14ac:dyDescent="0.3">
      <c r="B42" s="7" t="s">
        <v>229</v>
      </c>
      <c r="C42" s="61">
        <f>2.5*2</f>
        <v>5</v>
      </c>
      <c r="D42" s="7">
        <v>1</v>
      </c>
      <c r="E42" s="160">
        <f t="shared" ref="E42:E48" si="6">D42*C42</f>
        <v>5</v>
      </c>
    </row>
    <row r="43" spans="2:8" x14ac:dyDescent="0.3">
      <c r="B43" s="7" t="s">
        <v>230</v>
      </c>
      <c r="C43" s="159">
        <f>0.92*0.76</f>
        <v>0.69920000000000004</v>
      </c>
      <c r="D43" s="6">
        <v>1</v>
      </c>
      <c r="E43" s="160">
        <f t="shared" si="6"/>
        <v>0.69920000000000004</v>
      </c>
    </row>
    <row r="44" spans="2:8" x14ac:dyDescent="0.3">
      <c r="B44" s="7" t="s">
        <v>231</v>
      </c>
      <c r="C44" s="61">
        <f>0.6*0.8</f>
        <v>0.48</v>
      </c>
      <c r="D44" s="7">
        <v>1</v>
      </c>
      <c r="E44" s="160">
        <f t="shared" si="6"/>
        <v>0.48</v>
      </c>
    </row>
    <row r="45" spans="2:8" x14ac:dyDescent="0.3">
      <c r="B45" s="7" t="s">
        <v>232</v>
      </c>
      <c r="C45" s="61">
        <f>1.56*1.11</f>
        <v>1.7316000000000003</v>
      </c>
      <c r="D45" s="7">
        <v>1</v>
      </c>
      <c r="E45" s="160">
        <f t="shared" si="6"/>
        <v>1.7316000000000003</v>
      </c>
    </row>
    <row r="46" spans="2:8" x14ac:dyDescent="0.3">
      <c r="B46" s="7" t="s">
        <v>233</v>
      </c>
      <c r="C46" s="61">
        <f>1.1*2.4</f>
        <v>2.64</v>
      </c>
      <c r="D46" s="7">
        <v>1</v>
      </c>
      <c r="E46" s="160">
        <f t="shared" si="6"/>
        <v>2.64</v>
      </c>
    </row>
    <row r="47" spans="2:8" x14ac:dyDescent="0.3">
      <c r="B47" s="7" t="s">
        <v>519</v>
      </c>
      <c r="C47" s="61">
        <f>C41*5</f>
        <v>15</v>
      </c>
      <c r="D47" s="7">
        <v>1</v>
      </c>
      <c r="E47" s="160">
        <f t="shared" si="6"/>
        <v>15</v>
      </c>
    </row>
    <row r="48" spans="2:8" x14ac:dyDescent="0.3">
      <c r="B48" s="7" t="s">
        <v>524</v>
      </c>
      <c r="C48" s="61">
        <f>2.29*0.789</f>
        <v>1.80681</v>
      </c>
      <c r="D48" s="7">
        <v>2</v>
      </c>
      <c r="E48" s="160">
        <f t="shared" si="6"/>
        <v>3.6136200000000001</v>
      </c>
    </row>
    <row r="49" spans="4:5" x14ac:dyDescent="0.3">
      <c r="D49" s="157" t="s">
        <v>541</v>
      </c>
      <c r="E49" s="158">
        <f>SUM(E41:E48)</f>
        <v>47.16442</v>
      </c>
    </row>
  </sheetData>
  <mergeCells count="5">
    <mergeCell ref="J2:N2"/>
    <mergeCell ref="E2:I2"/>
    <mergeCell ref="D2:D3"/>
    <mergeCell ref="B2:B3"/>
    <mergeCell ref="C2:C3"/>
  </mergeCells>
  <phoneticPr fontId="21" type="noConversion"/>
  <hyperlinks>
    <hyperlink ref="C25" r:id="rId1" xr:uid="{D14402F9-7313-46B3-AC3A-29737824B0CE}"/>
    <hyperlink ref="C26" r:id="rId2" xr:uid="{0124EA30-A797-435E-8FF5-37B6361D42B3}"/>
    <hyperlink ref="C27" r:id="rId3" xr:uid="{5AAFDFE1-A514-442C-991C-89B8269816E1}"/>
    <hyperlink ref="C28" r:id="rId4" xr:uid="{95B60F16-4AF5-4527-AE21-A9599642C255}"/>
    <hyperlink ref="C29" r:id="rId5" xr:uid="{272F4579-3FBF-4643-AFB5-783413331287}"/>
    <hyperlink ref="C31" r:id="rId6" xr:uid="{C3537A37-0F09-466C-B053-20A6B6BDF7A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4729F-15EF-44FA-B95D-A559AF0069ED}">
  <dimension ref="A1:J46"/>
  <sheetViews>
    <sheetView zoomScale="80" zoomScaleNormal="80" workbookViewId="0">
      <selection activeCell="D67" sqref="D67"/>
    </sheetView>
  </sheetViews>
  <sheetFormatPr defaultRowHeight="14.4" x14ac:dyDescent="0.3"/>
  <cols>
    <col min="2" max="2" width="21.33203125" customWidth="1"/>
    <col min="3" max="3" width="30.6640625" customWidth="1"/>
    <col min="4" max="4" width="34.33203125" customWidth="1"/>
    <col min="5" max="5" width="30.6640625" bestFit="1" customWidth="1"/>
    <col min="6" max="6" width="39" customWidth="1"/>
    <col min="7" max="7" width="40.6640625" bestFit="1" customWidth="1"/>
    <col min="8" max="8" width="27.33203125" customWidth="1"/>
    <col min="9" max="9" width="25.88671875" bestFit="1" customWidth="1"/>
    <col min="10" max="10" width="26" bestFit="1" customWidth="1"/>
  </cols>
  <sheetData>
    <row r="1" spans="1:9" ht="21" x14ac:dyDescent="0.4">
      <c r="A1" s="1" t="s">
        <v>417</v>
      </c>
    </row>
    <row r="3" spans="1:9" x14ac:dyDescent="0.3">
      <c r="A3" t="s">
        <v>418</v>
      </c>
    </row>
    <row r="5" spans="1:9" x14ac:dyDescent="0.3">
      <c r="B5" s="2" t="s">
        <v>419</v>
      </c>
    </row>
    <row r="6" spans="1:9" x14ac:dyDescent="0.3">
      <c r="B6" t="s">
        <v>420</v>
      </c>
    </row>
    <row r="8" spans="1:9" x14ac:dyDescent="0.3">
      <c r="B8" s="52" t="s">
        <v>421</v>
      </c>
      <c r="C8" s="52" t="s">
        <v>422</v>
      </c>
      <c r="D8" s="52" t="s">
        <v>423</v>
      </c>
      <c r="E8" s="52" t="s">
        <v>424</v>
      </c>
      <c r="F8" s="52" t="s">
        <v>425</v>
      </c>
      <c r="G8" s="52" t="s">
        <v>535</v>
      </c>
      <c r="H8" s="2" t="s">
        <v>426</v>
      </c>
      <c r="I8" t="s">
        <v>536</v>
      </c>
    </row>
    <row r="9" spans="1:9" x14ac:dyDescent="0.3">
      <c r="B9" s="94">
        <f>'Machine utilisation'!G15</f>
        <v>4.615384615384615</v>
      </c>
      <c r="C9" s="154">
        <f>SUM('Product breakdown'!G5:G25,Table57[Total volume (m^3)],'Product breakdown'!F47:F53,'Product breakdown'!G58:G69,Table572[Total volume (m^3)])</f>
        <v>3.6537930307999969E-2</v>
      </c>
      <c r="D9" s="155">
        <f>Table3[[#This Row],[Raw material volume per unit (m^3)]]*Table3[[#This Row],[Production rate per day]]</f>
        <v>0.1686366014215383</v>
      </c>
      <c r="E9">
        <v>5</v>
      </c>
      <c r="F9" s="155">
        <f>Table3[[#This Row],[Total raw material volume per day (m^3)]]*Table3[[#This Row],[Storage correction factor]]</f>
        <v>0.84318300710769156</v>
      </c>
      <c r="G9" s="156">
        <f>Table3[[#This Row],[Storage space required (m^3)]]/(0.003*10)</f>
        <v>28.106100236923051</v>
      </c>
    </row>
    <row r="11" spans="1:9" x14ac:dyDescent="0.3">
      <c r="B11" s="2" t="s">
        <v>427</v>
      </c>
    </row>
    <row r="12" spans="1:9" x14ac:dyDescent="0.3">
      <c r="B12" t="s">
        <v>428</v>
      </c>
    </row>
    <row r="13" spans="1:9" x14ac:dyDescent="0.3">
      <c r="B13" t="s">
        <v>429</v>
      </c>
    </row>
    <row r="15" spans="1:9" x14ac:dyDescent="0.3">
      <c r="B15" s="52" t="s">
        <v>421</v>
      </c>
      <c r="C15" s="52" t="s">
        <v>430</v>
      </c>
      <c r="D15" s="52" t="s">
        <v>431</v>
      </c>
      <c r="E15" s="52" t="s">
        <v>537</v>
      </c>
      <c r="F15" s="52" t="s">
        <v>432</v>
      </c>
      <c r="G15" s="52" t="s">
        <v>433</v>
      </c>
      <c r="H15" s="52" t="s">
        <v>538</v>
      </c>
    </row>
    <row r="16" spans="1:9" x14ac:dyDescent="0.3">
      <c r="B16" s="94" cm="1">
        <f t="array" ref="B16">Table3[Production rate per day]</f>
        <v>4.615384615384615</v>
      </c>
      <c r="C16">
        <v>1</v>
      </c>
      <c r="D16">
        <v>4</v>
      </c>
      <c r="E16">
        <f>Table18[[#This Row],[Packaged Width (m)]]*Table18[[#This Row],[Packaged Length (m)]]</f>
        <v>4</v>
      </c>
      <c r="F16" s="156">
        <f>Table18[[#This Row],[Final product packaged area per unit (m^2)]]*Table18[[#This Row],[Production rate per day]]</f>
        <v>18.46153846153846</v>
      </c>
      <c r="G16">
        <v>1.5</v>
      </c>
      <c r="H16" s="156">
        <f>Table18[[#This Row],[Final product packaged volume per day (m^3)]]*Table18[[#This Row],[Storage space correction factor]]</f>
        <v>27.69230769230769</v>
      </c>
    </row>
    <row r="18" spans="2:10" x14ac:dyDescent="0.3">
      <c r="B18" s="2" t="s">
        <v>434</v>
      </c>
    </row>
    <row r="20" spans="2:10" x14ac:dyDescent="0.3">
      <c r="B20" t="s">
        <v>435</v>
      </c>
      <c r="C20" t="s">
        <v>436</v>
      </c>
    </row>
    <row r="21" spans="2:10" x14ac:dyDescent="0.3">
      <c r="B21" t="s">
        <v>437</v>
      </c>
      <c r="F21" s="2" t="s">
        <v>438</v>
      </c>
    </row>
    <row r="23" spans="2:10" x14ac:dyDescent="0.3">
      <c r="B23" s="52" t="s">
        <v>421</v>
      </c>
      <c r="C23" s="52" t="s">
        <v>210</v>
      </c>
      <c r="D23" s="52" t="s">
        <v>439</v>
      </c>
      <c r="E23" s="52" t="s">
        <v>440</v>
      </c>
      <c r="F23" s="52" t="s">
        <v>441</v>
      </c>
      <c r="G23" s="52" t="s">
        <v>442</v>
      </c>
      <c r="H23" s="52" t="s">
        <v>443</v>
      </c>
      <c r="I23" s="52" t="s">
        <v>444</v>
      </c>
      <c r="J23" s="52" t="s">
        <v>445</v>
      </c>
    </row>
    <row r="26" spans="2:10" x14ac:dyDescent="0.3">
      <c r="B26" t="s">
        <v>446</v>
      </c>
    </row>
    <row r="29" spans="2:10" x14ac:dyDescent="0.3">
      <c r="B29" s="2" t="s">
        <v>447</v>
      </c>
    </row>
    <row r="31" spans="2:10" x14ac:dyDescent="0.3">
      <c r="C31" s="52" t="s">
        <v>448</v>
      </c>
      <c r="D31" s="52" t="s">
        <v>449</v>
      </c>
      <c r="E31" s="52" t="s">
        <v>450</v>
      </c>
      <c r="F31" s="52" t="s">
        <v>451</v>
      </c>
    </row>
    <row r="32" spans="2:10" x14ac:dyDescent="0.3">
      <c r="B32" s="52" t="s">
        <v>452</v>
      </c>
      <c r="C32" s="7">
        <v>1.5</v>
      </c>
      <c r="D32" s="7">
        <f>C32*$D$45</f>
        <v>88.881987577639748</v>
      </c>
      <c r="E32" s="7">
        <f>C32*$D$46</f>
        <v>569.81366459627327</v>
      </c>
      <c r="F32" s="7">
        <f>(D32+E32)/2</f>
        <v>329.3478260869565</v>
      </c>
    </row>
    <row r="33" spans="2:6" x14ac:dyDescent="0.3">
      <c r="B33" s="52" t="s">
        <v>453</v>
      </c>
      <c r="C33" s="7">
        <v>2</v>
      </c>
      <c r="D33" s="7">
        <f>C33*$D$45</f>
        <v>118.50931677018633</v>
      </c>
      <c r="E33" s="7">
        <f>C33*$D$46</f>
        <v>759.75155279503099</v>
      </c>
      <c r="F33" s="7">
        <f t="shared" ref="F33:F35" si="0">(D33+E33)/2</f>
        <v>439.13043478260863</v>
      </c>
    </row>
    <row r="34" spans="2:6" x14ac:dyDescent="0.3">
      <c r="B34" s="52" t="s">
        <v>454</v>
      </c>
      <c r="C34" s="7">
        <v>2.25</v>
      </c>
      <c r="D34" s="7">
        <f>C34*$D$45</f>
        <v>133.32298136645963</v>
      </c>
      <c r="E34" s="7">
        <f>C34*$D$46</f>
        <v>854.72049689440985</v>
      </c>
      <c r="F34" s="7">
        <f t="shared" si="0"/>
        <v>494.02173913043475</v>
      </c>
    </row>
    <row r="35" spans="2:6" x14ac:dyDescent="0.3">
      <c r="B35" s="52" t="s">
        <v>455</v>
      </c>
      <c r="C35" s="7">
        <v>2.75</v>
      </c>
      <c r="D35" s="7">
        <f>C35*$D$45</f>
        <v>162.9503105590062</v>
      </c>
      <c r="E35" s="7">
        <f>C35*$D$46</f>
        <v>1044.6583850931677</v>
      </c>
      <c r="F35" s="7">
        <f t="shared" si="0"/>
        <v>603.804347826087</v>
      </c>
    </row>
    <row r="38" spans="2:6" x14ac:dyDescent="0.3">
      <c r="B38" t="s">
        <v>456</v>
      </c>
    </row>
    <row r="39" spans="2:6" x14ac:dyDescent="0.3">
      <c r="B39" s="76" t="s">
        <v>457</v>
      </c>
    </row>
    <row r="40" spans="2:6" x14ac:dyDescent="0.3">
      <c r="B40" t="s">
        <v>458</v>
      </c>
    </row>
    <row r="42" spans="2:6" x14ac:dyDescent="0.3">
      <c r="B42" t="s">
        <v>459</v>
      </c>
    </row>
    <row r="44" spans="2:6" x14ac:dyDescent="0.3">
      <c r="C44" s="52" t="s">
        <v>460</v>
      </c>
      <c r="D44" s="52" t="s">
        <v>461</v>
      </c>
    </row>
    <row r="45" spans="2:6" x14ac:dyDescent="0.3">
      <c r="B45" s="52" t="s">
        <v>462</v>
      </c>
      <c r="C45" s="7">
        <v>95.4</v>
      </c>
      <c r="D45" s="7">
        <f>C45/1.61</f>
        <v>59.254658385093165</v>
      </c>
    </row>
    <row r="46" spans="2:6" x14ac:dyDescent="0.3">
      <c r="B46" s="52" t="s">
        <v>463</v>
      </c>
      <c r="C46" s="7">
        <v>611.6</v>
      </c>
      <c r="D46" s="7">
        <f>C46/1.61</f>
        <v>379.87577639751549</v>
      </c>
    </row>
  </sheetData>
  <phoneticPr fontId="21" type="noConversion"/>
  <pageMargins left="0.7" right="0.7" top="0.75" bottom="0.75" header="0.3" footer="0.3"/>
  <tableParts count="3">
    <tablePart r:id="rId1"/>
    <tablePart r:id="rId2"/>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002DD-262A-4971-B65D-793F007661FA}">
  <dimension ref="B1:AB53"/>
  <sheetViews>
    <sheetView workbookViewId="0">
      <selection activeCell="I29" sqref="I29"/>
    </sheetView>
  </sheetViews>
  <sheetFormatPr defaultRowHeight="14.4" x14ac:dyDescent="0.3"/>
  <cols>
    <col min="2" max="2" width="33.33203125" bestFit="1" customWidth="1"/>
    <col min="3" max="3" width="11.6640625" bestFit="1" customWidth="1"/>
    <col min="6" max="6" width="11" bestFit="1" customWidth="1"/>
    <col min="9" max="9" width="11" bestFit="1" customWidth="1"/>
    <col min="12" max="12" width="12" bestFit="1" customWidth="1"/>
    <col min="15" max="15" width="12" bestFit="1" customWidth="1"/>
    <col min="20" max="20" width="18.33203125" customWidth="1"/>
    <col min="21" max="21" width="34.33203125" bestFit="1" customWidth="1"/>
  </cols>
  <sheetData>
    <row r="1" spans="2:23" x14ac:dyDescent="0.3">
      <c r="T1" t="s">
        <v>465</v>
      </c>
    </row>
    <row r="2" spans="2:23" x14ac:dyDescent="0.3">
      <c r="B2" s="2" t="s">
        <v>464</v>
      </c>
    </row>
    <row r="3" spans="2:23" x14ac:dyDescent="0.3">
      <c r="T3" s="52" t="s">
        <v>44</v>
      </c>
      <c r="U3" s="7" t="s">
        <v>468</v>
      </c>
      <c r="V3" s="7">
        <v>0.25</v>
      </c>
    </row>
    <row r="4" spans="2:23" ht="15" thickBot="1" x14ac:dyDescent="0.35">
      <c r="C4" s="163" t="s">
        <v>223</v>
      </c>
      <c r="D4" s="163"/>
      <c r="E4" s="163"/>
      <c r="F4" s="163" t="s">
        <v>224</v>
      </c>
      <c r="G4" s="163"/>
      <c r="H4" s="163"/>
      <c r="I4" s="163" t="s">
        <v>225</v>
      </c>
      <c r="J4" s="163"/>
      <c r="K4" s="163"/>
      <c r="L4" s="163" t="s">
        <v>226</v>
      </c>
      <c r="M4" s="163"/>
      <c r="N4" s="163"/>
      <c r="O4" s="163" t="s">
        <v>227</v>
      </c>
      <c r="P4" s="163"/>
      <c r="Q4" s="163"/>
      <c r="T4" s="44"/>
      <c r="U4" s="44" t="s">
        <v>469</v>
      </c>
      <c r="V4" s="44">
        <v>0.19</v>
      </c>
    </row>
    <row r="5" spans="2:23" ht="15" thickTop="1" x14ac:dyDescent="0.3">
      <c r="C5" s="53" t="s">
        <v>24</v>
      </c>
      <c r="D5" s="53" t="s">
        <v>466</v>
      </c>
      <c r="E5" s="53" t="s">
        <v>195</v>
      </c>
      <c r="F5" s="53" t="s">
        <v>24</v>
      </c>
      <c r="G5" s="53" t="s">
        <v>466</v>
      </c>
      <c r="H5" s="53" t="s">
        <v>195</v>
      </c>
      <c r="I5" s="53" t="s">
        <v>24</v>
      </c>
      <c r="J5" s="53" t="s">
        <v>466</v>
      </c>
      <c r="K5" s="53" t="s">
        <v>195</v>
      </c>
      <c r="L5" s="53" t="s">
        <v>24</v>
      </c>
      <c r="M5" s="53" t="s">
        <v>466</v>
      </c>
      <c r="N5" s="53" t="s">
        <v>195</v>
      </c>
      <c r="O5" s="53" t="s">
        <v>24</v>
      </c>
      <c r="P5" s="53" t="s">
        <v>466</v>
      </c>
      <c r="Q5" s="53" t="s">
        <v>195</v>
      </c>
      <c r="T5" s="73" t="s">
        <v>471</v>
      </c>
      <c r="U5" s="46" t="s">
        <v>472</v>
      </c>
      <c r="V5" s="46">
        <v>0.2</v>
      </c>
      <c r="W5" t="s">
        <v>473</v>
      </c>
    </row>
    <row r="6" spans="2:23" x14ac:dyDescent="0.3">
      <c r="B6" s="52" t="s">
        <v>467</v>
      </c>
      <c r="C6" s="49"/>
      <c r="D6" s="50"/>
      <c r="E6" s="51"/>
      <c r="F6" s="49"/>
      <c r="G6" s="50"/>
      <c r="H6" s="51"/>
      <c r="I6" s="49"/>
      <c r="J6" s="50"/>
      <c r="K6" s="51"/>
      <c r="L6" s="49"/>
      <c r="M6" s="50"/>
      <c r="N6" s="51"/>
      <c r="O6" s="49"/>
      <c r="P6" s="50"/>
      <c r="Q6" s="51"/>
      <c r="T6" s="7"/>
      <c r="U6" s="7" t="s">
        <v>475</v>
      </c>
      <c r="V6" s="7">
        <v>0.86</v>
      </c>
    </row>
    <row r="7" spans="2:23" ht="15" thickBot="1" x14ac:dyDescent="0.35">
      <c r="B7" s="40" t="s">
        <v>27</v>
      </c>
      <c r="C7" s="40">
        <f>Income!$H$5</f>
        <v>0</v>
      </c>
      <c r="D7">
        <f>Income!$H$5</f>
        <v>0</v>
      </c>
      <c r="E7" s="43">
        <f>Income!$H$5</f>
        <v>0</v>
      </c>
      <c r="F7" s="40">
        <f>Income!$H$6</f>
        <v>16733226.448332131</v>
      </c>
      <c r="G7">
        <f>Income!$H$6</f>
        <v>16733226.448332131</v>
      </c>
      <c r="H7" s="43">
        <f>Income!$H$6</f>
        <v>16733226.448332131</v>
      </c>
      <c r="I7" s="40">
        <f>Income!$H$7</f>
        <v>50199679.344996393</v>
      </c>
      <c r="J7">
        <f>Income!$H$7</f>
        <v>50199679.344996393</v>
      </c>
      <c r="K7" s="43">
        <f>Income!$H$7</f>
        <v>50199679.344996393</v>
      </c>
      <c r="L7" s="40">
        <f>Income!$H$8</f>
        <v>100399358.68999279</v>
      </c>
      <c r="M7">
        <f>Income!$H$8</f>
        <v>100399358.68999279</v>
      </c>
      <c r="N7" s="43">
        <f>Income!$H$8</f>
        <v>100399358.68999279</v>
      </c>
      <c r="O7" s="40">
        <f>Income!$H$9</f>
        <v>100399358.68999279</v>
      </c>
      <c r="P7">
        <f>Income!$H$9</f>
        <v>100399358.68999279</v>
      </c>
      <c r="Q7" s="43">
        <f>Income!$H$9</f>
        <v>100399358.68999279</v>
      </c>
      <c r="T7" s="44"/>
      <c r="U7" s="44" t="s">
        <v>476</v>
      </c>
      <c r="V7" s="44">
        <v>0.14499999999999999</v>
      </c>
    </row>
    <row r="8" spans="2:23" ht="15" thickTop="1" x14ac:dyDescent="0.3">
      <c r="B8" s="40" t="s">
        <v>470</v>
      </c>
      <c r="C8" s="40">
        <f>ProfitLoss!C25</f>
        <v>-13842128.378642363</v>
      </c>
      <c r="D8">
        <f>ProfitLoss!D25</f>
        <v>-9181927.4100185633</v>
      </c>
      <c r="E8" s="43">
        <f>ProfitLoss!E25</f>
        <v>-4521726.4413947621</v>
      </c>
      <c r="F8" s="40">
        <f>ProfitLoss!F25</f>
        <v>-29634590.02196525</v>
      </c>
      <c r="G8">
        <f>ProfitLoss!G25</f>
        <v>-14758752.79909174</v>
      </c>
      <c r="H8" s="43">
        <f>ProfitLoss!H25</f>
        <v>117084.42378176656</v>
      </c>
      <c r="I8" s="40">
        <f>ProfitLoss!I25</f>
        <v>-53157046.831328303</v>
      </c>
      <c r="J8">
        <f>ProfitLoss!J25</f>
        <v>-21509180.182102434</v>
      </c>
      <c r="K8" s="43">
        <f>ProfitLoss!K25</f>
        <v>10138686.467123447</v>
      </c>
      <c r="L8" s="40">
        <f>ProfitLoss!L25</f>
        <v>-36859638.709647477</v>
      </c>
      <c r="M8">
        <f>ProfitLoss!M25</f>
        <v>-3153573.025152225</v>
      </c>
      <c r="N8" s="43">
        <f>ProfitLoss!N25</f>
        <v>28025261.671414502</v>
      </c>
      <c r="O8" s="40">
        <f>ProfitLoss!O25</f>
        <v>27711997.431414492</v>
      </c>
      <c r="P8">
        <f>ProfitLoss!P25</f>
        <v>27868629.551414497</v>
      </c>
      <c r="Q8" s="43">
        <f>ProfitLoss!Q25</f>
        <v>28025261.671414502</v>
      </c>
      <c r="T8" s="73" t="s">
        <v>45</v>
      </c>
      <c r="U8" s="46" t="s">
        <v>478</v>
      </c>
      <c r="V8" s="46">
        <v>0.499</v>
      </c>
    </row>
    <row r="9" spans="2:23" ht="15" thickBot="1" x14ac:dyDescent="0.35">
      <c r="B9" s="40" t="s">
        <v>474</v>
      </c>
      <c r="C9" s="40">
        <f t="shared" ref="C9:Q9" si="0">C7*$V$10</f>
        <v>0</v>
      </c>
      <c r="D9">
        <f t="shared" si="0"/>
        <v>0</v>
      </c>
      <c r="E9" s="43">
        <f t="shared" si="0"/>
        <v>0</v>
      </c>
      <c r="F9" s="40">
        <f t="shared" si="0"/>
        <v>3346645.2896664264</v>
      </c>
      <c r="G9">
        <f t="shared" si="0"/>
        <v>3346645.2896664264</v>
      </c>
      <c r="H9" s="43">
        <f t="shared" si="0"/>
        <v>3346645.2896664264</v>
      </c>
      <c r="I9" s="40">
        <f t="shared" si="0"/>
        <v>10039935.868999278</v>
      </c>
      <c r="J9">
        <f t="shared" si="0"/>
        <v>10039935.868999278</v>
      </c>
      <c r="K9" s="43">
        <f t="shared" si="0"/>
        <v>10039935.868999278</v>
      </c>
      <c r="L9" s="40">
        <f t="shared" si="0"/>
        <v>20079871.737998556</v>
      </c>
      <c r="M9">
        <f t="shared" si="0"/>
        <v>20079871.737998556</v>
      </c>
      <c r="N9" s="43">
        <f t="shared" si="0"/>
        <v>20079871.737998556</v>
      </c>
      <c r="O9" s="40">
        <f t="shared" si="0"/>
        <v>20079871.737998556</v>
      </c>
      <c r="P9">
        <f t="shared" si="0"/>
        <v>20079871.737998556</v>
      </c>
      <c r="Q9" s="43">
        <f t="shared" si="0"/>
        <v>20079871.737998556</v>
      </c>
      <c r="T9" s="44"/>
      <c r="U9" s="44" t="s">
        <v>479</v>
      </c>
      <c r="V9" s="44">
        <v>0.54600000000000004</v>
      </c>
    </row>
    <row r="10" spans="2:23" ht="15.6" thickTop="1" thickBot="1" x14ac:dyDescent="0.35">
      <c r="B10" s="40" t="s">
        <v>40</v>
      </c>
      <c r="C10" s="149" t="str">
        <f>ProfitLoss!C22</f>
        <v>N/A</v>
      </c>
      <c r="D10">
        <f>ProfitLoss!D22</f>
        <v>2116620</v>
      </c>
      <c r="E10" s="43" t="str">
        <f>ProfitLoss!E22</f>
        <v>N/A</v>
      </c>
      <c r="F10" s="40" t="str">
        <f>ProfitLoss!F22</f>
        <v>N/A</v>
      </c>
      <c r="G10">
        <f>ProfitLoss!G22</f>
        <v>152000</v>
      </c>
      <c r="H10" s="43" t="str">
        <f>ProfitLoss!H22</f>
        <v>N/A</v>
      </c>
      <c r="I10" s="40" t="str">
        <f>ProfitLoss!I22</f>
        <v>N/A</v>
      </c>
      <c r="J10">
        <f>ProfitLoss!J22</f>
        <v>695000</v>
      </c>
      <c r="K10" s="43" t="str">
        <f>ProfitLoss!K22</f>
        <v>N/A</v>
      </c>
      <c r="L10" s="40" t="str">
        <f>ProfitLoss!L22</f>
        <v>N/A</v>
      </c>
      <c r="M10">
        <f>ProfitLoss!M22</f>
        <v>0</v>
      </c>
      <c r="N10" s="43" t="str">
        <f>ProfitLoss!N22</f>
        <v>N/A</v>
      </c>
      <c r="O10" s="40" t="str">
        <f>ProfitLoss!O22</f>
        <v>N/A</v>
      </c>
      <c r="P10">
        <f>ProfitLoss!P22</f>
        <v>0</v>
      </c>
      <c r="Q10" s="43" t="str">
        <f>ProfitLoss!Q22</f>
        <v>N/A</v>
      </c>
      <c r="T10" s="74" t="s">
        <v>474</v>
      </c>
      <c r="U10" s="75"/>
      <c r="V10" s="75">
        <v>0.2</v>
      </c>
    </row>
    <row r="11" spans="2:23" ht="15" thickTop="1" x14ac:dyDescent="0.3">
      <c r="B11" s="40" t="s">
        <v>477</v>
      </c>
      <c r="C11" s="40">
        <f>IF(ISNUMBER(C10),C8-C10,C8)</f>
        <v>-13842128.378642363</v>
      </c>
      <c r="D11">
        <f t="shared" ref="D11:Q11" si="1">IF(ISNUMBER(D10),D8-D10,D8)</f>
        <v>-11298547.410018563</v>
      </c>
      <c r="E11" s="43">
        <f t="shared" si="1"/>
        <v>-4521726.4413947621</v>
      </c>
      <c r="F11" s="40">
        <f t="shared" si="1"/>
        <v>-29634590.02196525</v>
      </c>
      <c r="G11">
        <f t="shared" si="1"/>
        <v>-14910752.79909174</v>
      </c>
      <c r="H11" s="43">
        <f t="shared" si="1"/>
        <v>117084.42378176656</v>
      </c>
      <c r="I11" s="40">
        <f t="shared" si="1"/>
        <v>-53157046.831328303</v>
      </c>
      <c r="J11">
        <f t="shared" si="1"/>
        <v>-22204180.182102434</v>
      </c>
      <c r="K11" s="43">
        <f t="shared" si="1"/>
        <v>10138686.467123447</v>
      </c>
      <c r="L11" s="40">
        <f t="shared" si="1"/>
        <v>-36859638.709647477</v>
      </c>
      <c r="M11">
        <f t="shared" si="1"/>
        <v>-3153573.025152225</v>
      </c>
      <c r="N11" s="43">
        <f t="shared" si="1"/>
        <v>28025261.671414502</v>
      </c>
      <c r="O11" s="40">
        <f t="shared" si="1"/>
        <v>27711997.431414492</v>
      </c>
      <c r="P11">
        <f t="shared" si="1"/>
        <v>27868629.551414497</v>
      </c>
      <c r="Q11" s="43">
        <f t="shared" si="1"/>
        <v>28025261.671414502</v>
      </c>
      <c r="T11" s="73" t="s">
        <v>481</v>
      </c>
      <c r="U11" s="46" t="s">
        <v>482</v>
      </c>
      <c r="V11" s="46"/>
      <c r="W11" t="s">
        <v>483</v>
      </c>
    </row>
    <row r="12" spans="2:23" x14ac:dyDescent="0.3">
      <c r="B12" s="40"/>
      <c r="C12" s="40"/>
      <c r="E12" s="43"/>
      <c r="F12" s="40"/>
      <c r="H12" s="43"/>
      <c r="I12" s="40"/>
      <c r="K12" s="43"/>
      <c r="L12" s="40"/>
      <c r="N12" s="43"/>
      <c r="O12" s="40"/>
      <c r="Q12" s="43"/>
      <c r="T12" s="7"/>
      <c r="U12" s="7" t="s">
        <v>485</v>
      </c>
      <c r="V12" s="7"/>
    </row>
    <row r="13" spans="2:23" ht="15" thickBot="1" x14ac:dyDescent="0.35">
      <c r="B13" s="39" t="s">
        <v>44</v>
      </c>
      <c r="C13" s="39">
        <f t="shared" ref="C13:Q13" si="2">IF(C8&lt;=50000,IF(C8&gt;0,C11*$V$4,0),IF(C8&gt;0,C11*$V$3,0))</f>
        <v>0</v>
      </c>
      <c r="D13" s="38">
        <f t="shared" si="2"/>
        <v>0</v>
      </c>
      <c r="E13" s="42">
        <f t="shared" si="2"/>
        <v>0</v>
      </c>
      <c r="F13" s="39">
        <f t="shared" si="2"/>
        <v>0</v>
      </c>
      <c r="G13" s="38">
        <f t="shared" si="2"/>
        <v>0</v>
      </c>
      <c r="H13" s="42">
        <f t="shared" si="2"/>
        <v>29271.105945441639</v>
      </c>
      <c r="I13" s="39">
        <f t="shared" si="2"/>
        <v>0</v>
      </c>
      <c r="J13" s="38">
        <f t="shared" si="2"/>
        <v>0</v>
      </c>
      <c r="K13" s="42">
        <f t="shared" si="2"/>
        <v>2534671.6167808617</v>
      </c>
      <c r="L13" s="39">
        <f t="shared" si="2"/>
        <v>0</v>
      </c>
      <c r="M13" s="38">
        <f t="shared" si="2"/>
        <v>0</v>
      </c>
      <c r="N13" s="42">
        <f t="shared" si="2"/>
        <v>7006315.4178536255</v>
      </c>
      <c r="O13" s="39">
        <f t="shared" si="2"/>
        <v>6927999.3578536231</v>
      </c>
      <c r="P13" s="38">
        <f t="shared" si="2"/>
        <v>6967157.3878536243</v>
      </c>
      <c r="Q13" s="42">
        <f t="shared" si="2"/>
        <v>7006315.4178536255</v>
      </c>
    </row>
    <row r="14" spans="2:23" ht="15" thickTop="1" x14ac:dyDescent="0.3">
      <c r="B14" s="52" t="s">
        <v>480</v>
      </c>
      <c r="C14" s="40"/>
      <c r="E14" s="43"/>
      <c r="F14" s="40"/>
      <c r="H14" s="43"/>
      <c r="I14" s="40"/>
      <c r="K14" s="43"/>
      <c r="L14" s="40"/>
      <c r="N14" s="43"/>
      <c r="O14" s="40"/>
      <c r="Q14" s="43"/>
    </row>
    <row r="15" spans="2:23" x14ac:dyDescent="0.3">
      <c r="B15" s="40" t="s">
        <v>484</v>
      </c>
      <c r="C15" s="40">
        <f>'R&amp;D'!B11</f>
        <v>2362714.276991256</v>
      </c>
      <c r="D15">
        <f>'R&amp;D'!C11</f>
        <v>7022915.2456150567</v>
      </c>
      <c r="E15" s="43">
        <f>'R&amp;D'!D11</f>
        <v>11683116.214238856</v>
      </c>
      <c r="F15" s="40">
        <f>'R&amp;D'!B12</f>
        <v>4366465.7177843936</v>
      </c>
      <c r="G15">
        <f>'R&amp;D'!C12</f>
        <v>19216197.587324567</v>
      </c>
      <c r="H15" s="43">
        <f>'R&amp;D'!D12</f>
        <v>34065929.456864744</v>
      </c>
      <c r="I15" s="40">
        <f>'R&amp;D'!B13</f>
        <v>3157748.2863820498</v>
      </c>
      <c r="J15">
        <f>'R&amp;D'!C13</f>
        <v>34727298.87560793</v>
      </c>
      <c r="K15" s="43">
        <f>'R&amp;D'!D13</f>
        <v>66296849.464833796</v>
      </c>
      <c r="L15" s="40">
        <f>'R&amp;D'!B14</f>
        <v>0</v>
      </c>
      <c r="M15">
        <f>'R&amp;D'!C14</f>
        <v>31022202.576566722</v>
      </c>
      <c r="N15" s="43">
        <f>'R&amp;D'!D14</f>
        <v>64571636.141061969</v>
      </c>
      <c r="O15" s="40">
        <f>'R&amp;D'!B15</f>
        <v>0</v>
      </c>
      <c r="P15">
        <f>'R&amp;D'!C15</f>
        <v>0</v>
      </c>
      <c r="Q15" s="43">
        <f>'R&amp;D'!D15</f>
        <v>0</v>
      </c>
    </row>
    <row r="16" spans="2:23" x14ac:dyDescent="0.3">
      <c r="B16" s="40" t="s">
        <v>486</v>
      </c>
      <c r="C16" s="40" t="str">
        <f>IF(ISNUMBER(C15/C7),C15/C7,"N/A")</f>
        <v>N/A</v>
      </c>
      <c r="D16" t="str">
        <f>IF(ISNUMBER(D15/D7),D15/D7,"N/A")</f>
        <v>N/A</v>
      </c>
      <c r="E16" s="43" t="str">
        <f>IF(ISNUMBER(E15/E7),E15/E7,"N/A")</f>
        <v>N/A</v>
      </c>
      <c r="F16" s="40">
        <f t="shared" ref="F16:Q16" si="3">IF(ISNUMBER(F15/F7),F15/F7,1)</f>
        <v>0.26094583320598147</v>
      </c>
      <c r="G16">
        <f t="shared" si="3"/>
        <v>1.1483856772427725</v>
      </c>
      <c r="H16" s="43">
        <f t="shared" si="3"/>
        <v>2.035825521279564</v>
      </c>
      <c r="I16" s="40">
        <f t="shared" si="3"/>
        <v>6.2903754119234143E-2</v>
      </c>
      <c r="J16">
        <f t="shared" si="3"/>
        <v>0.69178328086411056</v>
      </c>
      <c r="K16" s="43">
        <f t="shared" si="3"/>
        <v>1.3206628076089868</v>
      </c>
      <c r="L16" s="40">
        <f t="shared" si="3"/>
        <v>0</v>
      </c>
      <c r="M16">
        <f t="shared" si="3"/>
        <v>0.30898805511651972</v>
      </c>
      <c r="N16" s="43">
        <f t="shared" si="3"/>
        <v>0.64314789440480846</v>
      </c>
      <c r="O16" s="40">
        <f t="shared" si="3"/>
        <v>0</v>
      </c>
      <c r="P16">
        <f t="shared" si="3"/>
        <v>0</v>
      </c>
      <c r="Q16" s="43">
        <f t="shared" si="3"/>
        <v>0</v>
      </c>
    </row>
    <row r="17" spans="2:20" x14ac:dyDescent="0.3">
      <c r="B17" s="40"/>
      <c r="C17" s="40"/>
      <c r="E17" s="43"/>
      <c r="F17" s="40"/>
      <c r="H17" s="43"/>
      <c r="I17" s="40"/>
      <c r="K17" s="43"/>
      <c r="L17" s="40"/>
      <c r="N17" s="43"/>
      <c r="O17" s="40"/>
      <c r="Q17" s="43"/>
    </row>
    <row r="18" spans="2:20" x14ac:dyDescent="0.3">
      <c r="B18" s="40" t="s">
        <v>487</v>
      </c>
      <c r="C18" s="40">
        <f t="shared" ref="C18:Q18" si="4">IF(C16&gt;0.3,IF(C8&lt;0,1.86*C15,"N/A"),"N/A")</f>
        <v>4394648.5552037368</v>
      </c>
      <c r="D18">
        <f t="shared" si="4"/>
        <v>13062622.356844006</v>
      </c>
      <c r="E18" s="43">
        <f t="shared" si="4"/>
        <v>21730596.158484273</v>
      </c>
      <c r="F18" s="40" t="str">
        <f t="shared" si="4"/>
        <v>N/A</v>
      </c>
      <c r="G18">
        <f t="shared" si="4"/>
        <v>35742127.512423694</v>
      </c>
      <c r="H18" s="43" t="str">
        <f t="shared" si="4"/>
        <v>N/A</v>
      </c>
      <c r="I18" s="40" t="str">
        <f t="shared" si="4"/>
        <v>N/A</v>
      </c>
      <c r="J18">
        <f t="shared" si="4"/>
        <v>64592775.908630751</v>
      </c>
      <c r="K18" s="43" t="str">
        <f t="shared" si="4"/>
        <v>N/A</v>
      </c>
      <c r="L18" s="40" t="str">
        <f t="shared" si="4"/>
        <v>N/A</v>
      </c>
      <c r="M18">
        <f t="shared" si="4"/>
        <v>57701296.792414106</v>
      </c>
      <c r="N18" s="43" t="str">
        <f t="shared" si="4"/>
        <v>N/A</v>
      </c>
      <c r="O18" s="40" t="str">
        <f t="shared" si="4"/>
        <v>N/A</v>
      </c>
      <c r="P18" t="str">
        <f t="shared" si="4"/>
        <v>N/A</v>
      </c>
      <c r="Q18" s="43" t="str">
        <f t="shared" si="4"/>
        <v>N/A</v>
      </c>
    </row>
    <row r="19" spans="2:20" x14ac:dyDescent="0.3">
      <c r="B19" s="40"/>
      <c r="C19" s="40"/>
      <c r="E19" s="43"/>
      <c r="F19" s="40"/>
      <c r="H19" s="43"/>
      <c r="I19" s="40"/>
      <c r="K19" s="43"/>
      <c r="L19" s="40"/>
      <c r="N19" s="43"/>
      <c r="O19" s="40"/>
      <c r="Q19" s="43"/>
    </row>
    <row r="20" spans="2:20" x14ac:dyDescent="0.3">
      <c r="B20" s="41" t="s">
        <v>488</v>
      </c>
      <c r="C20">
        <f t="shared" ref="C20:Q20" si="5">IF(C8&lt;0,IF(ISNUMBER(C18),C18*0.145,0.2*C15*(1-$V$4)),"N/A")</f>
        <v>637224.04050454183</v>
      </c>
      <c r="D20">
        <f t="shared" si="5"/>
        <v>1894080.2417423807</v>
      </c>
      <c r="E20" s="43">
        <f t="shared" si="5"/>
        <v>3150936.4429802191</v>
      </c>
      <c r="F20" s="40">
        <f t="shared" si="5"/>
        <v>707367.44628107187</v>
      </c>
      <c r="G20">
        <f t="shared" si="5"/>
        <v>5182608.4893014356</v>
      </c>
      <c r="H20" s="43" t="str">
        <f t="shared" si="5"/>
        <v>N/A</v>
      </c>
      <c r="I20" s="40">
        <f t="shared" si="5"/>
        <v>511555.22239389218</v>
      </c>
      <c r="J20">
        <f t="shared" si="5"/>
        <v>9365952.5067514591</v>
      </c>
      <c r="K20" s="43" t="str">
        <f t="shared" si="5"/>
        <v>N/A</v>
      </c>
      <c r="L20" s="40">
        <f t="shared" si="5"/>
        <v>0</v>
      </c>
      <c r="M20">
        <f t="shared" si="5"/>
        <v>8366688.034900045</v>
      </c>
      <c r="N20" s="43" t="str">
        <f t="shared" si="5"/>
        <v>N/A</v>
      </c>
      <c r="O20" s="40" t="str">
        <f t="shared" si="5"/>
        <v>N/A</v>
      </c>
      <c r="P20" t="str">
        <f t="shared" si="5"/>
        <v>N/A</v>
      </c>
      <c r="Q20" s="43" t="str">
        <f t="shared" si="5"/>
        <v>N/A</v>
      </c>
    </row>
    <row r="21" spans="2:20" ht="15" thickBot="1" x14ac:dyDescent="0.35">
      <c r="B21" s="39" t="s">
        <v>489</v>
      </c>
      <c r="C21" s="39" t="str">
        <f t="shared" ref="C21:Q21" si="6">IF(C8&gt;0,IF(C8&gt;50000,C15*0.2*(1-$V$3),C15*0.2*(1-$V$4)),"N/A")</f>
        <v>N/A</v>
      </c>
      <c r="D21" s="38" t="str">
        <f t="shared" si="6"/>
        <v>N/A</v>
      </c>
      <c r="E21" s="42" t="str">
        <f t="shared" si="6"/>
        <v>N/A</v>
      </c>
      <c r="F21" s="39" t="str">
        <f t="shared" si="6"/>
        <v>N/A</v>
      </c>
      <c r="G21" s="38" t="str">
        <f t="shared" si="6"/>
        <v>N/A</v>
      </c>
      <c r="H21" s="42">
        <f t="shared" si="6"/>
        <v>5109889.4185297117</v>
      </c>
      <c r="I21" s="39" t="str">
        <f t="shared" si="6"/>
        <v>N/A</v>
      </c>
      <c r="J21" s="38" t="str">
        <f t="shared" si="6"/>
        <v>N/A</v>
      </c>
      <c r="K21" s="42">
        <f t="shared" si="6"/>
        <v>9944527.4197250698</v>
      </c>
      <c r="L21" s="39" t="str">
        <f t="shared" si="6"/>
        <v>N/A</v>
      </c>
      <c r="M21" s="38" t="str">
        <f t="shared" si="6"/>
        <v>N/A</v>
      </c>
      <c r="N21" s="42">
        <f t="shared" si="6"/>
        <v>9685745.4211592954</v>
      </c>
      <c r="O21" s="39">
        <f t="shared" si="6"/>
        <v>0</v>
      </c>
      <c r="P21" s="38">
        <f t="shared" si="6"/>
        <v>0</v>
      </c>
      <c r="Q21" s="42">
        <f t="shared" si="6"/>
        <v>0</v>
      </c>
    </row>
    <row r="22" spans="2:20" ht="15" thickTop="1" x14ac:dyDescent="0.3">
      <c r="B22" s="52" t="s">
        <v>490</v>
      </c>
      <c r="C22" s="40"/>
      <c r="E22" s="43"/>
      <c r="F22" s="40"/>
      <c r="H22" s="43"/>
      <c r="I22" s="40"/>
      <c r="K22" s="43"/>
      <c r="L22" s="40"/>
      <c r="N22" s="43"/>
      <c r="O22" s="40"/>
      <c r="Q22" s="43"/>
    </row>
    <row r="23" spans="2:20" x14ac:dyDescent="0.3">
      <c r="B23" s="40" t="s">
        <v>491</v>
      </c>
      <c r="C23" s="40">
        <f>Table20[[#This Row],[Total facility cost per year (£)]]</f>
        <v>42392.164403506664</v>
      </c>
      <c r="D23" s="40">
        <f>Table20[[#This Row],[Total facility cost per year (£)]]</f>
        <v>42392.164403506664</v>
      </c>
      <c r="E23" s="40">
        <f>Table20[[#This Row],[Total facility cost per year (£)]]</f>
        <v>42392.164403506664</v>
      </c>
      <c r="F23" s="40">
        <f>Table20[[#This Row],[Total facility cost per year (£)]]</f>
        <v>42392.164403506664</v>
      </c>
      <c r="G23" s="40">
        <f>Table20[[#This Row],[Total facility cost per year (£)]]</f>
        <v>42392.164403506664</v>
      </c>
      <c r="H23" s="40">
        <f>Table20[[#This Row],[Total facility cost per year (£)]]</f>
        <v>42392.164403506664</v>
      </c>
      <c r="I23" s="40">
        <f>Table20[[#This Row],[Total facility cost per year (£)]]</f>
        <v>42392.164403506664</v>
      </c>
      <c r="J23" s="40">
        <f>Table20[[#This Row],[Total facility cost per year (£)]]</f>
        <v>42392.164403506664</v>
      </c>
      <c r="K23" s="40">
        <f>Table20[[#This Row],[Total facility cost per year (£)]]</f>
        <v>42392.164403506664</v>
      </c>
      <c r="L23" s="40">
        <f>Table20[[#This Row],[Total facility cost per year (£)]]</f>
        <v>42392.164403506664</v>
      </c>
      <c r="M23" s="40">
        <f>Table20[[#This Row],[Total facility cost per year (£)]]</f>
        <v>42392.164403506664</v>
      </c>
      <c r="N23" s="40">
        <f>Table20[[#This Row],[Total facility cost per year (£)]]</f>
        <v>42392.164403506664</v>
      </c>
      <c r="O23" s="40">
        <f>Table20[[#This Row],[Total facility cost per year (£)]]</f>
        <v>42392.164403506664</v>
      </c>
      <c r="P23" s="40">
        <f>Table20[[#This Row],[Total facility cost per year (£)]]</f>
        <v>42392.164403506664</v>
      </c>
      <c r="Q23" s="40">
        <f>Table20[[#This Row],[Total facility cost per year (£)]]</f>
        <v>42392.164403506664</v>
      </c>
    </row>
    <row r="24" spans="2:20" x14ac:dyDescent="0.3">
      <c r="B24" s="40"/>
      <c r="C24" s="40"/>
      <c r="E24" s="43"/>
      <c r="F24" s="40"/>
      <c r="H24" s="43"/>
      <c r="I24" s="40"/>
      <c r="K24" s="43"/>
      <c r="L24" s="40"/>
      <c r="N24" s="43"/>
      <c r="O24" s="40"/>
      <c r="Q24" s="43"/>
    </row>
    <row r="25" spans="2:20" ht="15" thickBot="1" x14ac:dyDescent="0.35">
      <c r="B25" s="39" t="s">
        <v>492</v>
      </c>
      <c r="C25" s="39">
        <f t="shared" ref="C25:Q25" si="7">IF(C23&lt;50000,$V$8*C23,$V$9*C23)</f>
        <v>21153.690037349825</v>
      </c>
      <c r="D25" s="38">
        <f t="shared" si="7"/>
        <v>21153.690037349825</v>
      </c>
      <c r="E25" s="42">
        <f t="shared" si="7"/>
        <v>21153.690037349825</v>
      </c>
      <c r="F25" s="39">
        <f t="shared" si="7"/>
        <v>21153.690037349825</v>
      </c>
      <c r="G25" s="38">
        <f t="shared" si="7"/>
        <v>21153.690037349825</v>
      </c>
      <c r="H25" s="42">
        <f t="shared" si="7"/>
        <v>21153.690037349825</v>
      </c>
      <c r="I25" s="39">
        <f t="shared" si="7"/>
        <v>21153.690037349825</v>
      </c>
      <c r="J25" s="38">
        <f t="shared" si="7"/>
        <v>21153.690037349825</v>
      </c>
      <c r="K25" s="42">
        <f t="shared" si="7"/>
        <v>21153.690037349825</v>
      </c>
      <c r="L25" s="39">
        <f t="shared" si="7"/>
        <v>21153.690037349825</v>
      </c>
      <c r="M25" s="38">
        <f t="shared" si="7"/>
        <v>21153.690037349825</v>
      </c>
      <c r="N25" s="42">
        <f t="shared" si="7"/>
        <v>21153.690037349825</v>
      </c>
      <c r="O25" s="39">
        <f t="shared" si="7"/>
        <v>21153.690037349825</v>
      </c>
      <c r="P25" s="38">
        <f t="shared" si="7"/>
        <v>21153.690037349825</v>
      </c>
      <c r="Q25" s="42">
        <f t="shared" si="7"/>
        <v>21153.690037349825</v>
      </c>
      <c r="T25" t="s">
        <v>471</v>
      </c>
    </row>
    <row r="26" spans="2:20" ht="15" thickTop="1" x14ac:dyDescent="0.3">
      <c r="B26" s="52" t="s">
        <v>47</v>
      </c>
      <c r="C26" s="45">
        <f>C13+C25-IF(C8&gt;0,C21,C20)</f>
        <v>-616070.35046719201</v>
      </c>
      <c r="D26" s="48">
        <f t="shared" ref="D26:Q26" si="8">D13+D25-IF(D8&gt;0,D21,D20)</f>
        <v>-1872926.5517050307</v>
      </c>
      <c r="E26" s="47">
        <f t="shared" si="8"/>
        <v>-3129782.7529428694</v>
      </c>
      <c r="F26" s="45">
        <f t="shared" si="8"/>
        <v>-686213.75624372205</v>
      </c>
      <c r="G26" s="48">
        <f t="shared" si="8"/>
        <v>-5161454.7992640855</v>
      </c>
      <c r="H26" s="47">
        <f t="shared" si="8"/>
        <v>-5059464.6225469206</v>
      </c>
      <c r="I26" s="45">
        <f t="shared" si="8"/>
        <v>-490401.53235654236</v>
      </c>
      <c r="J26" s="48">
        <f t="shared" si="8"/>
        <v>-9344798.8167141099</v>
      </c>
      <c r="K26" s="47">
        <f t="shared" si="8"/>
        <v>-7388702.1129068583</v>
      </c>
      <c r="L26" s="45">
        <f t="shared" si="8"/>
        <v>21153.690037349825</v>
      </c>
      <c r="M26" s="48">
        <f t="shared" si="8"/>
        <v>-8345534.3448626949</v>
      </c>
      <c r="N26" s="47">
        <f t="shared" si="8"/>
        <v>-2658276.3132683197</v>
      </c>
      <c r="O26" s="45">
        <f t="shared" si="8"/>
        <v>6949153.0478909733</v>
      </c>
      <c r="P26" s="48">
        <f t="shared" si="8"/>
        <v>6988311.0778909745</v>
      </c>
      <c r="Q26" s="47">
        <f t="shared" si="8"/>
        <v>7027469.1078909757</v>
      </c>
    </row>
    <row r="28" spans="2:20" x14ac:dyDescent="0.3">
      <c r="T28" t="s">
        <v>493</v>
      </c>
    </row>
    <row r="29" spans="2:20" x14ac:dyDescent="0.3">
      <c r="T29" t="s">
        <v>494</v>
      </c>
    </row>
    <row r="30" spans="2:20" x14ac:dyDescent="0.3">
      <c r="T30" t="s">
        <v>495</v>
      </c>
    </row>
    <row r="31" spans="2:20" x14ac:dyDescent="0.3">
      <c r="T31" t="s">
        <v>496</v>
      </c>
    </row>
    <row r="32" spans="2:20" x14ac:dyDescent="0.3">
      <c r="T32" t="s">
        <v>497</v>
      </c>
    </row>
    <row r="33" spans="20:28" x14ac:dyDescent="0.3">
      <c r="T33" t="s">
        <v>498</v>
      </c>
    </row>
    <row r="34" spans="20:28" x14ac:dyDescent="0.3">
      <c r="T34" t="s">
        <v>499</v>
      </c>
    </row>
    <row r="35" spans="20:28" x14ac:dyDescent="0.3">
      <c r="T35" t="s">
        <v>500</v>
      </c>
    </row>
    <row r="36" spans="20:28" x14ac:dyDescent="0.3">
      <c r="T36" s="87" t="s">
        <v>501</v>
      </c>
    </row>
    <row r="38" spans="20:28" x14ac:dyDescent="0.3">
      <c r="T38" t="s">
        <v>467</v>
      </c>
    </row>
    <row r="40" spans="20:28" x14ac:dyDescent="0.3">
      <c r="T40" t="s">
        <v>502</v>
      </c>
      <c r="AB40" t="s">
        <v>503</v>
      </c>
    </row>
    <row r="41" spans="20:28" x14ac:dyDescent="0.3">
      <c r="T41" t="s">
        <v>504</v>
      </c>
    </row>
    <row r="43" spans="20:28" x14ac:dyDescent="0.3">
      <c r="T43" t="s">
        <v>505</v>
      </c>
    </row>
    <row r="44" spans="20:28" x14ac:dyDescent="0.3">
      <c r="T44" t="s">
        <v>506</v>
      </c>
    </row>
    <row r="46" spans="20:28" x14ac:dyDescent="0.3">
      <c r="T46" t="s">
        <v>474</v>
      </c>
      <c r="U46" t="s">
        <v>507</v>
      </c>
    </row>
    <row r="48" spans="20:28" x14ac:dyDescent="0.3">
      <c r="T48" t="s">
        <v>508</v>
      </c>
      <c r="U48" t="s">
        <v>509</v>
      </c>
    </row>
    <row r="50" spans="20:20" x14ac:dyDescent="0.3">
      <c r="T50" t="s">
        <v>510</v>
      </c>
    </row>
    <row r="51" spans="20:20" x14ac:dyDescent="0.3">
      <c r="T51" t="s">
        <v>511</v>
      </c>
    </row>
    <row r="53" spans="20:20" x14ac:dyDescent="0.3">
      <c r="T53" t="s">
        <v>512</v>
      </c>
    </row>
  </sheetData>
  <mergeCells count="5">
    <mergeCell ref="C4:E4"/>
    <mergeCell ref="F4:H4"/>
    <mergeCell ref="I4:K4"/>
    <mergeCell ref="L4:N4"/>
    <mergeCell ref="O4:Q4"/>
  </mergeCells>
  <phoneticPr fontId="21" type="noConversion"/>
  <hyperlinks>
    <hyperlink ref="T36" r:id="rId1" location="sme-loss-250-500" xr:uid="{C5D18FF8-E4CC-4559-B2D3-F7B88A0419C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ADF51-A273-478D-AB11-96367CC524E0}">
  <dimension ref="B2:Q26"/>
  <sheetViews>
    <sheetView tabSelected="1" topLeftCell="H1" workbookViewId="0">
      <selection activeCell="D33" sqref="D33"/>
    </sheetView>
  </sheetViews>
  <sheetFormatPr defaultRowHeight="14.4" x14ac:dyDescent="0.3"/>
  <cols>
    <col min="2" max="2" width="34.109375" bestFit="1" customWidth="1"/>
    <col min="3" max="3" width="11.6640625" bestFit="1" customWidth="1"/>
    <col min="4" max="10" width="12.6640625" bestFit="1" customWidth="1"/>
    <col min="11" max="11" width="13.6640625" bestFit="1" customWidth="1"/>
    <col min="12" max="12" width="12" bestFit="1" customWidth="1"/>
    <col min="13" max="13" width="12.6640625" bestFit="1" customWidth="1"/>
    <col min="14" max="14" width="13.6640625" bestFit="1" customWidth="1"/>
    <col min="15" max="17" width="12" bestFit="1" customWidth="1"/>
  </cols>
  <sheetData>
    <row r="2" spans="2:17" x14ac:dyDescent="0.3">
      <c r="B2" s="2" t="s">
        <v>464</v>
      </c>
    </row>
    <row r="4" spans="2:17" x14ac:dyDescent="0.3">
      <c r="B4" s="67"/>
      <c r="C4" s="162" t="s">
        <v>223</v>
      </c>
      <c r="D4" s="163"/>
      <c r="E4" s="164"/>
      <c r="F4" s="162" t="s">
        <v>224</v>
      </c>
      <c r="G4" s="163"/>
      <c r="H4" s="164"/>
      <c r="I4" s="162" t="s">
        <v>225</v>
      </c>
      <c r="J4" s="163"/>
      <c r="K4" s="164"/>
      <c r="L4" s="162" t="s">
        <v>226</v>
      </c>
      <c r="M4" s="163"/>
      <c r="N4" s="164"/>
      <c r="O4" s="162" t="s">
        <v>227</v>
      </c>
      <c r="P4" s="163"/>
      <c r="Q4" s="164"/>
    </row>
    <row r="5" spans="2:17" x14ac:dyDescent="0.3">
      <c r="B5" s="67"/>
      <c r="C5" s="103" t="s">
        <v>24</v>
      </c>
      <c r="D5" s="53" t="s">
        <v>466</v>
      </c>
      <c r="E5" s="104" t="s">
        <v>195</v>
      </c>
      <c r="F5" s="103" t="s">
        <v>24</v>
      </c>
      <c r="G5" s="53" t="s">
        <v>466</v>
      </c>
      <c r="H5" s="104" t="s">
        <v>195</v>
      </c>
      <c r="I5" s="103" t="s">
        <v>24</v>
      </c>
      <c r="J5" s="53" t="s">
        <v>466</v>
      </c>
      <c r="K5" s="104" t="s">
        <v>195</v>
      </c>
      <c r="L5" s="103" t="s">
        <v>24</v>
      </c>
      <c r="M5" s="53" t="s">
        <v>466</v>
      </c>
      <c r="N5" s="104" t="s">
        <v>195</v>
      </c>
      <c r="O5" s="103" t="s">
        <v>24</v>
      </c>
      <c r="P5" s="53" t="s">
        <v>466</v>
      </c>
      <c r="Q5" s="104" t="s">
        <v>195</v>
      </c>
    </row>
    <row r="6" spans="2:17" x14ac:dyDescent="0.3">
      <c r="B6" s="128" t="s">
        <v>467</v>
      </c>
      <c r="C6" s="129"/>
      <c r="D6" s="130"/>
      <c r="E6" s="131"/>
      <c r="F6" s="129"/>
      <c r="G6" s="130"/>
      <c r="H6" s="131"/>
      <c r="I6" s="129"/>
      <c r="J6" s="130"/>
      <c r="K6" s="131"/>
      <c r="L6" s="129"/>
      <c r="M6" s="130"/>
      <c r="N6" s="131"/>
      <c r="O6" s="129"/>
      <c r="P6" s="130"/>
      <c r="Q6" s="131"/>
    </row>
    <row r="7" spans="2:17" x14ac:dyDescent="0.3">
      <c r="B7" s="126" t="s">
        <v>27</v>
      </c>
      <c r="C7" s="142">
        <f>IF(ISNUMBER(Taxes!C7),IF(Taxes!C7=0,0,ROUND(Taxes!C7, 2-(1+INT(LOG10(ABS(Taxes!C7)))))),"N/A")</f>
        <v>0</v>
      </c>
      <c r="D7" s="107">
        <f>IF(ISNUMBER(Taxes!D7),IF(Taxes!D7=0,0,ROUND(Taxes!D7, 2-(1+INT(LOG10(ABS(Taxes!D7)))))),"N/A")</f>
        <v>0</v>
      </c>
      <c r="E7" s="109">
        <f>IF(ISNUMBER(Taxes!E7),IF(Taxes!E7=0,0,ROUND(Taxes!E7, 2-(1+INT(LOG10(ABS(Taxes!E7)))))),"N/A")</f>
        <v>0</v>
      </c>
      <c r="F7" s="142">
        <f>IF(ISNUMBER(Taxes!F7),IF(Taxes!F7=0,0,ROUND(Taxes!F7, 2-(1+INT(LOG10(ABS(Taxes!F7)))))),"N/A")</f>
        <v>17000000</v>
      </c>
      <c r="G7" s="107">
        <f>IF(ISNUMBER(Taxes!G7),IF(Taxes!G7=0,0,ROUND(Taxes!G7, 2-(1+INT(LOG10(ABS(Taxes!G7)))))),"N/A")</f>
        <v>17000000</v>
      </c>
      <c r="H7" s="109">
        <f>IF(ISNUMBER(Taxes!H7),IF(Taxes!H7=0,0,ROUND(Taxes!H7, 2-(1+INT(LOG10(ABS(Taxes!H7)))))),"N/A")</f>
        <v>17000000</v>
      </c>
      <c r="I7" s="142">
        <f>IF(ISNUMBER(Taxes!I7),IF(Taxes!I7=0,0,ROUND(Taxes!I7, 2-(1+INT(LOG10(ABS(Taxes!I7)))))),"N/A")</f>
        <v>50000000</v>
      </c>
      <c r="J7" s="107">
        <f>IF(ISNUMBER(Taxes!J7),IF(Taxes!J7=0,0,ROUND(Taxes!J7, 2-(1+INT(LOG10(ABS(Taxes!J7)))))),"N/A")</f>
        <v>50000000</v>
      </c>
      <c r="K7" s="109">
        <f>IF(ISNUMBER(Taxes!K7),IF(Taxes!K7=0,0,ROUND(Taxes!K7, 2-(1+INT(LOG10(ABS(Taxes!K7)))))),"N/A")</f>
        <v>50000000</v>
      </c>
      <c r="L7" s="142">
        <f>IF(ISNUMBER(Taxes!L7),IF(Taxes!L7=0,0,ROUND(Taxes!L7, 2-(1+INT(LOG10(ABS(Taxes!L7)))))),"N/A")</f>
        <v>100000000</v>
      </c>
      <c r="M7" s="107">
        <f>IF(ISNUMBER(Taxes!M7),IF(Taxes!M7=0,0,ROUND(Taxes!M7, 2-(1+INT(LOG10(ABS(Taxes!M7)))))),"N/A")</f>
        <v>100000000</v>
      </c>
      <c r="N7" s="109">
        <f>IF(ISNUMBER(Taxes!N7),IF(Taxes!N7=0,0,ROUND(Taxes!N7, 2-(1+INT(LOG10(ABS(Taxes!N7)))))),"N/A")</f>
        <v>100000000</v>
      </c>
      <c r="O7" s="142">
        <f>IF(ISNUMBER(Taxes!O7),IF(Taxes!O7=0,0,ROUND(Taxes!O7, 2-(1+INT(LOG10(ABS(Taxes!O7)))))),"N/A")</f>
        <v>100000000</v>
      </c>
      <c r="P7" s="107">
        <f>IF(ISNUMBER(Taxes!P7),IF(Taxes!P7=0,0,ROUND(Taxes!P7, 2-(1+INT(LOG10(ABS(Taxes!P7)))))),"N/A")</f>
        <v>100000000</v>
      </c>
      <c r="Q7" s="109">
        <f>IF(ISNUMBER(Taxes!Q7),IF(Taxes!Q7=0,0,ROUND(Taxes!Q7, 2-(1+INT(LOG10(ABS(Taxes!Q7)))))),"N/A")</f>
        <v>100000000</v>
      </c>
    </row>
    <row r="8" spans="2:17" x14ac:dyDescent="0.3">
      <c r="B8" s="126" t="s">
        <v>470</v>
      </c>
      <c r="C8" s="142">
        <f>IF(ISNUMBER(Taxes!C8),IF(Taxes!C8=0,0,ROUND(Taxes!C8, 2-(1+INT(LOG10(ABS(Taxes!C8)))))),"N/A")</f>
        <v>-14000000</v>
      </c>
      <c r="D8" s="107">
        <f>IF(ISNUMBER(Taxes!D8),IF(Taxes!D8=0,0,ROUND(Taxes!D8, 2-(1+INT(LOG10(ABS(Taxes!D8)))))),"N/A")</f>
        <v>-9200000</v>
      </c>
      <c r="E8" s="109">
        <f>IF(ISNUMBER(Taxes!E8),IF(Taxes!E8=0,0,ROUND(Taxes!E8, 2-(1+INT(LOG10(ABS(Taxes!E8)))))),"N/A")</f>
        <v>-4500000</v>
      </c>
      <c r="F8" s="142">
        <f>IF(ISNUMBER(Taxes!F8),IF(Taxes!F8=0,0,ROUND(Taxes!F8, 2-(1+INT(LOG10(ABS(Taxes!F8)))))),"N/A")</f>
        <v>-30000000</v>
      </c>
      <c r="G8" s="107">
        <f>IF(ISNUMBER(Taxes!G8),IF(Taxes!G8=0,0,ROUND(Taxes!G8, 2-(1+INT(LOG10(ABS(Taxes!G8)))))),"N/A")</f>
        <v>-15000000</v>
      </c>
      <c r="H8" s="109">
        <f>IF(ISNUMBER(Taxes!H8),IF(Taxes!H8=0,0,ROUND(Taxes!H8, 2-(1+INT(LOG10(ABS(Taxes!H8)))))),"N/A")</f>
        <v>120000</v>
      </c>
      <c r="I8" s="142">
        <f>IF(ISNUMBER(Taxes!I8),IF(Taxes!I8=0,0,ROUND(Taxes!I8, 2-(1+INT(LOG10(ABS(Taxes!I8)))))),"N/A")</f>
        <v>-53000000</v>
      </c>
      <c r="J8" s="107">
        <f>IF(ISNUMBER(Taxes!J8),IF(Taxes!J8=0,0,ROUND(Taxes!J8, 2-(1+INT(LOG10(ABS(Taxes!J8)))))),"N/A")</f>
        <v>-22000000</v>
      </c>
      <c r="K8" s="109">
        <f>IF(ISNUMBER(Taxes!K8),IF(Taxes!K8=0,0,ROUND(Taxes!K8, 2-(1+INT(LOG10(ABS(Taxes!K8)))))),"N/A")</f>
        <v>10000000</v>
      </c>
      <c r="L8" s="142">
        <f>IF(ISNUMBER(Taxes!L8),IF(Taxes!L8=0,0,ROUND(Taxes!L8, 2-(1+INT(LOG10(ABS(Taxes!L8)))))),"N/A")</f>
        <v>-37000000</v>
      </c>
      <c r="M8" s="107">
        <f>IF(ISNUMBER(Taxes!M8),IF(Taxes!M8=0,0,ROUND(Taxes!M8, 2-(1+INT(LOG10(ABS(Taxes!M8)))))),"N/A")</f>
        <v>-3200000</v>
      </c>
      <c r="N8" s="109">
        <f>IF(ISNUMBER(Taxes!N8),IF(Taxes!N8=0,0,ROUND(Taxes!N8, 2-(1+INT(LOG10(ABS(Taxes!N8)))))),"N/A")</f>
        <v>28000000</v>
      </c>
      <c r="O8" s="142">
        <f>IF(ISNUMBER(Taxes!O8),IF(Taxes!O8=0,0,ROUND(Taxes!O8, 2-(1+INT(LOG10(ABS(Taxes!O8)))))),"N/A")</f>
        <v>28000000</v>
      </c>
      <c r="P8" s="107">
        <f>IF(ISNUMBER(Taxes!P8),IF(Taxes!P8=0,0,ROUND(Taxes!P8, 2-(1+INT(LOG10(ABS(Taxes!P8)))))),"N/A")</f>
        <v>28000000</v>
      </c>
      <c r="Q8" s="109">
        <f>IF(ISNUMBER(Taxes!Q8),IF(Taxes!Q8=0,0,ROUND(Taxes!Q8, 2-(1+INT(LOG10(ABS(Taxes!Q8)))))),"N/A")</f>
        <v>28000000</v>
      </c>
    </row>
    <row r="9" spans="2:17" x14ac:dyDescent="0.3">
      <c r="B9" s="126" t="s">
        <v>474</v>
      </c>
      <c r="C9" s="142">
        <f>IF(ISNUMBER(Taxes!C9),IF(Taxes!C9=0,0,ROUND(Taxes!C9, 2-(1+INT(LOG10(ABS(Taxes!C9)))))),"N/A")</f>
        <v>0</v>
      </c>
      <c r="D9" s="107">
        <f>IF(ISNUMBER(Taxes!D9),IF(Taxes!D9=0,0,ROUND(Taxes!D9, 2-(1+INT(LOG10(ABS(Taxes!D9)))))),"N/A")</f>
        <v>0</v>
      </c>
      <c r="E9" s="109">
        <f>IF(ISNUMBER(Taxes!E9),IF(Taxes!E9=0,0,ROUND(Taxes!E9, 2-(1+INT(LOG10(ABS(Taxes!E9)))))),"N/A")</f>
        <v>0</v>
      </c>
      <c r="F9" s="142">
        <f>IF(ISNUMBER(Taxes!F9),IF(Taxes!F9=0,0,ROUND(Taxes!F9, 2-(1+INT(LOG10(ABS(Taxes!F9)))))),"N/A")</f>
        <v>3300000</v>
      </c>
      <c r="G9" s="107">
        <f>IF(ISNUMBER(Taxes!G9),IF(Taxes!G9=0,0,ROUND(Taxes!G9, 2-(1+INT(LOG10(ABS(Taxes!G9)))))),"N/A")</f>
        <v>3300000</v>
      </c>
      <c r="H9" s="109">
        <f>IF(ISNUMBER(Taxes!H9),IF(Taxes!H9=0,0,ROUND(Taxes!H9, 2-(1+INT(LOG10(ABS(Taxes!H9)))))),"N/A")</f>
        <v>3300000</v>
      </c>
      <c r="I9" s="142">
        <f>IF(ISNUMBER(Taxes!I9),IF(Taxes!I9=0,0,ROUND(Taxes!I9, 2-(1+INT(LOG10(ABS(Taxes!I9)))))),"N/A")</f>
        <v>10000000</v>
      </c>
      <c r="J9" s="107">
        <f>IF(ISNUMBER(Taxes!J9),IF(Taxes!J9=0,0,ROUND(Taxes!J9, 2-(1+INT(LOG10(ABS(Taxes!J9)))))),"N/A")</f>
        <v>10000000</v>
      </c>
      <c r="K9" s="109">
        <f>IF(ISNUMBER(Taxes!K9),IF(Taxes!K9=0,0,ROUND(Taxes!K9, 2-(1+INT(LOG10(ABS(Taxes!K9)))))),"N/A")</f>
        <v>10000000</v>
      </c>
      <c r="L9" s="142">
        <f>IF(ISNUMBER(Taxes!L9),IF(Taxes!L9=0,0,ROUND(Taxes!L9, 2-(1+INT(LOG10(ABS(Taxes!L9)))))),"N/A")</f>
        <v>20000000</v>
      </c>
      <c r="M9" s="107">
        <f>IF(ISNUMBER(Taxes!M9),IF(Taxes!M9=0,0,ROUND(Taxes!M9, 2-(1+INT(LOG10(ABS(Taxes!M9)))))),"N/A")</f>
        <v>20000000</v>
      </c>
      <c r="N9" s="109">
        <f>IF(ISNUMBER(Taxes!N9),IF(Taxes!N9=0,0,ROUND(Taxes!N9, 2-(1+INT(LOG10(ABS(Taxes!N9)))))),"N/A")</f>
        <v>20000000</v>
      </c>
      <c r="O9" s="142">
        <f>IF(ISNUMBER(Taxes!O9),IF(Taxes!O9=0,0,ROUND(Taxes!O9, 2-(1+INT(LOG10(ABS(Taxes!O9)))))),"N/A")</f>
        <v>20000000</v>
      </c>
      <c r="P9" s="107">
        <f>IF(ISNUMBER(Taxes!P9),IF(Taxes!P9=0,0,ROUND(Taxes!P9, 2-(1+INT(LOG10(ABS(Taxes!P9)))))),"N/A")</f>
        <v>20000000</v>
      </c>
      <c r="Q9" s="109">
        <f>IF(ISNUMBER(Taxes!Q9),IF(Taxes!Q9=0,0,ROUND(Taxes!Q9, 2-(1+INT(LOG10(ABS(Taxes!Q9)))))),"N/A")</f>
        <v>20000000</v>
      </c>
    </row>
    <row r="10" spans="2:17" x14ac:dyDescent="0.3">
      <c r="B10" s="126" t="s">
        <v>40</v>
      </c>
      <c r="C10" s="142" t="str">
        <f>IF(ISNUMBER(Taxes!C10),IF(Taxes!C10=0,0,ROUND(Taxes!C10, 2-(1+INT(LOG10(ABS(Taxes!C10)))))),"N/A")</f>
        <v>N/A</v>
      </c>
      <c r="D10" s="107">
        <f>IF(ISNUMBER(Taxes!D10),IF(Taxes!D10=0,0,ROUND(Taxes!D10, 2-(1+INT(LOG10(ABS(Taxes!D10)))))),"N/A")</f>
        <v>2100000</v>
      </c>
      <c r="E10" s="109" t="str">
        <f>IF(ISNUMBER(Taxes!E10),IF(Taxes!E10=0,0,ROUND(Taxes!E10, 2-(1+INT(LOG10(ABS(Taxes!E10)))))),"N/A")</f>
        <v>N/A</v>
      </c>
      <c r="F10" s="142" t="str">
        <f>IF(ISNUMBER(Taxes!F10),IF(Taxes!F10=0,0,ROUND(Taxes!F10, 2-(1+INT(LOG10(ABS(Taxes!F10)))))),"N/A")</f>
        <v>N/A</v>
      </c>
      <c r="G10" s="107">
        <f>IF(ISNUMBER(Taxes!G10),IF(Taxes!G10=0,0,ROUND(Taxes!G10, 2-(1+INT(LOG10(ABS(Taxes!G10)))))),"N/A")</f>
        <v>150000</v>
      </c>
      <c r="H10" s="109" t="str">
        <f>IF(ISNUMBER(Taxes!H10),IF(Taxes!H10=0,0,ROUND(Taxes!H10, 2-(1+INT(LOG10(ABS(Taxes!H10)))))),"N/A")</f>
        <v>N/A</v>
      </c>
      <c r="I10" s="142" t="str">
        <f>IF(ISNUMBER(Taxes!I10),IF(Taxes!I10=0,0,ROUND(Taxes!I10, 2-(1+INT(LOG10(ABS(Taxes!I10)))))),"N/A")</f>
        <v>N/A</v>
      </c>
      <c r="J10" s="107">
        <f>IF(ISNUMBER(Taxes!J10),IF(Taxes!J10=0,0,ROUND(Taxes!J10, 2-(1+INT(LOG10(ABS(Taxes!J10)))))),"N/A")</f>
        <v>700000</v>
      </c>
      <c r="K10" s="109" t="str">
        <f>IF(ISNUMBER(Taxes!K10),IF(Taxes!K10=0,0,ROUND(Taxes!K10, 2-(1+INT(LOG10(ABS(Taxes!K10)))))),"N/A")</f>
        <v>N/A</v>
      </c>
      <c r="L10" s="142" t="str">
        <f>IF(ISNUMBER(Taxes!L10),IF(Taxes!L10=0,0,ROUND(Taxes!L10, 2-(1+INT(LOG10(ABS(Taxes!L10)))))),"N/A")</f>
        <v>N/A</v>
      </c>
      <c r="M10" s="107">
        <f>IF(ISNUMBER(Taxes!M10),IF(Taxes!M10=0,0,ROUND(Taxes!M10, 2-(1+INT(LOG10(ABS(Taxes!M10)))))),"N/A")</f>
        <v>0</v>
      </c>
      <c r="N10" s="109" t="str">
        <f>IF(ISNUMBER(Taxes!N10),IF(Taxes!N10=0,0,ROUND(Taxes!N10, 2-(1+INT(LOG10(ABS(Taxes!N10)))))),"N/A")</f>
        <v>N/A</v>
      </c>
      <c r="O10" s="142" t="str">
        <f>IF(ISNUMBER(Taxes!O10),IF(Taxes!O10=0,0,ROUND(Taxes!O10, 2-(1+INT(LOG10(ABS(Taxes!O10)))))),"N/A")</f>
        <v>N/A</v>
      </c>
      <c r="P10" s="107">
        <f>IF(ISNUMBER(Taxes!P10),IF(Taxes!P10=0,0,ROUND(Taxes!P10, 2-(1+INT(LOG10(ABS(Taxes!P10)))))),"N/A")</f>
        <v>0</v>
      </c>
      <c r="Q10" s="109" t="str">
        <f>IF(ISNUMBER(Taxes!Q10),IF(Taxes!Q10=0,0,ROUND(Taxes!Q10, 2-(1+INT(LOG10(ABS(Taxes!Q10)))))),"N/A")</f>
        <v>N/A</v>
      </c>
    </row>
    <row r="11" spans="2:17" x14ac:dyDescent="0.3">
      <c r="B11" s="126" t="s">
        <v>477</v>
      </c>
      <c r="C11" s="142">
        <f>IF(ISNUMBER(Taxes!C11),IF(Taxes!C11=0,0,ROUND(Taxes!C11, 2-(1+INT(LOG10(ABS(Taxes!C11)))))),"N/A")</f>
        <v>-14000000</v>
      </c>
      <c r="D11" s="107">
        <f>IF(ISNUMBER(Taxes!D11),IF(Taxes!D11=0,0,ROUND(Taxes!D11, 2-(1+INT(LOG10(ABS(Taxes!D11)))))),"N/A")</f>
        <v>-11000000</v>
      </c>
      <c r="E11" s="109">
        <f>IF(ISNUMBER(Taxes!E11),IF(Taxes!E11=0,0,ROUND(Taxes!E11, 2-(1+INT(LOG10(ABS(Taxes!E11)))))),"N/A")</f>
        <v>-4500000</v>
      </c>
      <c r="F11" s="142">
        <f>IF(ISNUMBER(Taxes!F11),IF(Taxes!F11=0,0,ROUND(Taxes!F11, 2-(1+INT(LOG10(ABS(Taxes!F11)))))),"N/A")</f>
        <v>-30000000</v>
      </c>
      <c r="G11" s="107">
        <f>IF(ISNUMBER(Taxes!G11),IF(Taxes!G11=0,0,ROUND(Taxes!G11, 2-(1+INT(LOG10(ABS(Taxes!G11)))))),"N/A")</f>
        <v>-15000000</v>
      </c>
      <c r="H11" s="109">
        <f>IF(ISNUMBER(Taxes!H11),IF(Taxes!H11=0,0,ROUND(Taxes!H11, 2-(1+INT(LOG10(ABS(Taxes!H11)))))),"N/A")</f>
        <v>120000</v>
      </c>
      <c r="I11" s="142">
        <f>IF(ISNUMBER(Taxes!I11),IF(Taxes!I11=0,0,ROUND(Taxes!I11, 2-(1+INT(LOG10(ABS(Taxes!I11)))))),"N/A")</f>
        <v>-53000000</v>
      </c>
      <c r="J11" s="107">
        <f>IF(ISNUMBER(Taxes!J11),IF(Taxes!J11=0,0,ROUND(Taxes!J11, 2-(1+INT(LOG10(ABS(Taxes!J11)))))),"N/A")</f>
        <v>-22000000</v>
      </c>
      <c r="K11" s="109">
        <f>IF(ISNUMBER(Taxes!K11),IF(Taxes!K11=0,0,ROUND(Taxes!K11, 2-(1+INT(LOG10(ABS(Taxes!K11)))))),"N/A")</f>
        <v>10000000</v>
      </c>
      <c r="L11" s="142">
        <f>IF(ISNUMBER(Taxes!L11),IF(Taxes!L11=0,0,ROUND(Taxes!L11, 2-(1+INT(LOG10(ABS(Taxes!L11)))))),"N/A")</f>
        <v>-37000000</v>
      </c>
      <c r="M11" s="107">
        <f>IF(ISNUMBER(Taxes!M11),IF(Taxes!M11=0,0,ROUND(Taxes!M11, 2-(1+INT(LOG10(ABS(Taxes!M11)))))),"N/A")</f>
        <v>-3200000</v>
      </c>
      <c r="N11" s="109">
        <f>IF(ISNUMBER(Taxes!N11),IF(Taxes!N11=0,0,ROUND(Taxes!N11, 2-(1+INT(LOG10(ABS(Taxes!N11)))))),"N/A")</f>
        <v>28000000</v>
      </c>
      <c r="O11" s="142">
        <f>IF(ISNUMBER(Taxes!O11),IF(Taxes!O11=0,0,ROUND(Taxes!O11, 2-(1+INT(LOG10(ABS(Taxes!O11)))))),"N/A")</f>
        <v>28000000</v>
      </c>
      <c r="P11" s="107">
        <f>IF(ISNUMBER(Taxes!P11),IF(Taxes!P11=0,0,ROUND(Taxes!P11, 2-(1+INT(LOG10(ABS(Taxes!P11)))))),"N/A")</f>
        <v>28000000</v>
      </c>
      <c r="Q11" s="109">
        <f>IF(ISNUMBER(Taxes!Q11),IF(Taxes!Q11=0,0,ROUND(Taxes!Q11, 2-(1+INT(LOG10(ABS(Taxes!Q11)))))),"N/A")</f>
        <v>28000000</v>
      </c>
    </row>
    <row r="12" spans="2:17" x14ac:dyDescent="0.3">
      <c r="B12" s="126"/>
      <c r="C12" s="143"/>
      <c r="D12" s="144"/>
      <c r="E12" s="145"/>
      <c r="F12" s="143"/>
      <c r="G12" s="144"/>
      <c r="H12" s="145"/>
      <c r="I12" s="143"/>
      <c r="J12" s="144"/>
      <c r="K12" s="145"/>
      <c r="L12" s="143"/>
      <c r="M12" s="144"/>
      <c r="N12" s="145"/>
      <c r="O12" s="143"/>
      <c r="P12" s="144"/>
      <c r="Q12" s="145"/>
    </row>
    <row r="13" spans="2:17" ht="15" thickBot="1" x14ac:dyDescent="0.35">
      <c r="B13" s="127" t="s">
        <v>44</v>
      </c>
      <c r="C13" s="136">
        <f>IF(ISNUMBER(Taxes!C13),IF(Taxes!C13=0,0,ROUND(Taxes!C13, 2-(1+INT(LOG10(ABS(Taxes!C13)))))),"N/A")*-1</f>
        <v>0</v>
      </c>
      <c r="D13" s="137">
        <f>IF(ISNUMBER(Taxes!D13),IF(Taxes!D13=0,0,ROUND(Taxes!D13, 2-(1+INT(LOG10(ABS(Taxes!D13)))))),"N/A")*-1</f>
        <v>0</v>
      </c>
      <c r="E13" s="138">
        <f>IF(ISNUMBER(Taxes!E13),IF(Taxes!E13=0,0,ROUND(Taxes!E13, 2-(1+INT(LOG10(ABS(Taxes!E13)))))),"N/A")*-1</f>
        <v>0</v>
      </c>
      <c r="F13" s="136">
        <f>IF(ISNUMBER(Taxes!F13),IF(Taxes!F13=0,0,ROUND(Taxes!F13, 2-(1+INT(LOG10(ABS(Taxes!F13)))))),"N/A")*-1</f>
        <v>0</v>
      </c>
      <c r="G13" s="137">
        <f>IF(ISNUMBER(Taxes!G13),IF(Taxes!G13=0,0,ROUND(Taxes!G13, 2-(1+INT(LOG10(ABS(Taxes!G13)))))),"N/A")*-1</f>
        <v>0</v>
      </c>
      <c r="H13" s="138">
        <f>IF(ISNUMBER(Taxes!H13),IF(Taxes!H13=0,0,ROUND(Taxes!H13, 2-(1+INT(LOG10(ABS(Taxes!H13)))))),"N/A")*-1</f>
        <v>-29000</v>
      </c>
      <c r="I13" s="136">
        <f>IF(ISNUMBER(Taxes!I13),IF(Taxes!I13=0,0,ROUND(Taxes!I13, 2-(1+INT(LOG10(ABS(Taxes!I13)))))),"N/A")*-1</f>
        <v>0</v>
      </c>
      <c r="J13" s="137">
        <f>IF(ISNUMBER(Taxes!J13),IF(Taxes!J13=0,0,ROUND(Taxes!J13, 2-(1+INT(LOG10(ABS(Taxes!J13)))))),"N/A")*-1</f>
        <v>0</v>
      </c>
      <c r="K13" s="138">
        <f>IF(ISNUMBER(Taxes!K13),IF(Taxes!K13=0,0,ROUND(Taxes!K13, 2-(1+INT(LOG10(ABS(Taxes!K13)))))),"N/A")*-1</f>
        <v>-2500000</v>
      </c>
      <c r="L13" s="136">
        <f>IF(ISNUMBER(Taxes!L13),IF(Taxes!L13=0,0,ROUND(Taxes!L13, 2-(1+INT(LOG10(ABS(Taxes!L13)))))),"N/A")*-1</f>
        <v>0</v>
      </c>
      <c r="M13" s="137">
        <f>IF(ISNUMBER(Taxes!M13),IF(Taxes!M13=0,0,ROUND(Taxes!M13, 2-(1+INT(LOG10(ABS(Taxes!M13)))))),"N/A")*-1</f>
        <v>0</v>
      </c>
      <c r="N13" s="138">
        <f>IF(ISNUMBER(Taxes!N13),IF(Taxes!N13=0,0,ROUND(Taxes!N13, 2-(1+INT(LOG10(ABS(Taxes!N13)))))),"N/A")*-1</f>
        <v>-7000000</v>
      </c>
      <c r="O13" s="136">
        <f>IF(ISNUMBER(Taxes!O13),IF(Taxes!O13=0,0,ROUND(Taxes!O13, 2-(1+INT(LOG10(ABS(Taxes!O13)))))),"N/A")*-1</f>
        <v>-6900000</v>
      </c>
      <c r="P13" s="137">
        <f>IF(ISNUMBER(Taxes!P13),IF(Taxes!P13=0,0,ROUND(Taxes!P13, 2-(1+INT(LOG10(ABS(Taxes!P13)))))),"N/A")*-1</f>
        <v>-7000000</v>
      </c>
      <c r="Q13" s="138">
        <f>IF(ISNUMBER(Taxes!Q13),IF(Taxes!Q13=0,0,ROUND(Taxes!Q13, 2-(1+INT(LOG10(ABS(Taxes!Q13)))))),"N/A")*-1</f>
        <v>-7000000</v>
      </c>
    </row>
    <row r="14" spans="2:17" ht="15" thickTop="1" x14ac:dyDescent="0.3">
      <c r="B14" s="128" t="s">
        <v>480</v>
      </c>
      <c r="C14" s="132"/>
      <c r="D14" s="133"/>
      <c r="E14" s="134"/>
      <c r="F14" s="132"/>
      <c r="G14" s="133"/>
      <c r="H14" s="134"/>
      <c r="I14" s="132"/>
      <c r="J14" s="133"/>
      <c r="K14" s="134"/>
      <c r="L14" s="132"/>
      <c r="M14" s="133"/>
      <c r="N14" s="134"/>
      <c r="O14" s="132"/>
      <c r="P14" s="133"/>
      <c r="Q14" s="134"/>
    </row>
    <row r="15" spans="2:17" x14ac:dyDescent="0.3">
      <c r="B15" s="126" t="s">
        <v>484</v>
      </c>
      <c r="C15" s="142">
        <f>IF(ISNUMBER(Taxes!C15),IF(Taxes!C15=0,0,ROUND(Taxes!C15, 2-(1+INT(LOG10(ABS(Taxes!C15)))))),"N/A")</f>
        <v>2400000</v>
      </c>
      <c r="D15" s="107">
        <f>IF(ISNUMBER(Taxes!D15),IF(Taxes!D15=0,0,ROUND(Taxes!D15, 2-(1+INT(LOG10(ABS(Taxes!D15)))))),"N/A")</f>
        <v>7000000</v>
      </c>
      <c r="E15" s="109">
        <f>IF(ISNUMBER(Taxes!E15),IF(Taxes!E15=0,0,ROUND(Taxes!E15, 2-(1+INT(LOG10(ABS(Taxes!E15)))))),"N/A")</f>
        <v>12000000</v>
      </c>
      <c r="F15" s="142">
        <f>IF(ISNUMBER(Taxes!F15),IF(Taxes!F15=0,0,ROUND(Taxes!F15, 2-(1+INT(LOG10(ABS(Taxes!F15)))))),"N/A")</f>
        <v>4400000</v>
      </c>
      <c r="G15" s="107">
        <f>IF(ISNUMBER(Taxes!G15),IF(Taxes!G15=0,0,ROUND(Taxes!G15, 2-(1+INT(LOG10(ABS(Taxes!G15)))))),"N/A")</f>
        <v>19000000</v>
      </c>
      <c r="H15" s="109">
        <f>IF(ISNUMBER(Taxes!H15),IF(Taxes!H15=0,0,ROUND(Taxes!H15, 2-(1+INT(LOG10(ABS(Taxes!H15)))))),"N/A")</f>
        <v>34000000</v>
      </c>
      <c r="I15" s="142">
        <f>IF(ISNUMBER(Taxes!I15),IF(Taxes!I15=0,0,ROUND(Taxes!I15, 2-(1+INT(LOG10(ABS(Taxes!I15)))))),"N/A")</f>
        <v>3200000</v>
      </c>
      <c r="J15" s="107">
        <f>IF(ISNUMBER(Taxes!J15),IF(Taxes!J15=0,0,ROUND(Taxes!J15, 2-(1+INT(LOG10(ABS(Taxes!J15)))))),"N/A")</f>
        <v>35000000</v>
      </c>
      <c r="K15" s="109">
        <f>IF(ISNUMBER(Taxes!K15),IF(Taxes!K15=0,0,ROUND(Taxes!K15, 2-(1+INT(LOG10(ABS(Taxes!K15)))))),"N/A")</f>
        <v>66000000</v>
      </c>
      <c r="L15" s="142">
        <f>IF(ISNUMBER(Taxes!L15),IF(Taxes!L15=0,0,ROUND(Taxes!L15, 2-(1+INT(LOG10(ABS(Taxes!L15)))))),"N/A")</f>
        <v>0</v>
      </c>
      <c r="M15" s="107">
        <f>IF(ISNUMBER(Taxes!M15),IF(Taxes!M15=0,0,ROUND(Taxes!M15, 2-(1+INT(LOG10(ABS(Taxes!M15)))))),"N/A")</f>
        <v>31000000</v>
      </c>
      <c r="N15" s="109">
        <f>IF(ISNUMBER(Taxes!N15),IF(Taxes!N15=0,0,ROUND(Taxes!N15, 2-(1+INT(LOG10(ABS(Taxes!N15)))))),"N/A")</f>
        <v>65000000</v>
      </c>
      <c r="O15" s="142">
        <f>IF(ISNUMBER(Taxes!O15),IF(Taxes!O15=0,0,ROUND(Taxes!O15, 2-(1+INT(LOG10(ABS(Taxes!O15)))))),"N/A")</f>
        <v>0</v>
      </c>
      <c r="P15" s="107">
        <f>IF(ISNUMBER(Taxes!P15),IF(Taxes!P15=0,0,ROUND(Taxes!P15, 2-(1+INT(LOG10(ABS(Taxes!P15)))))),"N/A")</f>
        <v>0</v>
      </c>
      <c r="Q15" s="109">
        <f>IF(ISNUMBER(Taxes!Q15),IF(Taxes!Q15=0,0,ROUND(Taxes!Q15, 2-(1+INT(LOG10(ABS(Taxes!Q15)))))),"N/A")</f>
        <v>0</v>
      </c>
    </row>
    <row r="16" spans="2:17" x14ac:dyDescent="0.3">
      <c r="B16" s="126" t="s">
        <v>486</v>
      </c>
      <c r="C16" s="150" t="str">
        <f>IF(ISNUMBER(Taxes!C16),IF(Taxes!C16=0,0,ROUND(Taxes!C16, 2-(1+INT(LOG10(ABS(Taxes!C16)))))),"N/A")</f>
        <v>N/A</v>
      </c>
      <c r="D16" s="151" t="str">
        <f>IF(ISNUMBER(Taxes!D16),IF(Taxes!D16=0,0,ROUND(Taxes!D16, 2-(1+INT(LOG10(ABS(Taxes!D16)))))),"N/A")</f>
        <v>N/A</v>
      </c>
      <c r="E16" s="152" t="str">
        <f>IF(ISNUMBER(Taxes!E16),IF(Taxes!E16=0,0,ROUND(Taxes!E16, 2-(1+INT(LOG10(ABS(Taxes!E16)))))),"N/A")</f>
        <v>N/A</v>
      </c>
      <c r="F16" s="150">
        <f>IF(ISNUMBER(Taxes!F16),IF(Taxes!F16=0,0,ROUND(Taxes!F16, 2-(1+INT(LOG10(ABS(Taxes!F16)))))),"N/A")</f>
        <v>0.26</v>
      </c>
      <c r="G16" s="151">
        <f>IF(ISNUMBER(Taxes!G16),IF(Taxes!G16=0,0,ROUND(Taxes!G16, 2-(1+INT(LOG10(ABS(Taxes!G16)))))),"N/A")</f>
        <v>1.1000000000000001</v>
      </c>
      <c r="H16" s="152">
        <f>IF(ISNUMBER(Taxes!H16),IF(Taxes!H16=0,0,ROUND(Taxes!H16, 2-(1+INT(LOG10(ABS(Taxes!H16)))))),"N/A")</f>
        <v>2</v>
      </c>
      <c r="I16" s="150">
        <f>IF(ISNUMBER(Taxes!I16),IF(Taxes!I16=0,0,ROUND(Taxes!I16, 2-(1+INT(LOG10(ABS(Taxes!I16)))))),"N/A")</f>
        <v>6.3E-2</v>
      </c>
      <c r="J16" s="151">
        <f>IF(ISNUMBER(Taxes!J16),IF(Taxes!J16=0,0,ROUND(Taxes!J16, 2-(1+INT(LOG10(ABS(Taxes!J16)))))),"N/A")</f>
        <v>0.69</v>
      </c>
      <c r="K16" s="152">
        <f>IF(ISNUMBER(Taxes!K16),IF(Taxes!K16=0,0,ROUND(Taxes!K16, 2-(1+INT(LOG10(ABS(Taxes!K16)))))),"N/A")</f>
        <v>1.3</v>
      </c>
      <c r="L16" s="150">
        <f>IF(ISNUMBER(Taxes!L16),IF(Taxes!L16=0,0,ROUND(Taxes!L16, 2-(1+INT(LOG10(ABS(Taxes!L16)))))),"N/A")</f>
        <v>0</v>
      </c>
      <c r="M16" s="151">
        <f>IF(ISNUMBER(Taxes!M16),IF(Taxes!M16=0,0,ROUND(Taxes!M16, 2-(1+INT(LOG10(ABS(Taxes!M16)))))),"N/A")</f>
        <v>0.31</v>
      </c>
      <c r="N16" s="152">
        <f>IF(ISNUMBER(Taxes!N16),IF(Taxes!N16=0,0,ROUND(Taxes!N16, 2-(1+INT(LOG10(ABS(Taxes!N16)))))),"N/A")</f>
        <v>0.64</v>
      </c>
      <c r="O16" s="150">
        <f>IF(ISNUMBER(Taxes!O16),IF(Taxes!O16=0,0,ROUND(Taxes!O16, 2-(1+INT(LOG10(ABS(Taxes!O16)))))),"N/A")</f>
        <v>0</v>
      </c>
      <c r="P16" s="151">
        <f>IF(ISNUMBER(Taxes!P16),IF(Taxes!P16=0,0,ROUND(Taxes!P16, 2-(1+INT(LOG10(ABS(Taxes!P16)))))),"N/A")</f>
        <v>0</v>
      </c>
      <c r="Q16" s="152">
        <f>IF(ISNUMBER(Taxes!Q16),IF(Taxes!Q16=0,0,ROUND(Taxes!Q16, 2-(1+INT(LOG10(ABS(Taxes!Q16)))))),"N/A")</f>
        <v>0</v>
      </c>
    </row>
    <row r="17" spans="2:17" x14ac:dyDescent="0.3">
      <c r="B17" s="126"/>
      <c r="C17" s="142"/>
      <c r="D17" s="107"/>
      <c r="E17" s="109"/>
      <c r="F17" s="142"/>
      <c r="G17" s="107"/>
      <c r="H17" s="109"/>
      <c r="I17" s="142"/>
      <c r="J17" s="107"/>
      <c r="K17" s="109"/>
      <c r="L17" s="142"/>
      <c r="M17" s="107"/>
      <c r="N17" s="109"/>
      <c r="O17" s="142"/>
      <c r="P17" s="107"/>
      <c r="Q17" s="109"/>
    </row>
    <row r="18" spans="2:17" x14ac:dyDescent="0.3">
      <c r="B18" s="126" t="s">
        <v>487</v>
      </c>
      <c r="C18" s="142">
        <f>IF(ISNUMBER(Taxes!C18),IF(Taxes!C18=0,0,ROUND(Taxes!C18, 2-(1+INT(LOG10(ABS(Taxes!C18)))))),"N/A")</f>
        <v>4400000</v>
      </c>
      <c r="D18" s="107">
        <f>IF(ISNUMBER(Taxes!D18),IF(Taxes!D18=0,0,ROUND(Taxes!D18, 2-(1+INT(LOG10(ABS(Taxes!D18)))))),"N/A")</f>
        <v>13000000</v>
      </c>
      <c r="E18" s="109">
        <f>IF(ISNUMBER(Taxes!E18),IF(Taxes!E18=0,0,ROUND(Taxes!E18, 2-(1+INT(LOG10(ABS(Taxes!E18)))))),"N/A")</f>
        <v>22000000</v>
      </c>
      <c r="F18" s="142" t="str">
        <f>IF(ISNUMBER(Taxes!F18),IF(Taxes!F18=0,0,ROUND(Taxes!F18, 2-(1+INT(LOG10(ABS(Taxes!F18)))))),"N/A")</f>
        <v>N/A</v>
      </c>
      <c r="G18" s="107">
        <f>IF(ISNUMBER(Taxes!G18),IF(Taxes!G18=0,0,ROUND(Taxes!G18, 2-(1+INT(LOG10(ABS(Taxes!G18)))))),"N/A")</f>
        <v>36000000</v>
      </c>
      <c r="H18" s="109" t="str">
        <f>IF(ISNUMBER(Taxes!H18),IF(Taxes!H18=0,0,ROUND(Taxes!H18, 2-(1+INT(LOG10(ABS(Taxes!H18)))))),"N/A")</f>
        <v>N/A</v>
      </c>
      <c r="I18" s="142" t="str">
        <f>IF(ISNUMBER(Taxes!I18),IF(Taxes!I18=0,0,ROUND(Taxes!I18, 2-(1+INT(LOG10(ABS(Taxes!I18)))))),"N/A")</f>
        <v>N/A</v>
      </c>
      <c r="J18" s="107">
        <f>IF(ISNUMBER(Taxes!J18),IF(Taxes!J18=0,0,ROUND(Taxes!J18, 2-(1+INT(LOG10(ABS(Taxes!J18)))))),"N/A")</f>
        <v>65000000</v>
      </c>
      <c r="K18" s="109" t="str">
        <f>IF(ISNUMBER(Taxes!K18),IF(Taxes!K18=0,0,ROUND(Taxes!K18, 2-(1+INT(LOG10(ABS(Taxes!K18)))))),"N/A")</f>
        <v>N/A</v>
      </c>
      <c r="L18" s="142" t="str">
        <f>IF(ISNUMBER(Taxes!L18),IF(Taxes!L18=0,0,ROUND(Taxes!L18, 2-(1+INT(LOG10(ABS(Taxes!L18)))))),"N/A")</f>
        <v>N/A</v>
      </c>
      <c r="M18" s="107">
        <f>IF(ISNUMBER(Taxes!M18),IF(Taxes!M18=0,0,ROUND(Taxes!M18, 2-(1+INT(LOG10(ABS(Taxes!M18)))))),"N/A")</f>
        <v>58000000</v>
      </c>
      <c r="N18" s="109" t="str">
        <f>IF(ISNUMBER(Taxes!N18),IF(Taxes!N18=0,0,ROUND(Taxes!N18, 2-(1+INT(LOG10(ABS(Taxes!N18)))))),"N/A")</f>
        <v>N/A</v>
      </c>
      <c r="O18" s="142" t="str">
        <f>IF(ISNUMBER(Taxes!O18),IF(Taxes!O18=0,0,ROUND(Taxes!O18, 2-(1+INT(LOG10(ABS(Taxes!O18)))))),"N/A")</f>
        <v>N/A</v>
      </c>
      <c r="P18" s="107" t="str">
        <f>IF(ISNUMBER(Taxes!P18),IF(Taxes!P18=0,0,ROUND(Taxes!P18, 2-(1+INT(LOG10(ABS(Taxes!P18)))))),"N/A")</f>
        <v>N/A</v>
      </c>
      <c r="Q18" s="109" t="str">
        <f>IF(ISNUMBER(Taxes!Q18),IF(Taxes!Q18=0,0,ROUND(Taxes!Q18, 2-(1+INT(LOG10(ABS(Taxes!Q18)))))),"N/A")</f>
        <v>N/A</v>
      </c>
    </row>
    <row r="19" spans="2:17" x14ac:dyDescent="0.3">
      <c r="B19" s="126"/>
      <c r="C19" s="143" t="str">
        <f>IF(ISNUMBER(Taxes!C19),IF(Taxes!C19=0,0,ROUND(Taxes!C19, 2-(1+INT(LOG10(ABS(Taxes!C19)))))),"N/A")</f>
        <v>N/A</v>
      </c>
      <c r="D19" s="144" t="str">
        <f>IF(ISNUMBER(Taxes!D19),IF(Taxes!D19=0,0,ROUND(Taxes!D19, 2-(1+INT(LOG10(ABS(Taxes!D19)))))),"N/A")</f>
        <v>N/A</v>
      </c>
      <c r="E19" s="145" t="str">
        <f>IF(ISNUMBER(Taxes!E19),IF(Taxes!E19=0,0,ROUND(Taxes!E19, 2-(1+INT(LOG10(ABS(Taxes!E19)))))),"N/A")</f>
        <v>N/A</v>
      </c>
      <c r="F19" s="143" t="str">
        <f>IF(ISNUMBER(Taxes!F19),IF(Taxes!F19=0,0,ROUND(Taxes!F19, 2-(1+INT(LOG10(ABS(Taxes!F19)))))),"N/A")</f>
        <v>N/A</v>
      </c>
      <c r="G19" s="144" t="str">
        <f>IF(ISNUMBER(Taxes!G19),IF(Taxes!G19=0,0,ROUND(Taxes!G19, 2-(1+INT(LOG10(ABS(Taxes!G19)))))),"N/A")</f>
        <v>N/A</v>
      </c>
      <c r="H19" s="145" t="str">
        <f>IF(ISNUMBER(Taxes!H19),IF(Taxes!H19=0,0,ROUND(Taxes!H19, 2-(1+INT(LOG10(ABS(Taxes!H19)))))),"N/A")</f>
        <v>N/A</v>
      </c>
      <c r="I19" s="143" t="str">
        <f>IF(ISNUMBER(Taxes!I19),IF(Taxes!I19=0,0,ROUND(Taxes!I19, 2-(1+INT(LOG10(ABS(Taxes!I19)))))),"N/A")</f>
        <v>N/A</v>
      </c>
      <c r="J19" s="144" t="str">
        <f>IF(ISNUMBER(Taxes!J19),IF(Taxes!J19=0,0,ROUND(Taxes!J19, 2-(1+INT(LOG10(ABS(Taxes!J19)))))),"N/A")</f>
        <v>N/A</v>
      </c>
      <c r="K19" s="145" t="str">
        <f>IF(ISNUMBER(Taxes!K19),IF(Taxes!K19=0,0,ROUND(Taxes!K19, 2-(1+INT(LOG10(ABS(Taxes!K19)))))),"N/A")</f>
        <v>N/A</v>
      </c>
      <c r="L19" s="143" t="str">
        <f>IF(ISNUMBER(Taxes!L19),IF(Taxes!L19=0,0,ROUND(Taxes!L19, 2-(1+INT(LOG10(ABS(Taxes!L19)))))),"N/A")</f>
        <v>N/A</v>
      </c>
      <c r="M19" s="144" t="str">
        <f>IF(ISNUMBER(Taxes!M19),IF(Taxes!M19=0,0,ROUND(Taxes!M19, 2-(1+INT(LOG10(ABS(Taxes!M19)))))),"N/A")</f>
        <v>N/A</v>
      </c>
      <c r="N19" s="145" t="str">
        <f>IF(ISNUMBER(Taxes!N19),IF(Taxes!N19=0,0,ROUND(Taxes!N19, 2-(1+INT(LOG10(ABS(Taxes!N19)))))),"N/A")</f>
        <v>N/A</v>
      </c>
      <c r="O19" s="143" t="str">
        <f>IF(ISNUMBER(Taxes!O19),IF(Taxes!O19=0,0,ROUND(Taxes!O19, 2-(1+INT(LOG10(ABS(Taxes!O19)))))),"N/A")</f>
        <v>N/A</v>
      </c>
      <c r="P19" s="144" t="str">
        <f>IF(ISNUMBER(Taxes!P19),IF(Taxes!P19=0,0,ROUND(Taxes!P19, 2-(1+INT(LOG10(ABS(Taxes!P19)))))),"N/A")</f>
        <v>N/A</v>
      </c>
      <c r="Q19" s="145" t="str">
        <f>IF(ISNUMBER(Taxes!Q19),IF(Taxes!Q19=0,0,ROUND(Taxes!Q19, 2-(1+INT(LOG10(ABS(Taxes!Q19)))))),"N/A")</f>
        <v>N/A</v>
      </c>
    </row>
    <row r="20" spans="2:17" x14ac:dyDescent="0.3">
      <c r="B20" s="126" t="s">
        <v>488</v>
      </c>
      <c r="C20" s="139">
        <f>IF(ISNUMBER(Taxes!C20),IF(Taxes!C20=0,0,ROUND(Taxes!C20, 2-(1+INT(LOG10(ABS(Taxes!C20)))))),"N/A")</f>
        <v>640000</v>
      </c>
      <c r="D20" s="140">
        <f>IF(ISNUMBER(Taxes!D20),IF(Taxes!D20=0,0,ROUND(Taxes!D20, 2-(1+INT(LOG10(ABS(Taxes!D20)))))),"N/A")</f>
        <v>1900000</v>
      </c>
      <c r="E20" s="141">
        <f>IF(ISNUMBER(Taxes!E20),IF(Taxes!E20=0,0,ROUND(Taxes!E20, 2-(1+INT(LOG10(ABS(Taxes!E20)))))),"N/A")</f>
        <v>3200000</v>
      </c>
      <c r="F20" s="139">
        <f>IF(ISNUMBER(Taxes!F20),IF(Taxes!F20=0,0,ROUND(Taxes!F20, 2-(1+INT(LOG10(ABS(Taxes!F20)))))),"N/A")</f>
        <v>710000</v>
      </c>
      <c r="G20" s="140">
        <f>IF(ISNUMBER(Taxes!G20),IF(Taxes!G20=0,0,ROUND(Taxes!G20, 2-(1+INT(LOG10(ABS(Taxes!G20)))))),"N/A")</f>
        <v>5200000</v>
      </c>
      <c r="H20" s="141" t="str">
        <f>IF(ISNUMBER(Taxes!H20),IF(Taxes!H20=0,0,ROUND(Taxes!H20, 2-(1+INT(LOG10(ABS(Taxes!H20)))))),"N/A")</f>
        <v>N/A</v>
      </c>
      <c r="I20" s="139">
        <f>IF(ISNUMBER(Taxes!I20),IF(Taxes!I20=0,0,ROUND(Taxes!I20, 2-(1+INT(LOG10(ABS(Taxes!I20)))))),"N/A")</f>
        <v>510000</v>
      </c>
      <c r="J20" s="140">
        <f>IF(ISNUMBER(Taxes!J20),IF(Taxes!J20=0,0,ROUND(Taxes!J20, 2-(1+INT(LOG10(ABS(Taxes!J20)))))),"N/A")</f>
        <v>9400000</v>
      </c>
      <c r="K20" s="141" t="str">
        <f>IF(ISNUMBER(Taxes!K20),IF(Taxes!K20=0,0,ROUND(Taxes!K20, 2-(1+INT(LOG10(ABS(Taxes!K20)))))),"N/A")</f>
        <v>N/A</v>
      </c>
      <c r="L20" s="139">
        <f>IF(ISNUMBER(Taxes!L20),IF(Taxes!L20=0,0,ROUND(Taxes!L20, 2-(1+INT(LOG10(ABS(Taxes!L20)))))),"N/A")</f>
        <v>0</v>
      </c>
      <c r="M20" s="140">
        <f>IF(ISNUMBER(Taxes!M20),IF(Taxes!M20=0,0,ROUND(Taxes!M20, 2-(1+INT(LOG10(ABS(Taxes!M20)))))),"N/A")</f>
        <v>8400000</v>
      </c>
      <c r="N20" s="141" t="str">
        <f>IF(ISNUMBER(Taxes!N20),IF(Taxes!N20=0,0,ROUND(Taxes!N20, 2-(1+INT(LOG10(ABS(Taxes!N20)))))),"N/A")</f>
        <v>N/A</v>
      </c>
      <c r="O20" s="139" t="str">
        <f>IF(ISNUMBER(Taxes!O20),IF(Taxes!O20=0,0,ROUND(Taxes!O20, 2-(1+INT(LOG10(ABS(Taxes!O20)))))),"N/A")</f>
        <v>N/A</v>
      </c>
      <c r="P20" s="140" t="str">
        <f>IF(ISNUMBER(Taxes!P20),IF(Taxes!P20=0,0,ROUND(Taxes!P20, 2-(1+INT(LOG10(ABS(Taxes!P20)))))),"N/A")</f>
        <v>N/A</v>
      </c>
      <c r="Q20" s="141" t="str">
        <f>IF(ISNUMBER(Taxes!Q20),IF(Taxes!Q20=0,0,ROUND(Taxes!Q20, 2-(1+INT(LOG10(ABS(Taxes!Q20)))))),"N/A")</f>
        <v>N/A</v>
      </c>
    </row>
    <row r="21" spans="2:17" ht="15" thickBot="1" x14ac:dyDescent="0.35">
      <c r="B21" s="127" t="s">
        <v>489</v>
      </c>
      <c r="C21" s="136" t="str">
        <f>IF(ISNUMBER(Taxes!C21),IF(Taxes!C21=0,0,ROUND(Taxes!C21, 2-(1+INT(LOG10(ABS(Taxes!C21)))))),"N/A")</f>
        <v>N/A</v>
      </c>
      <c r="D21" s="137" t="str">
        <f>IF(ISNUMBER(Taxes!D21),IF(Taxes!D21=0,0,ROUND(Taxes!D21, 2-(1+INT(LOG10(ABS(Taxes!D21)))))),"N/A")</f>
        <v>N/A</v>
      </c>
      <c r="E21" s="138" t="str">
        <f>IF(ISNUMBER(Taxes!E21),IF(Taxes!E21=0,0,ROUND(Taxes!E21, 2-(1+INT(LOG10(ABS(Taxes!E21)))))),"N/A")</f>
        <v>N/A</v>
      </c>
      <c r="F21" s="136" t="str">
        <f>IF(ISNUMBER(Taxes!F21),IF(Taxes!F21=0,0,ROUND(Taxes!F21, 2-(1+INT(LOG10(ABS(Taxes!F21)))))),"N/A")</f>
        <v>N/A</v>
      </c>
      <c r="G21" s="137" t="str">
        <f>IF(ISNUMBER(Taxes!G21),IF(Taxes!G21=0,0,ROUND(Taxes!G21, 2-(1+INT(LOG10(ABS(Taxes!G21)))))),"N/A")</f>
        <v>N/A</v>
      </c>
      <c r="H21" s="138">
        <f>IF(ISNUMBER(Taxes!H21),IF(Taxes!H21=0,0,ROUND(Taxes!H21, 2-(1+INT(LOG10(ABS(Taxes!H21)))))),"N/A")</f>
        <v>5100000</v>
      </c>
      <c r="I21" s="136" t="str">
        <f>IF(ISNUMBER(Taxes!I21),IF(Taxes!I21=0,0,ROUND(Taxes!I21, 2-(1+INT(LOG10(ABS(Taxes!I21)))))),"N/A")</f>
        <v>N/A</v>
      </c>
      <c r="J21" s="137" t="str">
        <f>IF(ISNUMBER(Taxes!J21),IF(Taxes!J21=0,0,ROUND(Taxes!J21, 2-(1+INT(LOG10(ABS(Taxes!J21)))))),"N/A")</f>
        <v>N/A</v>
      </c>
      <c r="K21" s="138">
        <f>IF(ISNUMBER(Taxes!K21),IF(Taxes!K21=0,0,ROUND(Taxes!K21, 2-(1+INT(LOG10(ABS(Taxes!K21)))))),"N/A")</f>
        <v>9900000</v>
      </c>
      <c r="L21" s="136" t="str">
        <f>IF(ISNUMBER(Taxes!L21),IF(Taxes!L21=0,0,ROUND(Taxes!L21, 2-(1+INT(LOG10(ABS(Taxes!L21)))))),"N/A")</f>
        <v>N/A</v>
      </c>
      <c r="M21" s="137" t="str">
        <f>IF(ISNUMBER(Taxes!M21),IF(Taxes!M21=0,0,ROUND(Taxes!M21, 2-(1+INT(LOG10(ABS(Taxes!M21)))))),"N/A")</f>
        <v>N/A</v>
      </c>
      <c r="N21" s="138">
        <f>IF(ISNUMBER(Taxes!N21),IF(Taxes!N21=0,0,ROUND(Taxes!N21, 2-(1+INT(LOG10(ABS(Taxes!N21)))))),"N/A")</f>
        <v>9700000</v>
      </c>
      <c r="O21" s="136">
        <f>IF(ISNUMBER(Taxes!O21),IF(Taxes!O21=0,0,ROUND(Taxes!O21, 2-(1+INT(LOG10(ABS(Taxes!O21)))))),"N/A")</f>
        <v>0</v>
      </c>
      <c r="P21" s="137">
        <f>IF(ISNUMBER(Taxes!P21),IF(Taxes!P21=0,0,ROUND(Taxes!P21, 2-(1+INT(LOG10(ABS(Taxes!P21)))))),"N/A")</f>
        <v>0</v>
      </c>
      <c r="Q21" s="138">
        <f>IF(ISNUMBER(Taxes!Q21),IF(Taxes!Q21=0,0,ROUND(Taxes!Q21, 2-(1+INT(LOG10(ABS(Taxes!Q21)))))),"N/A")</f>
        <v>0</v>
      </c>
    </row>
    <row r="22" spans="2:17" ht="15" thickTop="1" x14ac:dyDescent="0.3">
      <c r="B22" s="128" t="s">
        <v>490</v>
      </c>
      <c r="C22" s="132"/>
      <c r="D22" s="133"/>
      <c r="E22" s="134"/>
      <c r="F22" s="132"/>
      <c r="G22" s="133"/>
      <c r="H22" s="134"/>
      <c r="I22" s="132"/>
      <c r="J22" s="133"/>
      <c r="K22" s="134"/>
      <c r="L22" s="132"/>
      <c r="M22" s="133"/>
      <c r="N22" s="134"/>
      <c r="O22" s="132"/>
      <c r="P22" s="133"/>
      <c r="Q22" s="134"/>
    </row>
    <row r="23" spans="2:17" x14ac:dyDescent="0.3">
      <c r="B23" s="126" t="s">
        <v>491</v>
      </c>
      <c r="C23" s="142">
        <f>IF(ISNUMBER(Taxes!C23),IF(Taxes!C23=0,0,ROUND(Taxes!C23, 2-(1+INT(LOG10(ABS(Taxes!C23)))))),"N/A")</f>
        <v>42000</v>
      </c>
      <c r="D23" s="107">
        <f>IF(ISNUMBER(Taxes!D23),IF(Taxes!D23=0,0,ROUND(Taxes!D23, 2-(1+INT(LOG10(ABS(Taxes!D23)))))),"N/A")</f>
        <v>42000</v>
      </c>
      <c r="E23" s="109">
        <f>IF(ISNUMBER(Taxes!E23),IF(Taxes!E23=0,0,ROUND(Taxes!E23, 2-(1+INT(LOG10(ABS(Taxes!E23)))))),"N/A")</f>
        <v>42000</v>
      </c>
      <c r="F23" s="142">
        <f>IF(ISNUMBER(Taxes!F23),IF(Taxes!F23=0,0,ROUND(Taxes!F23, 2-(1+INT(LOG10(ABS(Taxes!F23)))))),"N/A")</f>
        <v>42000</v>
      </c>
      <c r="G23" s="107">
        <f>IF(ISNUMBER(Taxes!G23),IF(Taxes!G23=0,0,ROUND(Taxes!G23, 2-(1+INT(LOG10(ABS(Taxes!G23)))))),"N/A")</f>
        <v>42000</v>
      </c>
      <c r="H23" s="109">
        <f>IF(ISNUMBER(Taxes!H23),IF(Taxes!H23=0,0,ROUND(Taxes!H23, 2-(1+INT(LOG10(ABS(Taxes!H23)))))),"N/A")</f>
        <v>42000</v>
      </c>
      <c r="I23" s="142">
        <f>IF(ISNUMBER(Taxes!I23),IF(Taxes!I23=0,0,ROUND(Taxes!I23, 2-(1+INT(LOG10(ABS(Taxes!I23)))))),"N/A")</f>
        <v>42000</v>
      </c>
      <c r="J23" s="107">
        <f>IF(ISNUMBER(Taxes!J23),IF(Taxes!J23=0,0,ROUND(Taxes!J23, 2-(1+INT(LOG10(ABS(Taxes!J23)))))),"N/A")</f>
        <v>42000</v>
      </c>
      <c r="K23" s="109">
        <f>IF(ISNUMBER(Taxes!K23),IF(Taxes!K23=0,0,ROUND(Taxes!K23, 2-(1+INT(LOG10(ABS(Taxes!K23)))))),"N/A")</f>
        <v>42000</v>
      </c>
      <c r="L23" s="142">
        <f>IF(ISNUMBER(Taxes!L23),IF(Taxes!L23=0,0,ROUND(Taxes!L23, 2-(1+INT(LOG10(ABS(Taxes!L23)))))),"N/A")</f>
        <v>42000</v>
      </c>
      <c r="M23" s="107">
        <f>IF(ISNUMBER(Taxes!M23),IF(Taxes!M23=0,0,ROUND(Taxes!M23, 2-(1+INT(LOG10(ABS(Taxes!M23)))))),"N/A")</f>
        <v>42000</v>
      </c>
      <c r="N23" s="109">
        <f>IF(ISNUMBER(Taxes!N23),IF(Taxes!N23=0,0,ROUND(Taxes!N23, 2-(1+INT(LOG10(ABS(Taxes!N23)))))),"N/A")</f>
        <v>42000</v>
      </c>
      <c r="O23" s="142">
        <f>IF(ISNUMBER(Taxes!O23),IF(Taxes!O23=0,0,ROUND(Taxes!O23, 2-(1+INT(LOG10(ABS(Taxes!O23)))))),"N/A")</f>
        <v>42000</v>
      </c>
      <c r="P23" s="107">
        <f>IF(ISNUMBER(Taxes!P23),IF(Taxes!P23=0,0,ROUND(Taxes!P23, 2-(1+INT(LOG10(ABS(Taxes!P23)))))),"N/A")</f>
        <v>42000</v>
      </c>
      <c r="Q23" s="109">
        <f>IF(ISNUMBER(Taxes!Q23),IF(Taxes!Q23=0,0,ROUND(Taxes!Q23, 2-(1+INT(LOG10(ABS(Taxes!Q23)))))),"N/A")</f>
        <v>42000</v>
      </c>
    </row>
    <row r="24" spans="2:17" x14ac:dyDescent="0.3">
      <c r="B24" s="126"/>
      <c r="C24" s="143"/>
      <c r="D24" s="144"/>
      <c r="E24" s="145"/>
      <c r="F24" s="143"/>
      <c r="G24" s="144"/>
      <c r="H24" s="145"/>
      <c r="I24" s="143"/>
      <c r="J24" s="144"/>
      <c r="K24" s="145"/>
      <c r="L24" s="143"/>
      <c r="M24" s="144"/>
      <c r="N24" s="145"/>
      <c r="O24" s="143"/>
      <c r="P24" s="144"/>
      <c r="Q24" s="145"/>
    </row>
    <row r="25" spans="2:17" ht="15" thickBot="1" x14ac:dyDescent="0.35">
      <c r="B25" s="127" t="s">
        <v>492</v>
      </c>
      <c r="C25" s="136">
        <f>IF(ISNUMBER(Taxes!C25),IF(Taxes!C25=0,0,ROUND(Taxes!C25, 2-(1+INT(LOG10(ABS(Taxes!C25)))))),"N/A")*-1</f>
        <v>-21000</v>
      </c>
      <c r="D25" s="137">
        <f>IF(ISNUMBER(Taxes!D25),IF(Taxes!D25=0,0,ROUND(Taxes!D25, 2-(1+INT(LOG10(ABS(Taxes!D25)))))),"N/A")*-1</f>
        <v>-21000</v>
      </c>
      <c r="E25" s="138">
        <f>IF(ISNUMBER(Taxes!E25),IF(Taxes!E25=0,0,ROUND(Taxes!E25, 2-(1+INT(LOG10(ABS(Taxes!E25)))))),"N/A")*-1</f>
        <v>-21000</v>
      </c>
      <c r="F25" s="136">
        <f>IF(ISNUMBER(Taxes!F25),IF(Taxes!F25=0,0,ROUND(Taxes!F25, 2-(1+INT(LOG10(ABS(Taxes!F25)))))),"N/A")*-1</f>
        <v>-21000</v>
      </c>
      <c r="G25" s="137">
        <f>IF(ISNUMBER(Taxes!G25),IF(Taxes!G25=0,0,ROUND(Taxes!G25, 2-(1+INT(LOG10(ABS(Taxes!G25)))))),"N/A")*-1</f>
        <v>-21000</v>
      </c>
      <c r="H25" s="138">
        <f>IF(ISNUMBER(Taxes!H25),IF(Taxes!H25=0,0,ROUND(Taxes!H25, 2-(1+INT(LOG10(ABS(Taxes!H25)))))),"N/A")*-1</f>
        <v>-21000</v>
      </c>
      <c r="I25" s="136">
        <f>IF(ISNUMBER(Taxes!I25),IF(Taxes!I25=0,0,ROUND(Taxes!I25, 2-(1+INT(LOG10(ABS(Taxes!I25)))))),"N/A")*-1</f>
        <v>-21000</v>
      </c>
      <c r="J25" s="137">
        <f>IF(ISNUMBER(Taxes!J25),IF(Taxes!J25=0,0,ROUND(Taxes!J25, 2-(1+INT(LOG10(ABS(Taxes!J25)))))),"N/A")*-1</f>
        <v>-21000</v>
      </c>
      <c r="K25" s="138">
        <f>IF(ISNUMBER(Taxes!K25),IF(Taxes!K25=0,0,ROUND(Taxes!K25, 2-(1+INT(LOG10(ABS(Taxes!K25)))))),"N/A")*-1</f>
        <v>-21000</v>
      </c>
      <c r="L25" s="136">
        <f>IF(ISNUMBER(Taxes!L25),IF(Taxes!L25=0,0,ROUND(Taxes!L25, 2-(1+INT(LOG10(ABS(Taxes!L25)))))),"N/A")*-1</f>
        <v>-21000</v>
      </c>
      <c r="M25" s="137">
        <f>IF(ISNUMBER(Taxes!M25),IF(Taxes!M25=0,0,ROUND(Taxes!M25, 2-(1+INT(LOG10(ABS(Taxes!M25)))))),"N/A")*-1</f>
        <v>-21000</v>
      </c>
      <c r="N25" s="138">
        <f>IF(ISNUMBER(Taxes!N25),IF(Taxes!N25=0,0,ROUND(Taxes!N25, 2-(1+INT(LOG10(ABS(Taxes!N25)))))),"N/A")*-1</f>
        <v>-21000</v>
      </c>
      <c r="O25" s="136">
        <f>IF(ISNUMBER(Taxes!O25),IF(Taxes!O25=0,0,ROUND(Taxes!O25, 2-(1+INT(LOG10(ABS(Taxes!O25)))))),"N/A")*-1</f>
        <v>-21000</v>
      </c>
      <c r="P25" s="137">
        <f>IF(ISNUMBER(Taxes!P25),IF(Taxes!P25=0,0,ROUND(Taxes!P25, 2-(1+INT(LOG10(ABS(Taxes!P25)))))),"N/A")*-1</f>
        <v>-21000</v>
      </c>
      <c r="Q25" s="138">
        <f>IF(ISNUMBER(Taxes!Q25),IF(Taxes!Q25=0,0,ROUND(Taxes!Q25, 2-(1+INT(LOG10(ABS(Taxes!Q25)))))),"N/A")*-1</f>
        <v>-21000</v>
      </c>
    </row>
    <row r="26" spans="2:17" ht="15.6" thickTop="1" thickBot="1" x14ac:dyDescent="0.35">
      <c r="B26" s="135" t="s">
        <v>47</v>
      </c>
      <c r="C26" s="146">
        <f>IF(ISNUMBER(Taxes!C26),IF(Taxes!C26=0,0,ROUND(Taxes!C26, 2-(1+INT(LOG10(ABS(Taxes!C26)))))),"N/A")*-1</f>
        <v>620000</v>
      </c>
      <c r="D26" s="147">
        <f>IF(ISNUMBER(Taxes!D26),IF(Taxes!D26=0,0,ROUND(Taxes!D26, 2-(1+INT(LOG10(ABS(Taxes!D26)))))),"N/A")*-1</f>
        <v>1900000</v>
      </c>
      <c r="E26" s="148">
        <f>IF(ISNUMBER(Taxes!E26),IF(Taxes!E26=0,0,ROUND(Taxes!E26, 2-(1+INT(LOG10(ABS(Taxes!E26)))))),"N/A")*-1</f>
        <v>3100000</v>
      </c>
      <c r="F26" s="146">
        <f>IF(ISNUMBER(Taxes!F26),IF(Taxes!F26=0,0,ROUND(Taxes!F26, 2-(1+INT(LOG10(ABS(Taxes!F26)))))),"N/A")*-1</f>
        <v>690000</v>
      </c>
      <c r="G26" s="147">
        <f>IF(ISNUMBER(Taxes!G26),IF(Taxes!G26=0,0,ROUND(Taxes!G26, 2-(1+INT(LOG10(ABS(Taxes!G26)))))),"N/A")*-1</f>
        <v>5200000</v>
      </c>
      <c r="H26" s="148">
        <f>IF(ISNUMBER(Taxes!H26),IF(Taxes!H26=0,0,ROUND(Taxes!H26, 2-(1+INT(LOG10(ABS(Taxes!H26)))))),"N/A")*-1</f>
        <v>5100000</v>
      </c>
      <c r="I26" s="146">
        <f>IF(ISNUMBER(Taxes!I26),IF(Taxes!I26=0,0,ROUND(Taxes!I26, 2-(1+INT(LOG10(ABS(Taxes!I26)))))),"N/A")*-1</f>
        <v>490000</v>
      </c>
      <c r="J26" s="147">
        <f>IF(ISNUMBER(Taxes!J26),IF(Taxes!J26=0,0,ROUND(Taxes!J26, 2-(1+INT(LOG10(ABS(Taxes!J26)))))),"N/A")*-1</f>
        <v>9300000</v>
      </c>
      <c r="K26" s="148">
        <f>IF(ISNUMBER(Taxes!K26),IF(Taxes!K26=0,0,ROUND(Taxes!K26, 2-(1+INT(LOG10(ABS(Taxes!K26)))))),"N/A")*-1</f>
        <v>7400000</v>
      </c>
      <c r="L26" s="146">
        <f>IF(ISNUMBER(Taxes!L26),IF(Taxes!L26=0,0,ROUND(Taxes!L26, 2-(1+INT(LOG10(ABS(Taxes!L26)))))),"N/A")*-1</f>
        <v>-21000</v>
      </c>
      <c r="M26" s="147">
        <f>IF(ISNUMBER(Taxes!M26),IF(Taxes!M26=0,0,ROUND(Taxes!M26, 2-(1+INT(LOG10(ABS(Taxes!M26)))))),"N/A")*-1</f>
        <v>8300000</v>
      </c>
      <c r="N26" s="148">
        <f>IF(ISNUMBER(Taxes!N26),IF(Taxes!N26=0,0,ROUND(Taxes!N26, 2-(1+INT(LOG10(ABS(Taxes!N26)))))),"N/A")*-1</f>
        <v>2700000</v>
      </c>
      <c r="O26" s="146">
        <f>IF(ISNUMBER(Taxes!O26),IF(Taxes!O26=0,0,ROUND(Taxes!O26, 2-(1+INT(LOG10(ABS(Taxes!O26)))))),"N/A")*-1</f>
        <v>-6900000</v>
      </c>
      <c r="P26" s="147">
        <f>IF(ISNUMBER(Taxes!P26),IF(Taxes!P26=0,0,ROUND(Taxes!P26, 2-(1+INT(LOG10(ABS(Taxes!P26)))))),"N/A")*-1</f>
        <v>-7000000</v>
      </c>
      <c r="Q26" s="148">
        <f>IF(ISNUMBER(Taxes!Q26),IF(Taxes!Q26=0,0,ROUND(Taxes!Q26, 2-(1+INT(LOG10(ABS(Taxes!Q26)))))),"N/A")*-1</f>
        <v>-7000000</v>
      </c>
    </row>
  </sheetData>
  <mergeCells count="5">
    <mergeCell ref="C4:E4"/>
    <mergeCell ref="F4:H4"/>
    <mergeCell ref="I4:K4"/>
    <mergeCell ref="L4:N4"/>
    <mergeCell ref="O4:Q4"/>
  </mergeCells>
  <pageMargins left="0.7" right="0.7" top="0.75" bottom="0.75" header="0.3" footer="0.3"/>
</worksheet>
</file>

<file path=docMetadata/LabelInfo.xml><?xml version="1.0" encoding="utf-8"?>
<clbl:labelList xmlns:clbl="http://schemas.microsoft.com/office/2020/mipLabelMetadata">
  <clbl:label id="{377e3d22-4ea1-422d-b0ad-8fcc89406b9e}" enabled="0" method="" siteId="{377e3d22-4ea1-422d-b0ad-8fcc89406b9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BreakEven</vt:lpstr>
      <vt:lpstr>ProfitLoss</vt:lpstr>
      <vt:lpstr>ProfitLoss2</vt:lpstr>
      <vt:lpstr>Income</vt:lpstr>
      <vt:lpstr>Income 2</vt:lpstr>
      <vt:lpstr>General Costs</vt:lpstr>
      <vt:lpstr>General Costs 2</vt:lpstr>
      <vt:lpstr>R&amp;D</vt:lpstr>
      <vt:lpstr>R&amp;D 2</vt:lpstr>
      <vt:lpstr>Manufacture</vt:lpstr>
      <vt:lpstr>Manufacture 2</vt:lpstr>
      <vt:lpstr>Product breakdown</vt:lpstr>
      <vt:lpstr>Machine utilisation</vt:lpstr>
      <vt:lpstr>Distribution &amp; Storage</vt:lpstr>
      <vt:lpstr>Taxes</vt:lpstr>
      <vt:lpstr>Taxes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Maclean-Howell</dc:creator>
  <cp:keywords/>
  <dc:description/>
  <cp:lastModifiedBy>Daniel Maclean-Howell</cp:lastModifiedBy>
  <cp:revision/>
  <dcterms:created xsi:type="dcterms:W3CDTF">2024-05-06T16:29:39Z</dcterms:created>
  <dcterms:modified xsi:type="dcterms:W3CDTF">2024-05-24T14:25:45Z</dcterms:modified>
  <cp:category/>
  <cp:contentStatus/>
</cp:coreProperties>
</file>