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charts/chart9.xml" ContentType="application/vnd.openxmlformats-officedocument.drawingml.chart+xml"/>
  <Override PartName="/xl/charts/style1.xml" ContentType="application/vnd.ms-office.chartstyle+xml"/>
  <Override PartName="/xl/charts/colors1.xml" ContentType="application/vnd.ms-office.chartcolorstyle+xml"/>
  <Override PartName="/xl/charts/chart10.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4.xml" ContentType="application/vnd.openxmlformats-officedocument.spreadsheetml.comments+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mc:AlternateContent xmlns:mc="http://schemas.openxmlformats.org/markup-compatibility/2006">
    <mc:Choice Requires="x15">
      <x15ac:absPath xmlns:x15ac="http://schemas.microsoft.com/office/spreadsheetml/2010/11/ac" url="https://computingservices-my.sharepoint.com/personal/mb2784_bath_ac_uk/Documents/GBDP Group 16/CVR/Costing &amp; LCA/"/>
    </mc:Choice>
  </mc:AlternateContent>
  <xr:revisionPtr revIDLastSave="3284" documentId="8_{51FA84BF-28DF-4B27-9426-C0466ABEE5F8}" xr6:coauthVersionLast="47" xr6:coauthVersionMax="47" xr10:uidLastSave="{D3B9413E-B5D5-429E-B0BF-6BFEB05BF7C0}"/>
  <bookViews>
    <workbookView xWindow="-108" yWindow="-108" windowWidth="23256" windowHeight="12456" firstSheet="7" activeTab="7" xr2:uid="{059359D1-2AE4-4F3B-9878-C1016BAE433F}"/>
  </bookViews>
  <sheets>
    <sheet name="CostBenefit Analysis" sheetId="7" r:id="rId1"/>
    <sheet name="ProfitLoss" sheetId="10" r:id="rId2"/>
    <sheet name="BreakEven" sheetId="12" r:id="rId3"/>
    <sheet name="Income" sheetId="6" r:id="rId4"/>
    <sheet name="General Costs" sheetId="1" r:id="rId5"/>
    <sheet name="R&amp;D" sheetId="2" r:id="rId6"/>
    <sheet name="Manufacture" sheetId="3" r:id="rId7"/>
    <sheet name="Product breakdown" sheetId="8" r:id="rId8"/>
    <sheet name="Machine utilisation" sheetId="11" r:id="rId9"/>
    <sheet name="Distribution &amp; Storage" sheetId="9" r:id="rId10"/>
    <sheet name="Taxes" sheetId="5" r:id="rId1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4" i="8" l="1"/>
  <c r="K74" i="8"/>
  <c r="D34" i="8"/>
  <c r="F34" i="8"/>
  <c r="J34" i="8"/>
  <c r="D74" i="8"/>
  <c r="J74" i="8"/>
  <c r="D75" i="8"/>
  <c r="J75" i="8"/>
  <c r="D76" i="8"/>
  <c r="J76" i="8"/>
  <c r="D77" i="8"/>
  <c r="J77" i="8"/>
  <c r="D78" i="8"/>
  <c r="J78" i="8"/>
  <c r="D79" i="8"/>
  <c r="J79" i="8"/>
  <c r="D80" i="8"/>
  <c r="J80" i="8"/>
  <c r="D81" i="8"/>
  <c r="J81" i="8"/>
  <c r="D82" i="8"/>
  <c r="J82" i="8"/>
  <c r="D83" i="8"/>
  <c r="J83" i="8"/>
  <c r="D84" i="8"/>
  <c r="J84" i="8"/>
  <c r="F75" i="8"/>
  <c r="K75" i="8" s="1"/>
  <c r="F76" i="8"/>
  <c r="K76" i="8" s="1"/>
  <c r="F77" i="8"/>
  <c r="K77" i="8" s="1"/>
  <c r="F78" i="8"/>
  <c r="K78" i="8" s="1"/>
  <c r="F79" i="8"/>
  <c r="K79" i="8" s="1"/>
  <c r="F80" i="8"/>
  <c r="K80" i="8" s="1"/>
  <c r="F81" i="8"/>
  <c r="K81" i="8" s="1"/>
  <c r="F82" i="8"/>
  <c r="K82" i="8" s="1"/>
  <c r="F83" i="8"/>
  <c r="K83" i="8" s="1"/>
  <c r="F84" i="8"/>
  <c r="K84" i="8" s="1"/>
  <c r="B33" i="11"/>
  <c r="K34" i="11"/>
  <c r="K35" i="11"/>
  <c r="K36" i="11"/>
  <c r="K37" i="11"/>
  <c r="K38" i="11"/>
  <c r="K39" i="11"/>
  <c r="K40" i="11"/>
  <c r="K41" i="11"/>
  <c r="K33" i="11"/>
  <c r="J34" i="11"/>
  <c r="J35" i="11"/>
  <c r="J36" i="11"/>
  <c r="J37" i="11"/>
  <c r="J38" i="11"/>
  <c r="J39" i="11"/>
  <c r="J40" i="11"/>
  <c r="J41" i="11"/>
  <c r="J33" i="11"/>
  <c r="I34" i="11"/>
  <c r="I35" i="11"/>
  <c r="I36" i="11"/>
  <c r="I37" i="11"/>
  <c r="I38" i="11"/>
  <c r="I39" i="11"/>
  <c r="I40" i="11"/>
  <c r="I41" i="11"/>
  <c r="I33" i="11"/>
  <c r="H34" i="11"/>
  <c r="H35" i="11"/>
  <c r="H36" i="11"/>
  <c r="H37" i="11"/>
  <c r="H38" i="11"/>
  <c r="H39" i="11"/>
  <c r="H40" i="11"/>
  <c r="H41" i="11"/>
  <c r="H33" i="11"/>
  <c r="G34" i="11"/>
  <c r="G35" i="11"/>
  <c r="G36" i="11"/>
  <c r="G37" i="11"/>
  <c r="G38" i="11"/>
  <c r="G39" i="11"/>
  <c r="G40" i="11"/>
  <c r="G41" i="11"/>
  <c r="G33" i="11"/>
  <c r="F34" i="11"/>
  <c r="F35" i="11"/>
  <c r="F36" i="11"/>
  <c r="F37" i="11"/>
  <c r="F38" i="11"/>
  <c r="F39" i="11"/>
  <c r="F40" i="11"/>
  <c r="F41" i="11"/>
  <c r="F33" i="11"/>
  <c r="E34" i="11"/>
  <c r="E35" i="11"/>
  <c r="E36" i="11"/>
  <c r="E37" i="11"/>
  <c r="E38" i="11"/>
  <c r="E39" i="11"/>
  <c r="E40" i="11"/>
  <c r="E41" i="11"/>
  <c r="E33" i="11"/>
  <c r="D34" i="11"/>
  <c r="D35" i="11"/>
  <c r="D36" i="11"/>
  <c r="D37" i="11"/>
  <c r="D38" i="11"/>
  <c r="D39" i="11"/>
  <c r="D40" i="11"/>
  <c r="D41" i="11"/>
  <c r="D33" i="11"/>
  <c r="B34" i="11"/>
  <c r="C34" i="11"/>
  <c r="B35" i="11"/>
  <c r="C35" i="11"/>
  <c r="B36" i="11"/>
  <c r="C36" i="11"/>
  <c r="B37" i="11"/>
  <c r="C37" i="11"/>
  <c r="B38" i="11"/>
  <c r="C38" i="11"/>
  <c r="B39" i="11"/>
  <c r="C39" i="11"/>
  <c r="B40" i="11"/>
  <c r="C40" i="11"/>
  <c r="B41" i="11"/>
  <c r="C41" i="11"/>
  <c r="C33" i="11"/>
  <c r="D13" i="7"/>
  <c r="E13" i="7"/>
  <c r="F13" i="7"/>
  <c r="D14" i="7"/>
  <c r="E14" i="7"/>
  <c r="F14" i="7"/>
  <c r="D15" i="7"/>
  <c r="E15" i="7"/>
  <c r="F15" i="7"/>
  <c r="D16" i="7"/>
  <c r="E16" i="7"/>
  <c r="F16" i="7"/>
  <c r="D17" i="7"/>
  <c r="E17" i="7"/>
  <c r="F17" i="7"/>
  <c r="D18" i="7"/>
  <c r="E18" i="7"/>
  <c r="F18" i="7"/>
  <c r="D19" i="7"/>
  <c r="E19" i="7"/>
  <c r="F19" i="7"/>
  <c r="D88" i="3"/>
  <c r="F58" i="3"/>
  <c r="E58" i="3"/>
  <c r="E59" i="3"/>
  <c r="F59" i="3"/>
  <c r="G59" i="3"/>
  <c r="E60" i="3"/>
  <c r="F60" i="3"/>
  <c r="G60" i="3"/>
  <c r="E61" i="3"/>
  <c r="F61" i="3"/>
  <c r="G61" i="3"/>
  <c r="E62" i="3"/>
  <c r="F62" i="3"/>
  <c r="G62" i="3"/>
  <c r="E63" i="3"/>
  <c r="F63" i="3"/>
  <c r="G63" i="3"/>
  <c r="E64" i="3"/>
  <c r="F64" i="3"/>
  <c r="G64" i="3"/>
  <c r="G58" i="3"/>
  <c r="D46" i="3"/>
  <c r="E46" i="3"/>
  <c r="F46" i="3"/>
  <c r="G46" i="3"/>
  <c r="H46" i="3"/>
  <c r="C46" i="3"/>
  <c r="D22" i="3"/>
  <c r="C22" i="3"/>
  <c r="C20" i="11"/>
  <c r="E5" i="11"/>
  <c r="L5" i="11"/>
  <c r="D17" i="11"/>
  <c r="D19" i="11"/>
  <c r="D20" i="11"/>
  <c r="F5" i="11"/>
  <c r="M5" i="11"/>
  <c r="E17" i="11"/>
  <c r="E19" i="11"/>
  <c r="E20" i="11"/>
  <c r="G5" i="11"/>
  <c r="N5" i="11"/>
  <c r="F17" i="11"/>
  <c r="F19" i="11"/>
  <c r="F20" i="11"/>
  <c r="H5" i="11"/>
  <c r="O5" i="11"/>
  <c r="G17" i="11"/>
  <c r="G19" i="11"/>
  <c r="G20" i="11"/>
  <c r="I5" i="11"/>
  <c r="P5" i="11"/>
  <c r="E6" i="11"/>
  <c r="L6" i="11"/>
  <c r="F6" i="11"/>
  <c r="M6" i="11"/>
  <c r="G6" i="11"/>
  <c r="N6" i="11"/>
  <c r="H6" i="11"/>
  <c r="O6" i="11"/>
  <c r="I6" i="11"/>
  <c r="P6" i="11"/>
  <c r="E7" i="11"/>
  <c r="L7" i="11"/>
  <c r="F7" i="11"/>
  <c r="M7" i="11"/>
  <c r="G7" i="11"/>
  <c r="N7" i="11"/>
  <c r="H7" i="11"/>
  <c r="O7" i="11"/>
  <c r="I7" i="11"/>
  <c r="P7" i="11"/>
  <c r="E8" i="11"/>
  <c r="L8" i="11"/>
  <c r="F8" i="11"/>
  <c r="M8" i="11"/>
  <c r="G8" i="11"/>
  <c r="N8" i="11"/>
  <c r="H8" i="11"/>
  <c r="O8" i="11"/>
  <c r="I8" i="11"/>
  <c r="P8" i="11"/>
  <c r="E9" i="11"/>
  <c r="L9" i="11"/>
  <c r="F9" i="11"/>
  <c r="M9" i="11"/>
  <c r="G9" i="11"/>
  <c r="N9" i="11"/>
  <c r="H9" i="11"/>
  <c r="O9" i="11"/>
  <c r="I9" i="11"/>
  <c r="P9" i="11"/>
  <c r="E10" i="11"/>
  <c r="L10" i="11"/>
  <c r="F10" i="11"/>
  <c r="M10" i="11"/>
  <c r="G10" i="11"/>
  <c r="N10" i="11"/>
  <c r="H10" i="11"/>
  <c r="O10" i="11"/>
  <c r="I10" i="11"/>
  <c r="P10" i="11"/>
  <c r="E11" i="11"/>
  <c r="L11" i="11"/>
  <c r="F11" i="11"/>
  <c r="M11" i="11"/>
  <c r="G11" i="11"/>
  <c r="N11" i="11"/>
  <c r="H11" i="11"/>
  <c r="O11" i="11"/>
  <c r="I11" i="11"/>
  <c r="P11" i="11"/>
  <c r="E12" i="11"/>
  <c r="L12" i="11"/>
  <c r="F12" i="11"/>
  <c r="M12" i="11"/>
  <c r="G12" i="11"/>
  <c r="N12" i="11"/>
  <c r="H12" i="11"/>
  <c r="O12" i="11"/>
  <c r="I12" i="11"/>
  <c r="P12" i="11"/>
  <c r="F4" i="11"/>
  <c r="M4" i="11"/>
  <c r="G4" i="11"/>
  <c r="N4" i="11"/>
  <c r="H4" i="11"/>
  <c r="O4" i="11"/>
  <c r="I4" i="11"/>
  <c r="P4" i="11"/>
  <c r="E4" i="11"/>
  <c r="L4" i="11"/>
  <c r="C19" i="11"/>
  <c r="C17" i="11"/>
  <c r="F30" i="1"/>
  <c r="C30" i="1"/>
  <c r="D45" i="9"/>
  <c r="D33" i="9"/>
  <c r="D46" i="9"/>
  <c r="E33" i="9"/>
  <c r="F33" i="9"/>
  <c r="D34" i="9"/>
  <c r="E34" i="9"/>
  <c r="F34" i="9"/>
  <c r="D35" i="9"/>
  <c r="E35" i="9"/>
  <c r="F35" i="9"/>
  <c r="D32" i="9"/>
  <c r="E32" i="9"/>
  <c r="F32" i="9"/>
  <c r="F16" i="9"/>
  <c r="B9" i="9"/>
  <c r="B16" i="9" a="1"/>
  <c r="B16" i="9"/>
  <c r="G16" i="9"/>
  <c r="I16" i="9"/>
  <c r="D31" i="5"/>
  <c r="E31" i="5"/>
  <c r="F31" i="5"/>
  <c r="G31" i="5"/>
  <c r="H31" i="5"/>
  <c r="I31" i="5"/>
  <c r="J31" i="5"/>
  <c r="K31" i="5"/>
  <c r="L31" i="5"/>
  <c r="M31" i="5"/>
  <c r="N31" i="5"/>
  <c r="O31" i="5"/>
  <c r="P31" i="5"/>
  <c r="Q31" i="5"/>
  <c r="C31" i="5"/>
  <c r="D21" i="5"/>
  <c r="E21" i="5"/>
  <c r="F21" i="5"/>
  <c r="G21" i="5"/>
  <c r="H21" i="5"/>
  <c r="I21" i="5"/>
  <c r="J21" i="5"/>
  <c r="K21" i="5"/>
  <c r="L21" i="5"/>
  <c r="M21" i="5"/>
  <c r="N21" i="5"/>
  <c r="O21" i="5"/>
  <c r="P21" i="5"/>
  <c r="Q21" i="5"/>
  <c r="C21" i="5"/>
  <c r="D20" i="5"/>
  <c r="E20" i="5"/>
  <c r="F20" i="5"/>
  <c r="G20" i="5"/>
  <c r="H20" i="5"/>
  <c r="I20" i="5"/>
  <c r="J20" i="5"/>
  <c r="K20" i="5"/>
  <c r="L20" i="5"/>
  <c r="M20" i="5"/>
  <c r="N20" i="5"/>
  <c r="O20" i="5"/>
  <c r="P20" i="5"/>
  <c r="Q20" i="5"/>
  <c r="C20" i="5"/>
  <c r="D18" i="5"/>
  <c r="E18" i="5"/>
  <c r="F18" i="5"/>
  <c r="G18" i="5"/>
  <c r="H18" i="5"/>
  <c r="I18" i="5"/>
  <c r="J18" i="5"/>
  <c r="K18" i="5"/>
  <c r="L18" i="5"/>
  <c r="M18" i="5"/>
  <c r="N18" i="5"/>
  <c r="O18" i="5"/>
  <c r="P18" i="5"/>
  <c r="Q18" i="5"/>
  <c r="C16" i="5"/>
  <c r="C18" i="5"/>
  <c r="D15" i="5"/>
  <c r="D16" i="5"/>
  <c r="E15" i="5"/>
  <c r="E16" i="5"/>
  <c r="F15" i="5"/>
  <c r="F16" i="5"/>
  <c r="G15" i="5"/>
  <c r="G16" i="5"/>
  <c r="H15" i="5"/>
  <c r="H16" i="5"/>
  <c r="I15" i="5"/>
  <c r="I16" i="5"/>
  <c r="J15" i="5"/>
  <c r="J16" i="5"/>
  <c r="K15" i="5"/>
  <c r="K16" i="5"/>
  <c r="L15" i="5"/>
  <c r="L16" i="5"/>
  <c r="M15" i="5"/>
  <c r="M16" i="5"/>
  <c r="N15" i="5"/>
  <c r="N16" i="5"/>
  <c r="O15" i="5"/>
  <c r="O16" i="5"/>
  <c r="P15" i="5"/>
  <c r="P16" i="5"/>
  <c r="Q15" i="5"/>
  <c r="Q16" i="5"/>
  <c r="C15" i="5"/>
  <c r="D11" i="5"/>
  <c r="D13" i="5"/>
  <c r="E11" i="5"/>
  <c r="E13" i="5"/>
  <c r="F11" i="5"/>
  <c r="F13" i="5"/>
  <c r="G11" i="5"/>
  <c r="G13" i="5"/>
  <c r="H11" i="5"/>
  <c r="H13" i="5"/>
  <c r="I11" i="5"/>
  <c r="I13" i="5"/>
  <c r="J11" i="5"/>
  <c r="J13" i="5"/>
  <c r="K11" i="5"/>
  <c r="K13" i="5"/>
  <c r="L11" i="5"/>
  <c r="L13" i="5"/>
  <c r="M11" i="5"/>
  <c r="M13" i="5"/>
  <c r="N11" i="5"/>
  <c r="N13" i="5"/>
  <c r="O11" i="5"/>
  <c r="O13" i="5"/>
  <c r="P11" i="5"/>
  <c r="P13" i="5"/>
  <c r="Q11" i="5"/>
  <c r="Q13" i="5"/>
  <c r="C11" i="5"/>
  <c r="C13" i="5"/>
  <c r="G5" i="6"/>
  <c r="G6" i="6"/>
  <c r="H6" i="6"/>
  <c r="G7" i="6"/>
  <c r="H7" i="6"/>
  <c r="G8" i="6"/>
  <c r="H8" i="6"/>
  <c r="G9" i="6"/>
  <c r="H9" i="6"/>
  <c r="H5" i="6"/>
  <c r="F7" i="6"/>
  <c r="F8" i="6"/>
  <c r="F9" i="6"/>
  <c r="F6" i="6"/>
  <c r="D6" i="6"/>
  <c r="D7" i="6"/>
  <c r="D8" i="6"/>
  <c r="D9" i="6"/>
  <c r="D5" i="6"/>
  <c r="C17" i="6"/>
  <c r="E17" i="6"/>
  <c r="G17" i="6"/>
  <c r="L106" i="6"/>
  <c r="E105" i="6"/>
  <c r="I110" i="6"/>
  <c r="I106" i="6"/>
  <c r="C120" i="6"/>
  <c r="I112" i="6"/>
  <c r="E106" i="6"/>
  <c r="E118" i="6"/>
  <c r="I113" i="6"/>
  <c r="I111" i="6"/>
  <c r="I109" i="6"/>
  <c r="I108" i="6"/>
  <c r="L108" i="6"/>
  <c r="L107" i="6"/>
  <c r="E107" i="6"/>
  <c r="E108" i="6"/>
  <c r="E109" i="6"/>
  <c r="E110" i="6"/>
  <c r="E111" i="6"/>
  <c r="E112" i="6"/>
  <c r="E113" i="6"/>
  <c r="E114" i="6"/>
  <c r="E115" i="6"/>
  <c r="E116" i="6"/>
  <c r="H39" i="6"/>
  <c r="J25" i="6"/>
  <c r="J26" i="6"/>
  <c r="J27" i="6"/>
  <c r="J28" i="6"/>
  <c r="J29" i="6"/>
  <c r="J30" i="6"/>
  <c r="J31" i="6"/>
  <c r="J32" i="6"/>
  <c r="J33" i="6"/>
  <c r="J34" i="6"/>
  <c r="J35" i="6"/>
  <c r="J24" i="6"/>
  <c r="E24" i="6"/>
  <c r="E25" i="6"/>
  <c r="E26" i="6"/>
  <c r="E27" i="6"/>
  <c r="E28" i="6"/>
  <c r="E29" i="6"/>
  <c r="E30" i="6"/>
  <c r="E31" i="6"/>
  <c r="E32" i="6"/>
  <c r="J37" i="6"/>
  <c r="C36" i="6"/>
  <c r="E34" i="6"/>
  <c r="N71" i="8"/>
  <c r="N70" i="8"/>
  <c r="N68" i="8"/>
  <c r="N67" i="8"/>
  <c r="O60" i="8"/>
  <c r="O61" i="8"/>
  <c r="O62" i="8"/>
  <c r="O59" i="8"/>
  <c r="N60" i="8"/>
  <c r="N61" i="8"/>
  <c r="N62" i="8"/>
  <c r="N59" i="8"/>
  <c r="D69" i="8"/>
  <c r="E69" i="8"/>
  <c r="E70" i="8"/>
  <c r="G70" i="8"/>
  <c r="P70" i="8"/>
  <c r="G69" i="8"/>
  <c r="P69" i="8"/>
  <c r="E71" i="8"/>
  <c r="G71" i="8"/>
  <c r="P71" i="8"/>
  <c r="K70" i="8"/>
  <c r="G58" i="8"/>
  <c r="J58" i="8"/>
  <c r="G59" i="8"/>
  <c r="J59" i="8"/>
  <c r="G60" i="8"/>
  <c r="J60" i="8"/>
  <c r="G61" i="8"/>
  <c r="J61" i="8"/>
  <c r="G62" i="8"/>
  <c r="J62" i="8"/>
  <c r="G63" i="8"/>
  <c r="J63" i="8"/>
  <c r="E64" i="8"/>
  <c r="G64" i="8"/>
  <c r="J64" i="8"/>
  <c r="E65" i="8"/>
  <c r="G65" i="8"/>
  <c r="J65" i="8"/>
  <c r="E66" i="8"/>
  <c r="G66" i="8"/>
  <c r="J66" i="8"/>
  <c r="J69" i="8"/>
  <c r="J70" i="8"/>
  <c r="D26" i="5"/>
  <c r="D30" i="5"/>
  <c r="E26" i="5"/>
  <c r="E30" i="5"/>
  <c r="F26" i="5"/>
  <c r="F30" i="5"/>
  <c r="G26" i="5"/>
  <c r="G30" i="5"/>
  <c r="H26" i="5"/>
  <c r="H30" i="5"/>
  <c r="I26" i="5"/>
  <c r="I30" i="5"/>
  <c r="J26" i="5"/>
  <c r="J30" i="5"/>
  <c r="K26" i="5"/>
  <c r="K30" i="5"/>
  <c r="L26" i="5"/>
  <c r="L30" i="5"/>
  <c r="M26" i="5"/>
  <c r="M30" i="5"/>
  <c r="N26" i="5"/>
  <c r="N30" i="5"/>
  <c r="O26" i="5"/>
  <c r="O30" i="5"/>
  <c r="P26" i="5"/>
  <c r="P30" i="5"/>
  <c r="Q26" i="5"/>
  <c r="Q30" i="5"/>
  <c r="K69" i="8"/>
  <c r="C26" i="5"/>
  <c r="C30" i="5"/>
  <c r="AU70" i="2"/>
  <c r="AO70" i="2"/>
  <c r="AI70" i="2"/>
  <c r="AC70" i="2"/>
  <c r="W70" i="2"/>
  <c r="Q70" i="2"/>
  <c r="K70" i="2"/>
  <c r="D77" i="3"/>
  <c r="D9" i="5"/>
  <c r="E9" i="5"/>
  <c r="F9" i="5"/>
  <c r="G9" i="5"/>
  <c r="H9" i="5"/>
  <c r="I9" i="5"/>
  <c r="J9" i="5"/>
  <c r="K9" i="5"/>
  <c r="L9" i="5"/>
  <c r="M9" i="5"/>
  <c r="N9" i="5"/>
  <c r="O9" i="5"/>
  <c r="P9" i="5"/>
  <c r="Q9" i="5"/>
  <c r="C9" i="5"/>
  <c r="F53" i="8"/>
  <c r="V53" i="8"/>
  <c r="F52" i="8"/>
  <c r="V52" i="8"/>
  <c r="F51" i="8"/>
  <c r="V51" i="8"/>
  <c r="F50" i="8"/>
  <c r="V50" i="8"/>
  <c r="F49" i="8"/>
  <c r="V49" i="8"/>
  <c r="D47" i="8"/>
  <c r="F47" i="8"/>
  <c r="V47" i="8"/>
  <c r="F48" i="8"/>
  <c r="V48" i="8"/>
  <c r="P48" i="8"/>
  <c r="P49" i="8"/>
  <c r="P50" i="8"/>
  <c r="P51" i="8"/>
  <c r="P52" i="8"/>
  <c r="P53" i="8"/>
  <c r="P47" i="8"/>
  <c r="D9" i="9"/>
  <c r="F9" i="9"/>
  <c r="D35" i="8"/>
  <c r="F35" i="8"/>
  <c r="P35" i="8"/>
  <c r="D36" i="8"/>
  <c r="F36" i="8"/>
  <c r="P36" i="8"/>
  <c r="D37" i="8"/>
  <c r="F37" i="8"/>
  <c r="P37" i="8"/>
  <c r="D38" i="8"/>
  <c r="F38" i="8"/>
  <c r="P38" i="8"/>
  <c r="D39" i="8"/>
  <c r="F39" i="8"/>
  <c r="P39" i="8"/>
  <c r="D40" i="8"/>
  <c r="F40" i="8"/>
  <c r="P40" i="8"/>
  <c r="D41" i="8"/>
  <c r="F41" i="8"/>
  <c r="P41" i="8"/>
  <c r="D42" i="8"/>
  <c r="F42" i="8"/>
  <c r="P42" i="8"/>
  <c r="D43" i="8"/>
  <c r="F43" i="8"/>
  <c r="P43" i="8"/>
  <c r="D44" i="8"/>
  <c r="F44" i="8"/>
  <c r="P44" i="8"/>
  <c r="P34" i="8"/>
  <c r="O47" i="8"/>
  <c r="O48" i="8"/>
  <c r="O49" i="8"/>
  <c r="O50" i="8"/>
  <c r="O51" i="8"/>
  <c r="O52" i="8"/>
  <c r="O53" i="8"/>
  <c r="O34" i="8"/>
  <c r="N47" i="8"/>
  <c r="N48" i="8"/>
  <c r="N49" i="8"/>
  <c r="N50" i="8"/>
  <c r="N51" i="8"/>
  <c r="N52" i="8"/>
  <c r="N53" i="8"/>
  <c r="I47" i="8"/>
  <c r="I48" i="8"/>
  <c r="I49" i="8"/>
  <c r="I50" i="8"/>
  <c r="I51" i="8"/>
  <c r="I52" i="8"/>
  <c r="I53" i="8"/>
  <c r="P64" i="8"/>
  <c r="P65" i="8"/>
  <c r="P66" i="8"/>
  <c r="P63" i="8"/>
  <c r="P59" i="8"/>
  <c r="P60" i="8"/>
  <c r="P61" i="8"/>
  <c r="P62" i="8"/>
  <c r="K59" i="8"/>
  <c r="K60" i="8"/>
  <c r="K61" i="8"/>
  <c r="K62" i="8"/>
  <c r="K63" i="8"/>
  <c r="K64" i="8"/>
  <c r="K65" i="8"/>
  <c r="K66" i="8"/>
  <c r="O35" i="8"/>
  <c r="O36" i="8"/>
  <c r="O37" i="8"/>
  <c r="O38" i="8"/>
  <c r="O39" i="8"/>
  <c r="O40" i="8"/>
  <c r="O41" i="8"/>
  <c r="O42" i="8"/>
  <c r="O43" i="8"/>
  <c r="O44" i="8"/>
  <c r="N35" i="8"/>
  <c r="N36" i="8"/>
  <c r="N37" i="8"/>
  <c r="N38" i="8"/>
  <c r="N39" i="8"/>
  <c r="N40" i="8"/>
  <c r="N41" i="8"/>
  <c r="N42" i="8"/>
  <c r="N43" i="8"/>
  <c r="N44" i="8"/>
  <c r="N34" i="8"/>
  <c r="N66" i="8"/>
  <c r="N64" i="8"/>
  <c r="N65" i="8"/>
  <c r="N63" i="8"/>
  <c r="D58" i="8"/>
  <c r="D59" i="8"/>
  <c r="D60" i="8"/>
  <c r="D61" i="8"/>
  <c r="D62" i="8"/>
  <c r="D63" i="8"/>
  <c r="H35" i="8"/>
  <c r="H36" i="8"/>
  <c r="H37" i="8"/>
  <c r="H38" i="8"/>
  <c r="H39" i="8"/>
  <c r="H40" i="8"/>
  <c r="H41" i="8"/>
  <c r="H42" i="8"/>
  <c r="H43" i="8"/>
  <c r="H44" i="8"/>
  <c r="H34" i="8"/>
  <c r="J35" i="8"/>
  <c r="J36" i="8"/>
  <c r="J37" i="8"/>
  <c r="J38" i="8"/>
  <c r="J39" i="8"/>
  <c r="J40" i="8"/>
  <c r="J41" i="8"/>
  <c r="J42" i="8"/>
  <c r="J43" i="8"/>
  <c r="J44" i="8"/>
  <c r="V34" i="8"/>
  <c r="R34" i="8"/>
  <c r="V35" i="8"/>
  <c r="V36" i="8"/>
  <c r="V37" i="8"/>
  <c r="V38" i="8"/>
  <c r="V39" i="8"/>
  <c r="V40" i="8"/>
  <c r="V41" i="8"/>
  <c r="V42" i="8"/>
  <c r="V43" i="8"/>
  <c r="V44" i="8"/>
  <c r="S34" i="8"/>
  <c r="S35" i="8"/>
  <c r="S36" i="8"/>
  <c r="S37" i="8"/>
  <c r="S38" i="8"/>
  <c r="S39" i="8"/>
  <c r="S40" i="8"/>
  <c r="S41" i="8"/>
  <c r="S42" i="8"/>
  <c r="S43" i="8"/>
  <c r="S44" i="8"/>
  <c r="R35" i="8"/>
  <c r="R36" i="8"/>
  <c r="R37" i="8"/>
  <c r="R38" i="8"/>
  <c r="R39" i="8"/>
  <c r="R40" i="8"/>
  <c r="R41" i="8"/>
  <c r="R42" i="8"/>
  <c r="R43" i="8"/>
  <c r="R44" i="8"/>
  <c r="I34" i="8"/>
  <c r="I35" i="8"/>
  <c r="I36" i="8"/>
  <c r="I37" i="8"/>
  <c r="I38" i="8"/>
  <c r="I39" i="8"/>
  <c r="I40" i="8"/>
  <c r="I41" i="8"/>
  <c r="I42" i="8"/>
  <c r="I43" i="8"/>
  <c r="I44" i="8"/>
  <c r="N72" i="2"/>
  <c r="N73" i="2"/>
  <c r="N74" i="2"/>
  <c r="N75" i="2"/>
  <c r="D67" i="2"/>
  <c r="N76" i="2"/>
  <c r="D68" i="2"/>
  <c r="D69" i="2"/>
  <c r="D70" i="2"/>
  <c r="D71" i="2"/>
  <c r="D72" i="2"/>
  <c r="D73" i="2"/>
  <c r="D74" i="2"/>
  <c r="D75" i="2"/>
  <c r="D76" i="2"/>
  <c r="D77" i="2"/>
  <c r="N77" i="2"/>
  <c r="Q71" i="2"/>
  <c r="L51" i="2"/>
  <c r="Q72" i="2"/>
  <c r="K51" i="2"/>
  <c r="Q59" i="2"/>
  <c r="T72" i="2"/>
  <c r="T73" i="2"/>
  <c r="T74" i="2"/>
  <c r="T75" i="2"/>
  <c r="T76" i="2"/>
  <c r="T77" i="2"/>
  <c r="W71" i="2"/>
  <c r="L52" i="2"/>
  <c r="Q60" i="2"/>
  <c r="Z72" i="2"/>
  <c r="Z73" i="2"/>
  <c r="Z74" i="2"/>
  <c r="Z75" i="2"/>
  <c r="Z76" i="2"/>
  <c r="Z77" i="2"/>
  <c r="AC71" i="2"/>
  <c r="L53" i="2"/>
  <c r="Q61" i="2"/>
  <c r="AF72" i="2"/>
  <c r="AF73" i="2"/>
  <c r="AF74" i="2"/>
  <c r="AF75" i="2"/>
  <c r="AF76" i="2"/>
  <c r="AF77" i="2"/>
  <c r="AI71" i="2"/>
  <c r="L54" i="2"/>
  <c r="Q62" i="2"/>
  <c r="AL72" i="2"/>
  <c r="AL73" i="2"/>
  <c r="AL74" i="2"/>
  <c r="AL75" i="2"/>
  <c r="AL76" i="2"/>
  <c r="AL77" i="2"/>
  <c r="AO71" i="2"/>
  <c r="L55" i="2"/>
  <c r="Q63" i="2"/>
  <c r="AR72" i="2"/>
  <c r="AR73" i="2"/>
  <c r="AR74" i="2"/>
  <c r="AR75" i="2"/>
  <c r="AR76" i="2"/>
  <c r="AR77" i="2"/>
  <c r="AU71" i="2"/>
  <c r="L56" i="2"/>
  <c r="Q64" i="2"/>
  <c r="H72" i="2"/>
  <c r="H73" i="2"/>
  <c r="H74" i="2"/>
  <c r="H75" i="2"/>
  <c r="H76" i="2"/>
  <c r="H77" i="2"/>
  <c r="K71" i="2"/>
  <c r="L50" i="2"/>
  <c r="Q58" i="2"/>
  <c r="AO72" i="2"/>
  <c r="K55" i="2"/>
  <c r="P63" i="2"/>
  <c r="AU72" i="2"/>
  <c r="K56" i="2"/>
  <c r="P64" i="2"/>
  <c r="P59" i="2"/>
  <c r="W72" i="2"/>
  <c r="K52" i="2"/>
  <c r="P60" i="2"/>
  <c r="AC72" i="2"/>
  <c r="K53" i="2"/>
  <c r="P61" i="2"/>
  <c r="AI72" i="2"/>
  <c r="K54" i="2"/>
  <c r="P62" i="2"/>
  <c r="K72" i="2"/>
  <c r="K50" i="2"/>
  <c r="P58" i="2"/>
  <c r="J52" i="2"/>
  <c r="O60" i="2"/>
  <c r="J53" i="2"/>
  <c r="O61" i="2"/>
  <c r="J54" i="2"/>
  <c r="O62" i="2"/>
  <c r="J55" i="2"/>
  <c r="O63" i="2"/>
  <c r="J56" i="2"/>
  <c r="O64" i="2"/>
  <c r="J51" i="2"/>
  <c r="O59" i="2"/>
  <c r="J50" i="2"/>
  <c r="O58" i="2"/>
  <c r="E51" i="2"/>
  <c r="O51" i="2"/>
  <c r="E52" i="2"/>
  <c r="O52" i="2"/>
  <c r="E53" i="2"/>
  <c r="O53" i="2"/>
  <c r="E54" i="2"/>
  <c r="O54" i="2"/>
  <c r="E55" i="2"/>
  <c r="O55" i="2"/>
  <c r="E56" i="2"/>
  <c r="O56" i="2"/>
  <c r="E57" i="2"/>
  <c r="O57" i="2"/>
  <c r="E50" i="2"/>
  <c r="O50" i="2"/>
  <c r="E49" i="2"/>
  <c r="O49" i="2"/>
  <c r="G67" i="8"/>
  <c r="J67" i="8"/>
  <c r="G68" i="8"/>
  <c r="J68" i="8"/>
  <c r="P68" i="8"/>
  <c r="P67" i="8"/>
  <c r="D67" i="8"/>
  <c r="K67" i="8"/>
  <c r="D68" i="8"/>
  <c r="K68" i="8"/>
  <c r="K71" i="8"/>
  <c r="J7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Owner</author>
  </authors>
  <commentList>
    <comment ref="C12" authorId="0" shapeId="0" xr:uid="{621B908F-D83E-4130-AD97-239E2504E120}">
      <text>
        <r>
          <rPr>
            <b/>
            <sz val="9"/>
            <color indexed="81"/>
            <rFont val="Tahoma"/>
            <family val="2"/>
          </rPr>
          <t>Owner:</t>
        </r>
        <r>
          <rPr>
            <sz val="9"/>
            <color indexed="81"/>
            <rFont val="Tahoma"/>
            <family val="2"/>
          </rPr>
          <t xml:space="preserve">
Source: https://www.gov.uk/government/publications/greenhouse-gas-reporting-conversion-factors-2023</t>
        </r>
      </text>
    </comment>
    <comment ref="D12" authorId="0" shapeId="0" xr:uid="{688C3342-8B20-44E4-B085-8666A9FE54DF}">
      <text>
        <r>
          <rPr>
            <b/>
            <sz val="9"/>
            <color indexed="81"/>
            <rFont val="Tahoma"/>
            <family val="2"/>
          </rPr>
          <t>Owner:</t>
        </r>
        <r>
          <rPr>
            <sz val="9"/>
            <color indexed="81"/>
            <rFont val="Tahoma"/>
            <family val="2"/>
          </rPr>
          <t xml:space="preserve">
Source: https://www.gov.uk/government/publications/valuation-of-energy-use-and-greenhouse-gas-emissions-for-appraisal</t>
        </r>
      </text>
    </comment>
    <comment ref="E12" authorId="0" shapeId="0" xr:uid="{55DB5067-087E-4C71-AB0E-3B8A5BC853E4}">
      <text>
        <r>
          <rPr>
            <b/>
            <sz val="9"/>
            <color indexed="81"/>
            <rFont val="Tahoma"/>
            <family val="2"/>
          </rPr>
          <t>Owner:</t>
        </r>
        <r>
          <rPr>
            <sz val="9"/>
            <color indexed="81"/>
            <rFont val="Tahoma"/>
            <family val="2"/>
          </rPr>
          <t xml:space="preserve">
Source: https://www.gov.uk/government/publications/valuation-of-energy-use-and-greenhouse-gas-emissions-for-appraisal</t>
        </r>
      </text>
    </comment>
    <comment ref="F12" authorId="0" shapeId="0" xr:uid="{28A14D2B-D943-48A2-958B-F3E5E0396BC9}">
      <text>
        <r>
          <rPr>
            <b/>
            <sz val="9"/>
            <color indexed="81"/>
            <rFont val="Tahoma"/>
            <family val="2"/>
          </rPr>
          <t>Owner:</t>
        </r>
        <r>
          <rPr>
            <sz val="9"/>
            <color indexed="81"/>
            <rFont val="Tahoma"/>
            <family val="2"/>
          </rPr>
          <t xml:space="preserve">
Combines the annual percentage change of STPR, UK Carbon Value, and LVRC into one discount multiplier to adjust annual projected costs and benefits over the next 10 years.</t>
        </r>
      </text>
    </comment>
    <comment ref="G12" authorId="0" shapeId="0" xr:uid="{D81BC9A9-3759-4498-9528-2275C16E0F71}">
      <text>
        <r>
          <rPr>
            <b/>
            <sz val="9"/>
            <color indexed="81"/>
            <rFont val="Tahoma"/>
            <family val="2"/>
          </rPr>
          <t>Owner:</t>
        </r>
        <r>
          <rPr>
            <sz val="9"/>
            <color indexed="81"/>
            <rFont val="Tahoma"/>
            <family val="2"/>
          </rPr>
          <t xml:space="preserve">
Source: https://www.xe.com/currencyconverter/convert/?Amount=1&amp;From=GBP&amp;To=USD
Date: 11/05/2024</t>
        </r>
      </text>
    </comment>
    <comment ref="J12" authorId="0" shapeId="0" xr:uid="{20159B2C-6489-4EC0-98D3-1A2B3E49AF15}">
      <text>
        <r>
          <rPr>
            <b/>
            <sz val="9"/>
            <color indexed="81"/>
            <rFont val="Tahoma"/>
            <family val="2"/>
          </rPr>
          <t>Owner:</t>
        </r>
        <r>
          <rPr>
            <sz val="9"/>
            <color indexed="81"/>
            <rFont val="Tahoma"/>
            <family val="2"/>
          </rPr>
          <t xml:space="preserve">
Source: https://www.gov.uk/government/publications/greenhouse-gas-reporting-conversion-factors-2023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Owner</author>
  </authors>
  <commentList>
    <comment ref="I17" authorId="0" shapeId="0" xr:uid="{40EC9C20-C08A-4AE2-8A02-575413A95B5D}">
      <text>
        <r>
          <rPr>
            <b/>
            <sz val="9"/>
            <color indexed="81"/>
            <rFont val="Tahoma"/>
            <family val="2"/>
          </rPr>
          <t>Owner:</t>
        </r>
        <r>
          <rPr>
            <sz val="9"/>
            <color indexed="81"/>
            <rFont val="Tahoma"/>
            <family val="2"/>
          </rPr>
          <t xml:space="preserve">
Source: https://www.xe.com/currencyconverter/convert/?Amount=1&amp;From=GBP&amp;To=USD
Date: 11/05/2024</t>
        </r>
      </text>
    </comment>
    <comment ref="D24" authorId="0" shapeId="0" xr:uid="{EF61148B-D5CC-4432-891F-0EF0FCF61801}">
      <text>
        <r>
          <rPr>
            <b/>
            <sz val="9"/>
            <color indexed="81"/>
            <rFont val="Tahoma"/>
            <family val="2"/>
          </rPr>
          <t>Owner:</t>
        </r>
        <r>
          <rPr>
            <sz val="9"/>
            <color indexed="81"/>
            <rFont val="Tahoma"/>
            <family val="2"/>
          </rPr>
          <t xml:space="preserve">
https://www.shephardmedia.com/news/training-simulation/uk-royal-navy-recruits-banshee-uas-for-project-vam/</t>
        </r>
      </text>
    </comment>
    <comment ref="I24" authorId="0" shapeId="0" xr:uid="{A35E8667-03FF-410E-A6C3-1B24BE6D215F}">
      <text>
        <r>
          <rPr>
            <b/>
            <sz val="9"/>
            <color indexed="81"/>
            <rFont val="Tahoma"/>
            <family val="2"/>
          </rPr>
          <t>Owner:</t>
        </r>
        <r>
          <rPr>
            <sz val="9"/>
            <color indexed="81"/>
            <rFont val="Tahoma"/>
            <family val="2"/>
          </rPr>
          <t xml:space="preserve">
https://www.shephardmedia.com/news/training-simulation/uk-royal-navy-recruits-banshee-uas-for-project-vam/</t>
        </r>
      </text>
    </comment>
    <comment ref="C45" authorId="0" shapeId="0" xr:uid="{89C9E7CA-2661-434C-A71C-1AC8A56356D6}">
      <text>
        <r>
          <rPr>
            <b/>
            <sz val="9"/>
            <color indexed="81"/>
            <rFont val="Tahoma"/>
            <family val="2"/>
          </rPr>
          <t>Owner:</t>
        </r>
        <r>
          <rPr>
            <sz val="9"/>
            <color indexed="81"/>
            <rFont val="Tahoma"/>
            <family val="2"/>
          </rPr>
          <t xml:space="preserve">
https://www.shephardmedia.com/news/training-simulation/uk-royal-navy-recruits-banshee-uas-for-project-vam/</t>
        </r>
      </text>
    </comment>
    <comment ref="D105" authorId="0" shapeId="0" xr:uid="{1DABC9CB-7135-4394-9BBF-30B3A2D4F882}">
      <text>
        <r>
          <rPr>
            <b/>
            <sz val="9"/>
            <color indexed="81"/>
            <rFont val="Tahoma"/>
            <family val="2"/>
          </rPr>
          <t>Owner:</t>
        </r>
        <r>
          <rPr>
            <sz val="9"/>
            <color indexed="81"/>
            <rFont val="Tahoma"/>
            <family val="2"/>
          </rPr>
          <t xml:space="preserve">
https://www.shephardmedia.com/news/training-simulation/uk-royal-navy-recruits-banshee-uas-for-project-vam/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Owner</author>
  </authors>
  <commentList>
    <comment ref="O48" authorId="0" shapeId="0" xr:uid="{925E3E06-1024-42EB-86E0-9ED8B47040D3}">
      <text>
        <r>
          <rPr>
            <b/>
            <sz val="9"/>
            <color indexed="81"/>
            <rFont val="Tahoma"/>
            <family val="2"/>
          </rPr>
          <t>Owner:</t>
        </r>
        <r>
          <rPr>
            <sz val="9"/>
            <color indexed="81"/>
            <rFont val="Tahoma"/>
            <family val="2"/>
          </rPr>
          <t xml:space="preserve">
Source (2020-2028): https://www.statista.com/outlook/cmo/household-appliances/major-appliances/refrigerators/united-kingdom?currency=USD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Owner</author>
  </authors>
  <commentList>
    <comment ref="D30" authorId="0" shapeId="0" xr:uid="{3FC21E3B-8267-4AFE-815D-0DF71147EC75}">
      <text>
        <r>
          <rPr>
            <b/>
            <sz val="9"/>
            <color indexed="81"/>
            <rFont val="Tahoma"/>
            <family val="2"/>
          </rPr>
          <t>Owner:</t>
        </r>
        <r>
          <rPr>
            <sz val="9"/>
            <color indexed="81"/>
            <rFont val="Tahoma"/>
            <family val="2"/>
          </rPr>
          <t xml:space="preserve">
Using Despatch TFD3-96 walk-in oven. 
https://www.despatch.com/pdfs/TAD3-48%20and%20TAD3-96%20Spec%20Sheet.pdf</t>
        </r>
      </text>
    </comment>
    <comment ref="N34" authorId="0" shapeId="0" xr:uid="{EBEBBB75-02CF-4914-B781-9A3FCA34704B}">
      <text>
        <r>
          <rPr>
            <b/>
            <sz val="9"/>
            <color indexed="81"/>
            <rFont val="Tahoma"/>
            <family val="2"/>
          </rPr>
          <t>Owner:</t>
        </r>
        <r>
          <rPr>
            <sz val="9"/>
            <color indexed="81"/>
            <rFont val="Tahoma"/>
            <family val="2"/>
          </rPr>
          <t xml:space="preserve">
Tool lifetime is ~60,000 parts before refurb. 
https://moldedfiberglass.com/processes/compression-molding-smc/#:~:text=Cycle%20time%20ranges%20from%201,and%20finishing%20costs%20are%20minimal.</t>
        </r>
      </text>
    </comment>
    <comment ref="R34" authorId="0" shapeId="0" xr:uid="{1E4FAAF9-0B04-4473-AE9D-77C6F475CB03}">
      <text>
        <r>
          <rPr>
            <b/>
            <sz val="9"/>
            <color indexed="81"/>
            <rFont val="Tahoma"/>
            <family val="2"/>
          </rPr>
          <t>Owner:</t>
        </r>
        <r>
          <rPr>
            <sz val="9"/>
            <color indexed="81"/>
            <rFont val="Tahoma"/>
            <family val="2"/>
          </rPr>
          <t xml:space="preserve">
Takt time is assumed to be 0.5 to 1 hour - Granta suggests rate of 1-4 units per hour whilst compstes world suggest takt times of &lt;30 minutes are possible. https://www.compositesworld.com/articles/novel-prepreg-for-compression-molding-in-rapm</t>
        </r>
      </text>
    </comment>
    <comment ref="U34" authorId="0" shapeId="0" xr:uid="{44F2A6A9-853A-4B9E-962E-C8A107D2C241}">
      <text>
        <r>
          <rPr>
            <b/>
            <sz val="9"/>
            <color indexed="81"/>
            <rFont val="Tahoma"/>
            <family val="2"/>
          </rPr>
          <t>Owner:</t>
        </r>
        <r>
          <rPr>
            <sz val="9"/>
            <color indexed="81"/>
            <rFont val="Tahoma"/>
            <family val="2"/>
          </rPr>
          <t xml:space="preserve">
Based on info from manufacturer of Vitrimax T100: press time 1-5 minutes, oven time 1 hour @160 degrees celcius.
https://mallinda.com/wp-content/uploads/2021/10/Mallinda-TDS-T100_10.12.21.pdf</t>
        </r>
      </text>
    </comment>
    <comment ref="V34" authorId="0" shapeId="0" xr:uid="{09445D75-83A2-44CD-A703-3D46B3766CB5}">
      <text>
        <r>
          <rPr>
            <b/>
            <sz val="9"/>
            <color indexed="81"/>
            <rFont val="Tahoma"/>
            <family val="2"/>
          </rPr>
          <t>Owner:</t>
        </r>
        <r>
          <rPr>
            <sz val="9"/>
            <color indexed="81"/>
            <rFont val="Tahoma"/>
            <family val="2"/>
          </rPr>
          <t xml:space="preserve">
Adjusted as oven has capacity for volume of prepregs greater than the requirement for 1 part. Therefore the oven time per part is multiplied by the ratio of the part volume / material utilisation to the oven volume capacity.</t>
        </r>
      </text>
    </comment>
    <comment ref="N47" authorId="0" shapeId="0" xr:uid="{68AF17AC-7B02-41F3-A2AC-9CE32390AED2}">
      <text>
        <r>
          <rPr>
            <b/>
            <sz val="9"/>
            <color indexed="81"/>
            <rFont val="Tahoma"/>
            <family val="2"/>
          </rPr>
          <t>Owner:</t>
        </r>
        <r>
          <rPr>
            <sz val="9"/>
            <color indexed="81"/>
            <rFont val="Tahoma"/>
            <family val="2"/>
          </rPr>
          <t xml:space="preserve">
Tool lifetime is ~60,000 parts before refurb. 
https://moldedfiberglass.com/processes/compression-molding-smc/#:~:text=Cycle%20time%20ranges%20from%201,and%20finishing%20costs%20are%20minimal.</t>
        </r>
      </text>
    </comment>
    <comment ref="R47" authorId="0" shapeId="0" xr:uid="{007ED9A4-9CFA-40FD-B71B-6AEA330CDDD8}">
      <text>
        <r>
          <rPr>
            <b/>
            <sz val="9"/>
            <color indexed="81"/>
            <rFont val="Tahoma"/>
            <family val="2"/>
          </rPr>
          <t>Owner:</t>
        </r>
        <r>
          <rPr>
            <sz val="9"/>
            <color indexed="81"/>
            <rFont val="Tahoma"/>
            <family val="2"/>
          </rPr>
          <t xml:space="preserve">
Takt time is assumed to be 0.5 to 1 hour - Granta suggests rate of 1-4 units per hour whilst compstes world suggest takt times of &lt;30 minutes are possible. https://www.compositesworld.com/articles/novel-prepreg-for-compression-molding-in-rapm</t>
        </r>
      </text>
    </comment>
    <comment ref="U47" authorId="0" shapeId="0" xr:uid="{B9D71277-F8CD-4DAB-AD1D-D5F5E3862A48}">
      <text>
        <r>
          <rPr>
            <b/>
            <sz val="9"/>
            <color indexed="81"/>
            <rFont val="Tahoma"/>
            <family val="2"/>
          </rPr>
          <t>Owner:</t>
        </r>
        <r>
          <rPr>
            <sz val="9"/>
            <color indexed="81"/>
            <rFont val="Tahoma"/>
            <family val="2"/>
          </rPr>
          <t xml:space="preserve">
Based on info from Victrex PEEK compression moulding. https://www.victrex.com/en/downloads/technical-guides/victrex-peek-compression-molding-brochure</t>
        </r>
      </text>
    </comment>
    <comment ref="V47" authorId="0" shapeId="0" xr:uid="{42E75B2E-CE41-4285-ABB3-E87B284C9824}">
      <text>
        <r>
          <rPr>
            <b/>
            <sz val="9"/>
            <color indexed="81"/>
            <rFont val="Tahoma"/>
            <family val="2"/>
          </rPr>
          <t>Owner:</t>
        </r>
        <r>
          <rPr>
            <sz val="9"/>
            <color indexed="81"/>
            <rFont val="Tahoma"/>
            <family val="2"/>
          </rPr>
          <t xml:space="preserve">
Adjusted as oven has capacity for volume of prepregs greater than the requirement for 1 part. Therefore the oven time per part is multiplied by the ratio of the part volume / material utilisation to the oven volume capacity.</t>
        </r>
      </text>
    </comment>
    <comment ref="O74" authorId="0" shapeId="0" xr:uid="{24DE35D3-5286-4F50-828A-FB6590178EF8}">
      <text>
        <r>
          <rPr>
            <b/>
            <sz val="9"/>
            <color indexed="81"/>
            <rFont val="Tahoma"/>
            <family val="2"/>
          </rPr>
          <t>Owner:</t>
        </r>
        <r>
          <rPr>
            <sz val="9"/>
            <color indexed="81"/>
            <rFont val="Tahoma"/>
            <family val="2"/>
          </rPr>
          <t xml:space="preserve">
Tool lifetime is ~60,000 parts before refurb. 
https://moldedfiberglass.com/processes/compression-molding-smc/#:~:text=Cycle%20time%20ranges%20from%201,and%20finishing%20costs%20are%20minimal.</t>
        </r>
      </text>
    </comment>
    <comment ref="S74" authorId="0" shapeId="0" xr:uid="{9ADD24EB-61AA-4622-ABDD-60C3394CD129}">
      <text>
        <r>
          <rPr>
            <b/>
            <sz val="9"/>
            <color indexed="81"/>
            <rFont val="Tahoma"/>
            <family val="2"/>
          </rPr>
          <t>Owner:</t>
        </r>
        <r>
          <rPr>
            <sz val="9"/>
            <color indexed="81"/>
            <rFont val="Tahoma"/>
            <family val="2"/>
          </rPr>
          <t xml:space="preserve">
Takt time is assumed to be 0.5 to 1 hour - Granta suggests rate of 1-4 units per hour whilst compstes world suggest takt times of &lt;30 minutes are possible. https://www.compositesworld.com/articles/novel-prepreg-for-compression-molding-in-rapm</t>
        </r>
      </text>
    </comment>
    <comment ref="V74" authorId="0" shapeId="0" xr:uid="{3964D07D-FD2E-4A58-A737-80C464D68CE4}">
      <text>
        <r>
          <rPr>
            <b/>
            <sz val="9"/>
            <color indexed="81"/>
            <rFont val="Tahoma"/>
            <family val="2"/>
          </rPr>
          <t>Owner:</t>
        </r>
        <r>
          <rPr>
            <sz val="9"/>
            <color indexed="81"/>
            <rFont val="Tahoma"/>
            <family val="2"/>
          </rPr>
          <t xml:space="preserve">
Based on info from manufacturer of Vitrimax T100: press time 1-5 minutes, oven time 1 hour @160 degrees celcius.
https://mallinda.com/wp-content/uploads/2021/10/Mallinda-TDS-T100_10.12.21.pdf</t>
        </r>
      </text>
    </comment>
    <comment ref="W74" authorId="0" shapeId="0" xr:uid="{B5EAD01A-1972-4278-BAED-0044DDF910B4}">
      <text>
        <r>
          <rPr>
            <b/>
            <sz val="9"/>
            <color indexed="81"/>
            <rFont val="Tahoma"/>
            <family val="2"/>
          </rPr>
          <t>Owner:</t>
        </r>
        <r>
          <rPr>
            <sz val="9"/>
            <color indexed="81"/>
            <rFont val="Tahoma"/>
            <family val="2"/>
          </rPr>
          <t xml:space="preserve">
Adjusted as oven has capacity for volume of prepregs greater than the requirement for 1 part. Therefore the oven time per part is multiplied by the ratio of the part volume / material utilisation to the oven volume capacity.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<sst xmlns="http://schemas.openxmlformats.org/spreadsheetml/2006/main" count="1165" uniqueCount="530">
  <si>
    <t>Can value delivered by delivering blood be quantified?</t>
  </si>
  <si>
    <t>Environmental benefits compared to existing products</t>
  </si>
  <si>
    <t>Regression of drone size against GWP?</t>
  </si>
  <si>
    <t>Constant Variables</t>
  </si>
  <si>
    <t>Constants</t>
  </si>
  <si>
    <t>Value</t>
  </si>
  <si>
    <t>Year</t>
  </si>
  <si>
    <t>Social Time Preference Rate - STPR (%)</t>
  </si>
  <si>
    <t>UK Carbon Value 2023 ($/kg CO2e)</t>
  </si>
  <si>
    <t>UK Electricity long-run variable cost - LVRC - 2023 ($/kWh)</t>
  </si>
  <si>
    <t>Combined STPR/Carbon Value/LVRC Discount Rate Multiplier</t>
  </si>
  <si>
    <t>£ to $ Exchange Rate</t>
  </si>
  <si>
    <t>UK Electricity GHG Conversion Factor 2023 (kg CO2e/kWh)</t>
  </si>
  <si>
    <t>Profit + Loss Statement</t>
  </si>
  <si>
    <t>Year 1 - 2024/25</t>
  </si>
  <si>
    <t>Year 2 - 2025/26</t>
  </si>
  <si>
    <t>Year 3 - 2026/27</t>
  </si>
  <si>
    <t>Year 4 - 2027/28</t>
  </si>
  <si>
    <t>Year 5 - 2028/29</t>
  </si>
  <si>
    <t>Lower</t>
  </si>
  <si>
    <t>Average</t>
  </si>
  <si>
    <t>Higher</t>
  </si>
  <si>
    <t>Revenue</t>
  </si>
  <si>
    <t>Sales revenue</t>
  </si>
  <si>
    <t>Gross revenue</t>
  </si>
  <si>
    <t>Cost of goods sold (COGS)</t>
  </si>
  <si>
    <t>Raw material costs</t>
  </si>
  <si>
    <t>Raw material delivery costs</t>
  </si>
  <si>
    <t>Tooling costs</t>
  </si>
  <si>
    <t>3rd party components</t>
  </si>
  <si>
    <t>Labour costs</t>
  </si>
  <si>
    <t>Total COGS</t>
  </si>
  <si>
    <t>Gross Profit</t>
  </si>
  <si>
    <t>Operating Costs</t>
  </si>
  <si>
    <t>Facility rent</t>
  </si>
  <si>
    <t>Facility utilities</t>
  </si>
  <si>
    <t>R&amp;D costs</t>
  </si>
  <si>
    <t>Fixed asset investment</t>
  </si>
  <si>
    <t>Sales, general &amp; administrative</t>
  </si>
  <si>
    <t>Total operating costs</t>
  </si>
  <si>
    <t>Operating Profit</t>
  </si>
  <si>
    <t>Tax liability</t>
  </si>
  <si>
    <t>Corporation tax</t>
  </si>
  <si>
    <t>Business rates</t>
  </si>
  <si>
    <t>National insurance</t>
  </si>
  <si>
    <t>R&amp;D tax credit</t>
  </si>
  <si>
    <t>Total tax liability</t>
  </si>
  <si>
    <t>Net Profit</t>
  </si>
  <si>
    <t>Break even analysis</t>
  </si>
  <si>
    <t>Year 1</t>
  </si>
  <si>
    <t>Year 2</t>
  </si>
  <si>
    <t>Year 3</t>
  </si>
  <si>
    <t>Year 4</t>
  </si>
  <si>
    <t>Year 5</t>
  </si>
  <si>
    <t>Cumulative Costs</t>
  </si>
  <si>
    <t>Cumulative Revenue</t>
  </si>
  <si>
    <t>Income</t>
  </si>
  <si>
    <t>*add low average high</t>
  </si>
  <si>
    <t>Production Rate</t>
  </si>
  <si>
    <t>Sales</t>
  </si>
  <si>
    <t>Unit Cost ($)</t>
  </si>
  <si>
    <t>Gross Profit Margin (%)</t>
  </si>
  <si>
    <t>Sale price ($)</t>
  </si>
  <si>
    <t>Total Revenue ($)</t>
  </si>
  <si>
    <t>Parametric analysis</t>
  </si>
  <si>
    <t>Sale price range ($):</t>
  </si>
  <si>
    <t>to</t>
  </si>
  <si>
    <t>Sale price average ($)</t>
  </si>
  <si>
    <t>Wingspan input:</t>
  </si>
  <si>
    <t>Multiple regression - cost vs height, length and wingspan</t>
  </si>
  <si>
    <t>Drone name</t>
  </si>
  <si>
    <t>Length (m)</t>
  </si>
  <si>
    <t>Cost (£)</t>
  </si>
  <si>
    <t>(x (length) - x_bar)^2</t>
  </si>
  <si>
    <t>Wingspan (m)</t>
  </si>
  <si>
    <t>(x (wingspan) - x_bar)^2</t>
  </si>
  <si>
    <t>Banshee Jet 80+ by QinetiQ</t>
  </si>
  <si>
    <t>MQ-9 Reaper by General Atomics</t>
  </si>
  <si>
    <t xml:space="preserve">Desert Hawk by Lockheed Martin </t>
  </si>
  <si>
    <t xml:space="preserve">Watchkeeper WK450 by Thales </t>
  </si>
  <si>
    <t>RQ21 Blackjack</t>
  </si>
  <si>
    <t>Raytheon Coyote</t>
  </si>
  <si>
    <t>Switchblade 300</t>
  </si>
  <si>
    <t>AQ400 Scythe</t>
  </si>
  <si>
    <t>Mugin 5 Pro</t>
  </si>
  <si>
    <t>UJ26 Beaver</t>
  </si>
  <si>
    <t>UJ22 Airborne</t>
  </si>
  <si>
    <t>Sum (x-x_bar)^2</t>
  </si>
  <si>
    <t>Sypaq CORVO</t>
  </si>
  <si>
    <t>x_bar</t>
  </si>
  <si>
    <t>Multiple regression parameters</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</si>
  <si>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</si>
  <si>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</si>
  <si>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</si>
  <si>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</si>
  <si>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</si>
  <si>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</si>
  <si>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</si>
  <si>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</si>
  <si>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</si>
  <si>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</si>
  <si>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</si>
  <si>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</si>
  <si>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</si>
  <si>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</si>
  <si>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</si>
  <si>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</si>
  <si>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</si>
  <si>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</si>
  <si>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</si>
  <si>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</si>
  <si>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</si>
  <si>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</si>
  <si>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</si>
  <si>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</si>
  <si>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RESIDUAL OUTPUT</t>
  </si>
  <si>
    <t>PROBABILITY OUTPUT</t>
  </si>
  <si>
    <t>Observation</t>
  </si>
  <si>
    <t>Predicted Cost (£)</t>
  </si>
  <si>
    <t>Residuals</t>
  </si>
  <si>
    <t>Standard Residuals</t>
  </si>
  <si>
    <t>Percentile</t>
  </si>
  <si>
    <t>Linear regression - wingspan vs cost</t>
  </si>
  <si>
    <t>Mean Response:</t>
  </si>
  <si>
    <t>x0</t>
  </si>
  <si>
    <t>ME</t>
  </si>
  <si>
    <t>level</t>
  </si>
  <si>
    <t>lower CI</t>
  </si>
  <si>
    <t>y_hat0</t>
  </si>
  <si>
    <t>upper CI</t>
  </si>
  <si>
    <t>n</t>
  </si>
  <si>
    <t>t</t>
  </si>
  <si>
    <t>s</t>
  </si>
  <si>
    <t>(x0-x_bar)^2</t>
  </si>
  <si>
    <t>Sxx</t>
  </si>
  <si>
    <t>List of symbols</t>
  </si>
  <si>
    <t>x</t>
  </si>
  <si>
    <t>Observed value of Wingspan</t>
  </si>
  <si>
    <t>Required value of Wingspan</t>
  </si>
  <si>
    <t>Confidence level</t>
  </si>
  <si>
    <t>Predicted value of Cost</t>
  </si>
  <si>
    <t>Number of observations</t>
  </si>
  <si>
    <t>t-multiplier</t>
  </si>
  <si>
    <t>Mean Square Error (MSE)</t>
  </si>
  <si>
    <t>Mean Wingspan</t>
  </si>
  <si>
    <t>Sum of (x-x_bar)^2</t>
  </si>
  <si>
    <t>General Costs</t>
  </si>
  <si>
    <t>Facility rental</t>
  </si>
  <si>
    <t>Space required</t>
  </si>
  <si>
    <t>Annual rental cost per square metre</t>
  </si>
  <si>
    <t>Space requirements include space for manufacture as well as space for storage</t>
  </si>
  <si>
    <t>Rent is £8.75 per sq ft in the South West https://www.statista.com/statistics/323030/prime-industrial-rent-costs-in-the-united-kingdom-uk/</t>
  </si>
  <si>
    <t>Energy requirements - including heating and lighting - per square meter</t>
  </si>
  <si>
    <t>Cost of utilities per square meter</t>
  </si>
  <si>
    <t>Including electricity heating etc - assumed analogous to cost of office building as overheads are included in machinery costs</t>
  </si>
  <si>
    <t>approx £4 per sq ft</t>
  </si>
  <si>
    <t>https://thermaticenergy.co.uk/business-energy-costs/</t>
  </si>
  <si>
    <t>Facility Rental Cost:</t>
  </si>
  <si>
    <t>Storage space required is estimated in the section Distribution &amp; Storage.</t>
  </si>
  <si>
    <t>Production space is estimated using the total footprint area of all machinery required multiplied by a correction factor of 2 to account for access space.</t>
  </si>
  <si>
    <t>Storage space required (m^2)</t>
  </si>
  <si>
    <t>Production space required (m^2)</t>
  </si>
  <si>
    <t>Rental rate per year (£/m^2)</t>
  </si>
  <si>
    <t>Utility rate per year (£/m^2)</t>
  </si>
  <si>
    <t>Total facility cost per year (£)</t>
  </si>
  <si>
    <t>Rent rate:</t>
  </si>
  <si>
    <t>Utility rate:</t>
  </si>
  <si>
    <t>(£/sq ft)</t>
  </si>
  <si>
    <t>(£/m^2)</t>
  </si>
  <si>
    <t>Non-engineering staff:</t>
  </si>
  <si>
    <t>R&amp;D</t>
  </si>
  <si>
    <t>R&amp;D Expenditure by year:</t>
  </si>
  <si>
    <t>R&amp;D Expenditure ($)</t>
  </si>
  <si>
    <t>Low</t>
  </si>
  <si>
    <t xml:space="preserve">Average </t>
  </si>
  <si>
    <t>High</t>
  </si>
  <si>
    <t>* For tax year purposes, the average value of spanning years is taken.</t>
  </si>
  <si>
    <t>Calculations:</t>
  </si>
  <si>
    <t>Military drones (UAS/UAV): estimated global production value 2013-2022</t>
  </si>
  <si>
    <t>Estimated worldwide production value for unmanned aerial vehicles (military drones) from 2013 to 2022 (in million U.S. dollars)</t>
  </si>
  <si>
    <t>2013</t>
  </si>
  <si>
    <t>Source:</t>
  </si>
  <si>
    <t>2014</t>
  </si>
  <si>
    <t>https://www.statista.com/statistics/428958/global-and-us-production-volume-forecast-for-unmanned-aerial-systems-or-drones/</t>
  </si>
  <si>
    <t>2015</t>
  </si>
  <si>
    <t>2016</t>
  </si>
  <si>
    <t>2017</t>
  </si>
  <si>
    <t>2018</t>
  </si>
  <si>
    <t>2019</t>
  </si>
  <si>
    <t>2020</t>
  </si>
  <si>
    <t>2021</t>
  </si>
  <si>
    <t>2022</t>
  </si>
  <si>
    <t>Military drones (UAS/UAV): estimated U.S. and global R&amp;D budget 2014-2023</t>
  </si>
  <si>
    <t>Global</t>
  </si>
  <si>
    <t>Estimated global and U.S. research and development budget for unmanned aerial vehicles (drones) from 2014 to 2023 (in million U.S. dollars)</t>
  </si>
  <si>
    <t>https://www.statista.com/statistics/428935/global-production-value-forecast-for-unmanned-aerial-systems-or-drones/</t>
  </si>
  <si>
    <t>2023</t>
  </si>
  <si>
    <t>R&amp;D investment as a percentage of revenue:</t>
  </si>
  <si>
    <t>Historical:</t>
  </si>
  <si>
    <t>Percentage</t>
  </si>
  <si>
    <t>Projection:</t>
  </si>
  <si>
    <t>Percentage of revenue spent on R&amp;D</t>
  </si>
  <si>
    <t>Upper</t>
  </si>
  <si>
    <t xml:space="preserve">Mean </t>
  </si>
  <si>
    <t>N/A</t>
  </si>
  <si>
    <t>Cost estimating relationship - R&amp;D investment as a percentage of revenue against year</t>
  </si>
  <si>
    <t>Mean response calculations</t>
  </si>
  <si>
    <t>Projected for the next 5 years: 2024-2029</t>
  </si>
  <si>
    <t>(x-x_bar)^2</t>
  </si>
  <si>
    <t>Prediction interval mean error equation:</t>
  </si>
  <si>
    <t>Observed value of year</t>
  </si>
  <si>
    <t>Required value of year</t>
  </si>
  <si>
    <t>Predicted value of R&amp;D spend (£)</t>
  </si>
  <si>
    <t>Mean year</t>
  </si>
  <si>
    <t>Manufacture</t>
  </si>
  <si>
    <t>Production rate (per annum):</t>
  </si>
  <si>
    <t>Raw Materials</t>
  </si>
  <si>
    <t>Material</t>
  </si>
  <si>
    <t>Total cost per unit (£)</t>
  </si>
  <si>
    <t>Total embodied CO2 per unit (kgCO2)</t>
  </si>
  <si>
    <t>*Add bulk material discount rate</t>
  </si>
  <si>
    <t>Processing</t>
  </si>
  <si>
    <t>*from machine utilisation</t>
  </si>
  <si>
    <t>*from product breakdown</t>
  </si>
  <si>
    <t>Processing method</t>
  </si>
  <si>
    <t>Fixed asset investment (£)</t>
  </si>
  <si>
    <t>Tooling</t>
  </si>
  <si>
    <t>Tooling Cost per unit - lower (£)</t>
  </si>
  <si>
    <t>Tooling Cost per unit - average (£)</t>
  </si>
  <si>
    <t>Tooling Cost per unit - higher (£)</t>
  </si>
  <si>
    <t>Labour</t>
  </si>
  <si>
    <t>Labour Rates</t>
  </si>
  <si>
    <t>Typical labour distribution</t>
  </si>
  <si>
    <t>Fabrication labour time per unit (hours)</t>
  </si>
  <si>
    <t>Labour type</t>
  </si>
  <si>
    <t>Typical labour distribution (%)</t>
  </si>
  <si>
    <t>Labour time per unit (hours)</t>
  </si>
  <si>
    <t>Labour cost per unit (£)</t>
  </si>
  <si>
    <t>Labour rate (£/hr)</t>
  </si>
  <si>
    <t>Labour split (%)</t>
  </si>
  <si>
    <t>Fabrication</t>
  </si>
  <si>
    <t>Production Management</t>
  </si>
  <si>
    <t>Assembly</t>
  </si>
  <si>
    <t>Test and QA</t>
  </si>
  <si>
    <t>Sustaining Engineering</t>
  </si>
  <si>
    <t>Tool Maintenance</t>
  </si>
  <si>
    <t>Production Support</t>
  </si>
  <si>
    <t>Source: SEER</t>
  </si>
  <si>
    <t>Source: SEER - using typical labour breakdowns for UAS components</t>
  </si>
  <si>
    <t>Sensor Suite</t>
  </si>
  <si>
    <t>Example sensor and control system for purpose of cost model, all sourced from: https://uavionix.com/</t>
  </si>
  <si>
    <t>Part name</t>
  </si>
  <si>
    <t>Description</t>
  </si>
  <si>
    <t>Cost ($)</t>
  </si>
  <si>
    <t>ping200XR</t>
  </si>
  <si>
    <t>Transponder allowing communication with civil aviation systems</t>
  </si>
  <si>
    <t>George G3 Autopilot</t>
  </si>
  <si>
    <t>Autopilot system including ground and airborne radio systems and GPS.</t>
  </si>
  <si>
    <t>Casia X</t>
  </si>
  <si>
    <t>Detect and avoid system utilising computer vision. Onboard camera has detection range of approximately 1.5 km.</t>
  </si>
  <si>
    <t>https://dronedj.com/2021/06/28/iris-automations-detect-and-avoid-a-closer-look/</t>
  </si>
  <si>
    <t>LiAIR X3-H</t>
  </si>
  <si>
    <t>Lidar system</t>
  </si>
  <si>
    <t>https://candrone.com/collections/lidar-drone/products/liair-x3-greenvalley-international</t>
  </si>
  <si>
    <t>Additional equipment</t>
  </si>
  <si>
    <t>Subsystem 1</t>
  </si>
  <si>
    <t>Part ref</t>
  </si>
  <si>
    <t>Quantity</t>
  </si>
  <si>
    <t>Production method</t>
  </si>
  <si>
    <t>Machine(s) required</t>
  </si>
  <si>
    <t>Machine cost</t>
  </si>
  <si>
    <t>Skilled labour required? Y/N</t>
  </si>
  <si>
    <t>Machine time per unit (hours)</t>
  </si>
  <si>
    <t>BotShell</t>
  </si>
  <si>
    <t>Thermoplastic Compression Moulding</t>
  </si>
  <si>
    <t>50,000 (Granta)</t>
  </si>
  <si>
    <t>Y</t>
  </si>
  <si>
    <t>EngPlate</t>
  </si>
  <si>
    <t>5 Axis Waterjet</t>
  </si>
  <si>
    <t>76,000 (Granta)</t>
  </si>
  <si>
    <t>N</t>
  </si>
  <si>
    <t>EngTopSpar</t>
  </si>
  <si>
    <t>EngTopSpar_Mir</t>
  </si>
  <si>
    <t>FRib1</t>
  </si>
  <si>
    <t>FRib2</t>
  </si>
  <si>
    <t>FrontPlate</t>
  </si>
  <si>
    <t>FuelTank</t>
  </si>
  <si>
    <t>Blow Moulding</t>
  </si>
  <si>
    <t>External part</t>
  </si>
  <si>
    <t>LNoseCover</t>
  </si>
  <si>
    <t>LongSpar</t>
  </si>
  <si>
    <t>RadMount</t>
  </si>
  <si>
    <t>RNoseCover</t>
  </si>
  <si>
    <t>RRib1</t>
  </si>
  <si>
    <t>RRib2</t>
  </si>
  <si>
    <t>SparRib</t>
  </si>
  <si>
    <t>TailSocket</t>
  </si>
  <si>
    <t>TailSupp</t>
  </si>
  <si>
    <t>TankMount</t>
  </si>
  <si>
    <t>TankMount_Mir</t>
  </si>
  <si>
    <t>TopShell</t>
  </si>
  <si>
    <t>TopSpar</t>
  </si>
  <si>
    <t>WingSocket</t>
  </si>
  <si>
    <t>WingSocket_Mir</t>
  </si>
  <si>
    <t>Tail</t>
  </si>
  <si>
    <t>Oven volume capacity:</t>
  </si>
  <si>
    <t>m^3</t>
  </si>
  <si>
    <t>Part volume (m^3)</t>
  </si>
  <si>
    <t>Total volume (m^3)</t>
  </si>
  <si>
    <t>Material Cost per m^3</t>
  </si>
  <si>
    <t>Material Cost</t>
  </si>
  <si>
    <t>Material GWP (kgCO2)</t>
  </si>
  <si>
    <t>Machine cost (GBP)</t>
  </si>
  <si>
    <t>Tooling cost per unit (GBP) -lower</t>
  </si>
  <si>
    <t>Tooling cost per unit (GBP) -upper</t>
  </si>
  <si>
    <t>Manufacture GWP (kgCO2)</t>
  </si>
  <si>
    <t>Labour time per unit (mins) - lower</t>
  </si>
  <si>
    <t>Labour time per unit (mins) - upper</t>
  </si>
  <si>
    <t>Press time per unit (mins) - lower</t>
  </si>
  <si>
    <t>Press time per unit (mins) - upper</t>
  </si>
  <si>
    <t>Oven adjusted time per unit (mins)</t>
  </si>
  <si>
    <t>Tail_v_skin</t>
  </si>
  <si>
    <t>Basalt fibre reinforced Vitrimax T100</t>
  </si>
  <si>
    <t>Compression Moulding</t>
  </si>
  <si>
    <t>Compression press with heat, Oven</t>
  </si>
  <si>
    <t>Ask NCC</t>
  </si>
  <si>
    <t>Tip_rib_v</t>
  </si>
  <si>
    <t>Spar_v</t>
  </si>
  <si>
    <t>Rib_2_v</t>
  </si>
  <si>
    <t>Rib_3_v</t>
  </si>
  <si>
    <t>Root_rib_v</t>
  </si>
  <si>
    <t>Tail_h_skin</t>
  </si>
  <si>
    <t>Tip_rib_h</t>
  </si>
  <si>
    <t>Spar_h</t>
  </si>
  <si>
    <t>Root_rib_h</t>
  </si>
  <si>
    <t>Rib_2_h</t>
  </si>
  <si>
    <t>Subsystem 3</t>
  </si>
  <si>
    <t>Wing Shell</t>
  </si>
  <si>
    <t>Polyetheretherketone (PEEK) / IM Carbon Fibre (UD Prepreg, UD Lay-up) Brand Name: Victrex PEEK</t>
  </si>
  <si>
    <t>Main Spar</t>
  </si>
  <si>
    <t>Aileron Spar</t>
  </si>
  <si>
    <t>Aron Spar Rootside Rib</t>
  </si>
  <si>
    <t>Aron Spar Tipside Rib</t>
  </si>
  <si>
    <t>Wing End Cap</t>
  </si>
  <si>
    <t>Root Rib</t>
  </si>
  <si>
    <t>Payload Bay</t>
  </si>
  <si>
    <t>Part volume (mm^3)</t>
  </si>
  <si>
    <t>Part volume (m^3)2</t>
  </si>
  <si>
    <t>Material Cost (GBP per m^3 )</t>
  </si>
  <si>
    <t>Material Cost (Total in GBP)</t>
  </si>
  <si>
    <t>Machine cost (GBP) - upper</t>
  </si>
  <si>
    <t>Tooling cost per unit (GBP) - upper</t>
  </si>
  <si>
    <t>Hatch Door</t>
  </si>
  <si>
    <t>Carbon Fibre (Type??)</t>
  </si>
  <si>
    <t>HP RTM/ Thermoplastic Composite Moulding</t>
  </si>
  <si>
    <t>Hook-Shaft Model Component</t>
  </si>
  <si>
    <t>Aluminium T6-6061</t>
  </si>
  <si>
    <t>Hot Closed Die Forging + Welding</t>
  </si>
  <si>
    <t>Die Forging Press, Forging Furnace, Welding Equipment (Gas Tungsten Arc Weld)</t>
  </si>
  <si>
    <t>Hook-Shaft Model Component_MIR</t>
  </si>
  <si>
    <t>Hook-Shaft Model Component_MIR1</t>
  </si>
  <si>
    <t>Hook-Shaft Model Component_MIR_MIR</t>
  </si>
  <si>
    <t xml:space="preserve">   </t>
  </si>
  <si>
    <t>Motor Shafts Housing</t>
  </si>
  <si>
    <t>Machining</t>
  </si>
  <si>
    <t>Milling Machine, Drilling Machine</t>
  </si>
  <si>
    <t>Actuation support Frame</t>
  </si>
  <si>
    <t>Hatch Door Connection Bracket_Back</t>
  </si>
  <si>
    <t>Hatch Door Connection Bracket_Front</t>
  </si>
  <si>
    <t>Stepper Motor Bracket</t>
  </si>
  <si>
    <t>Hot Closed Die Forging + Machining</t>
  </si>
  <si>
    <t>Die Forging Press, Forging Furnace, Milling Machine, Drilling Machine</t>
  </si>
  <si>
    <t>&gt;15500</t>
  </si>
  <si>
    <t>Side-Wall Motor Bracket</t>
  </si>
  <si>
    <t>Payload Box Innards</t>
  </si>
  <si>
    <t>Expanded Polystyrene (moulded)</t>
  </si>
  <si>
    <t>External Part</t>
  </si>
  <si>
    <t>Payload Box Impact Resistant Shell_Inner</t>
  </si>
  <si>
    <t>HIP</t>
  </si>
  <si>
    <t>Injecton Blow Moulding</t>
  </si>
  <si>
    <t>Blow Moulding Machine</t>
  </si>
  <si>
    <t>Payload Box Impact Resistant Shell_Outer</t>
  </si>
  <si>
    <t>Ailerons, Elevators &amp; Rudder</t>
  </si>
  <si>
    <t>Density Kg/m^3</t>
  </si>
  <si>
    <t>Aileron</t>
  </si>
  <si>
    <t>Aileron_Skin_Lower_Right</t>
  </si>
  <si>
    <t xml:space="preserve">Polyetheretherketone (PEEK) / IM Carbon Fibre (UD Prepreg, UD Lay-up) </t>
  </si>
  <si>
    <t>Compression Molding</t>
  </si>
  <si>
    <t>Aileron_Skin_Upper_Right</t>
  </si>
  <si>
    <t>Aileron_Rib_Tip_Right</t>
  </si>
  <si>
    <t>Toray Cetex® MC1200-4A, PEEK, 25.4 mm (1”) Standard-modulus AS-4 fiber chopped</t>
  </si>
  <si>
    <t>Injection Molding</t>
  </si>
  <si>
    <t>Injection Molding Machine (Hopper, barrel, reciprocating screw, moveable platen nozzle, mold)</t>
  </si>
  <si>
    <t>Aileron_Rib_Root_Right</t>
  </si>
  <si>
    <t>Aileron_Skin_Lower_Left</t>
  </si>
  <si>
    <t>Aileron_Skin_Upper_Left</t>
  </si>
  <si>
    <t>Aileron_Rib_Tip_Left</t>
  </si>
  <si>
    <t>Aileron_Rib_Root_Left</t>
  </si>
  <si>
    <t>Elevators</t>
  </si>
  <si>
    <t>Elevator_Right</t>
  </si>
  <si>
    <t>Elevator_Left</t>
  </si>
  <si>
    <t>Rudder</t>
  </si>
  <si>
    <t>Machine</t>
  </si>
  <si>
    <t>Machine footprint (m^2)</t>
  </si>
  <si>
    <t>Usage per unit (mins)</t>
  </si>
  <si>
    <t>Utilisation (%)</t>
  </si>
  <si>
    <t>If utilisation &gt;100%, can bigger/smalled machine be used? Y/N</t>
  </si>
  <si>
    <t>New machine (if applicable)</t>
  </si>
  <si>
    <t>Number of machines required</t>
  </si>
  <si>
    <t>Compression press with heat</t>
  </si>
  <si>
    <t>Oven</t>
  </si>
  <si>
    <t>Milling Machine</t>
  </si>
  <si>
    <t>Drill</t>
  </si>
  <si>
    <t>Die Forging Press</t>
  </si>
  <si>
    <t>Forging Furnace</t>
  </si>
  <si>
    <t>Required production rate (per annum):</t>
  </si>
  <si>
    <t>Required production rate (per day):</t>
  </si>
  <si>
    <t>Available hours (per day):</t>
  </si>
  <si>
    <t>Available hours per unit:</t>
  </si>
  <si>
    <t>Available minutes per unit:</t>
  </si>
  <si>
    <t>Fixed asset depreciation</t>
  </si>
  <si>
    <t>*Assuming that investment in machinery begins in the year preceding the requirement for such machinery.</t>
  </si>
  <si>
    <t>Depreciation rate (per year)</t>
  </si>
  <si>
    <t>Source: https://www.accountsportal.com/blog/assets-depreciation-explained#:~:text=There%20are%20no%20%22hard%20and,over%205%20to%207%20years.</t>
  </si>
  <si>
    <t>Equivalent number of machines</t>
  </si>
  <si>
    <t>Distribution &amp; Storage</t>
  </si>
  <si>
    <t>Assuming daily deliveries of raw materials and daily pick-up of drone stock.</t>
  </si>
  <si>
    <t>Raw Materials Space requirement:</t>
  </si>
  <si>
    <t>Estimated by calculating the volume of raw materials required to support a day of production and then multiplying by a correction factor of 5 to account for shelving, packaging and access space.</t>
  </si>
  <si>
    <t>Production rate per day</t>
  </si>
  <si>
    <t>Raw material volume per unit (m^3)</t>
  </si>
  <si>
    <t>Total raw material volume per day (m^3)</t>
  </si>
  <si>
    <t>Storage correction factor</t>
  </si>
  <si>
    <t>Storage space required (m^3)</t>
  </si>
  <si>
    <t>Estimate footprint somehow</t>
  </si>
  <si>
    <t>Finished product space requirement:</t>
  </si>
  <si>
    <t>Estimated by assuming the volume required for a finsihed drone is equal to the volume of a cuboid with major dimensions equal to that of a finished drone fuselage and multiplying by a correction factor of 2 to account for access space.</t>
  </si>
  <si>
    <t>The estimation is based on the fact that the drone wings and tail surface (which were desinged with modularity in mind) are removed for transport.</t>
  </si>
  <si>
    <t>Packaged Height (m)</t>
  </si>
  <si>
    <t>Packaged Width (m)</t>
  </si>
  <si>
    <t>Packaged Length (m)</t>
  </si>
  <si>
    <t>Final product packaged volume per unit (m^3)</t>
  </si>
  <si>
    <t>Final product packaged volume per day (m^3)</t>
  </si>
  <si>
    <t>Storage space correction factor</t>
  </si>
  <si>
    <t>Logistics Costs:</t>
  </si>
  <si>
    <t>Delivery of raw materials:</t>
  </si>
  <si>
    <t>It is conservatively assumed that each material has its own unique supplier and, therefore, the number of incoming deliveries is equal to the number of unique materials.</t>
  </si>
  <si>
    <t>Upper limit of delivery costs assume international delivery, lower limit assumes delivery from within the UK.</t>
  </si>
  <si>
    <t>Check SEER for additional info</t>
  </si>
  <si>
    <t>Material volume per unit (m^3)</t>
  </si>
  <si>
    <t>Material volume per day (m^3)</t>
  </si>
  <si>
    <t>Material mass per day (kg)</t>
  </si>
  <si>
    <t>Haulage rate (£/m^3)</t>
  </si>
  <si>
    <t>Shipping rate (£/m^3)</t>
  </si>
  <si>
    <t>Delivery Costs - lower (£)</t>
  </si>
  <si>
    <t>Delivery Costs - upper (£)</t>
  </si>
  <si>
    <t>Delivery of finsihed product is assumed to be covered by customer and is therefore cancelled out and omitted from this estimation.</t>
  </si>
  <si>
    <t>Haulage rates:</t>
  </si>
  <si>
    <t>Rate per mile (£/mile)</t>
  </si>
  <si>
    <t>Best case cost (£)</t>
  </si>
  <si>
    <t>Worst case cost (£)</t>
  </si>
  <si>
    <t>Average cost (£)</t>
  </si>
  <si>
    <t>Up to 3.5 tonne</t>
  </si>
  <si>
    <t>Up to 10 tonne</t>
  </si>
  <si>
    <t>Up to 16 tonne</t>
  </si>
  <si>
    <t>Up to 28 tonne</t>
  </si>
  <si>
    <t>Assume all raw materials are sourced either within the UK (best case) or within Europe (worst case)</t>
  </si>
  <si>
    <t>In 2022, the average distance travelled per tonne in total road freight transport in the EU was 141.3 km, whereas in national road freight transport it was 95.4 km; 611.6 km in international transport; 746.4 km in cross-trade transport and 283.7 km in cabotage transport (see Figure 6).</t>
  </si>
  <si>
    <t>https://ec.europa.eu/eurostat/statistics-explained/index.php?title=Road_freight_transport_by_journey_characteristics#Average_distance_travelled_per_tonne_of_load</t>
  </si>
  <si>
    <t>Average freight distances:</t>
  </si>
  <si>
    <t>(km)</t>
  </si>
  <si>
    <t>(miles)</t>
  </si>
  <si>
    <t>Within UK</t>
  </si>
  <si>
    <t>Within Europe</t>
  </si>
  <si>
    <t>Taxes</t>
  </si>
  <si>
    <t>Rates:</t>
  </si>
  <si>
    <t>Avg</t>
  </si>
  <si>
    <t>Corporation Tax</t>
  </si>
  <si>
    <t>If profit &gt; £50,000</t>
  </si>
  <si>
    <t>If profit &lt;= £50,000</t>
  </si>
  <si>
    <t>Annual Profit</t>
  </si>
  <si>
    <t>R&amp;D tax relief</t>
  </si>
  <si>
    <t>Standard rate</t>
  </si>
  <si>
    <t>* Assume company has &lt;500 employees and total assets &lt;£86million</t>
  </si>
  <si>
    <t>VAT</t>
  </si>
  <si>
    <t>Enhanced rate</t>
  </si>
  <si>
    <t>Surrender rate</t>
  </si>
  <si>
    <t>Taxable income</t>
  </si>
  <si>
    <t>If rateable value &lt; £50,000 per annum</t>
  </si>
  <si>
    <t>If rateable value &gt;= £50,000 per annum</t>
  </si>
  <si>
    <t>R&amp;D Tax Credits</t>
  </si>
  <si>
    <t>Skilled labour</t>
  </si>
  <si>
    <t>*Convert labour rates to annual wage then subtract 12570</t>
  </si>
  <si>
    <t>R&amp;D expenditure</t>
  </si>
  <si>
    <t>Unskilled labour</t>
  </si>
  <si>
    <t>Ratio of R&amp;D expenditure to revenue</t>
  </si>
  <si>
    <t>Enhanced expenditure (if applicable)</t>
  </si>
  <si>
    <t>Payable cash credit</t>
  </si>
  <si>
    <t>Payable tax credit</t>
  </si>
  <si>
    <t>National Insurance</t>
  </si>
  <si>
    <t>1. Multiply R&amp;D expenditure by 0.2</t>
  </si>
  <si>
    <t>Headcount - skilled</t>
  </si>
  <si>
    <t>2. Multiply this value by (1-corporation tax rate)</t>
  </si>
  <si>
    <t>Headcount - unskilled</t>
  </si>
  <si>
    <t>3. If profit making, this is the value of the R&amp;D tax credit</t>
  </si>
  <si>
    <t>4. If loss making, and not R&amp;D intensive (&gt;30% revenue spent on R&amp;D), this is a cash credit</t>
  </si>
  <si>
    <t>National insurance contributions</t>
  </si>
  <si>
    <t>5. If loss making, and R&amp;D intensive, multiply R&amp;D expenditure by enhanced rate of 0.86</t>
  </si>
  <si>
    <t>Business Rates</t>
  </si>
  <si>
    <t>6. Add this value to your R&amp;D expenditure to give enhanced expenditure.</t>
  </si>
  <si>
    <t>Facility rent per annum</t>
  </si>
  <si>
    <t>7. Multiply by the surrender rate of 14.5%</t>
  </si>
  <si>
    <t>8. This is the value of the cash credit.</t>
  </si>
  <si>
    <t>Business rate tax</t>
  </si>
  <si>
    <t>https://forrestbrown.co.uk/rd-tax-credits-explained/r-d-tax-credit-calculator/#sme-loss-250-500</t>
  </si>
  <si>
    <t>Corportion tax rate is 25% of profits</t>
  </si>
  <si>
    <t>https://www.gov.uk/corporation-tax-rates</t>
  </si>
  <si>
    <t>If your company made a profit of £50,000 or less, you’ll pay the ‘small profits rate’, which is 19%.</t>
  </si>
  <si>
    <t>You may be entitled to ‘Marginal Relief’ if your profits were between £50,000 and £250,000.</t>
  </si>
  <si>
    <t>20% added to sale price</t>
  </si>
  <si>
    <t>Businesses pay 13.8% for employees with earnings above £12,570 in 2023-24. </t>
  </si>
  <si>
    <t>Calculate number of employees required using notional hours of work for manufacture (+add estimate for R&amp;D team, sales etc)</t>
  </si>
  <si>
    <t>Investment in assets can be written off from tax up to £1 million</t>
  </si>
  <si>
    <t>Business rates on property - mutliply rateable value (estimated cost to rent property for a year) by multiplier</t>
  </si>
  <si>
    <t>Standard multiplier</t>
  </si>
  <si>
    <t>Small business multiplier</t>
  </si>
  <si>
    <t>Small business multiplier applies if rateable value &lt; 50,000</t>
  </si>
  <si>
    <t>2024 to 2025</t>
  </si>
  <si>
    <t>54.6 pence</t>
  </si>
  <si>
    <t>49.9 pence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</si>
</sst>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5">
    <font>
      <sz val="11"/>
      <color theme="1"/>
      <name val="Aptos Narrow"/>
      <family val="2"/>
      <scheme val="minor"/>
    </font>
    <font>
      <sz val="11"/>
      <color theme="1"/>
      <name val="Aptos Narrow"/>
      <family val="2"/>
      <scheme val="minor"/>
    </font>
    <font>
      <b/>
      <sz val="13"/>
      <color theme="3"/>
      <name val="Aptos Narrow"/>
      <family val="2"/>
      <scheme val="minor"/>
    </font>
    <font>
      <sz val="11"/>
      <color rgb="FF3F3F76"/>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b/>
      <sz val="16"/>
      <color theme="1"/>
      <name val="Aptos Narrow"/>
      <family val="2"/>
      <scheme val="minor"/>
    </font>
    <font>
      <sz val="11"/>
      <color theme="4"/>
      <name val="Aptos Narrow"/>
      <family val="2"/>
      <scheme val="minor"/>
    </font>
    <font>
      <b/>
      <sz val="9"/>
      <color indexed="81"/>
      <name val="Tahoma"/>
      <family val="2"/>
    </font>
    <font>
      <sz val="9"/>
      <color indexed="81"/>
      <name val="Tahoma"/>
      <family val="2"/>
    </font>
    <font>
      <sz val="10"/>
      <color theme="9" tint="-0.499984740745262"/>
      <name val="Arial"/>
      <family val="2"/>
    </font>
    <font>
      <sz val="10"/>
      <name val="Arial"/>
      <family val="2"/>
    </font>
    <font>
      <sz val="10"/>
      <color theme="1"/>
      <name val="Arial"/>
      <family val="2"/>
    </font>
    <font>
      <i/>
      <sz val="10"/>
      <color rgb="FFFF0000"/>
      <name val="Arial"/>
      <family val="2"/>
    </font>
    <font>
      <u/>
      <sz val="11"/>
      <color indexed="12"/>
      <name val="Calibri"/>
      <family val="2"/>
    </font>
    <font>
      <b/>
      <sz val="10"/>
      <color theme="0"/>
      <name val="Arial"/>
      <family val="2"/>
    </font>
    <font>
      <sz val="11"/>
      <color theme="1"/>
      <name val="Arial"/>
      <family val="2"/>
    </font>
    <font>
      <b/>
      <sz val="12"/>
      <color theme="0"/>
      <name val="Aptos Narrow"/>
      <family val="2"/>
      <scheme val="minor"/>
    </font>
    <font>
      <b/>
      <sz val="10"/>
      <name val="Arial"/>
      <family val="2"/>
    </font>
    <font>
      <i/>
      <sz val="11"/>
      <color theme="1"/>
      <name val="Aptos Narrow"/>
      <family val="2"/>
      <scheme val="minor"/>
    </font>
    <font>
      <b/>
      <sz val="14"/>
      <color theme="1"/>
      <name val="Aptos Narrow"/>
      <family val="2"/>
      <scheme val="minor"/>
    </font>
    <font>
      <sz val="8"/>
      <name val="Aptos Narrow"/>
      <family val="2"/>
      <scheme val="minor"/>
    </font>
    <font>
      <sz val="8"/>
      <color rgb="FF333333"/>
      <name val="Arial"/>
      <family val="2"/>
    </font>
  </fonts>
  <fills count="16">
    <fill>
      <patternFill patternType="none"/>
    </fill>
    <fill>
      <patternFill patternType="gray125"/>
    </fill>
    <fill>
      <patternFill patternType="solid">
        <fgColor rgb="FFFFCC99"/>
      </patternFill>
    </fill>
    <fill>
      <patternFill patternType="solid">
        <fgColor rgb="FFFFFFCC"/>
      </patternFill>
    </fill>
    <fill>
      <patternFill patternType="solid">
        <fgColor theme="1"/>
        <bgColor theme="1"/>
      </patternFill>
    </fill>
    <fill>
      <patternFill patternType="solid">
        <fgColor theme="1" tint="0.249977111117893"/>
        <bgColor theme="1" tint="0.249977111117893"/>
      </patternFill>
    </fill>
    <fill>
      <patternFill patternType="solid">
        <fgColor theme="6" tint="0.79998168889431442"/>
        <bgColor indexed="64"/>
      </patternFill>
    </fill>
    <fill>
      <patternFill patternType="solid">
        <fgColor theme="7" tint="0.39997558519241921"/>
        <bgColor rgb="FF000000"/>
      </patternFill>
    </fill>
    <fill>
      <patternFill patternType="solid">
        <fgColor rgb="FFCC99FF"/>
        <bgColor indexed="64"/>
      </patternFill>
    </fill>
    <fill>
      <patternFill patternType="solid">
        <fgColor rgb="FFFFFF99"/>
        <bgColor indexed="64"/>
      </patternFill>
    </fill>
    <fill>
      <patternFill patternType="solid">
        <fgColor rgb="FFFFFF99"/>
        <bgColor rgb="FF000000"/>
      </patternFill>
    </fill>
    <fill>
      <patternFill patternType="solid">
        <fgColor rgb="FF92D050"/>
        <bgColor indexed="64"/>
      </patternFill>
    </fill>
    <fill>
      <patternFill patternType="solid">
        <fgColor rgb="FF002060"/>
        <bgColor indexed="64"/>
      </patternFill>
    </fill>
    <fill>
      <patternFill patternType="solid">
        <fgColor theme="4" tint="0.79998168889431442"/>
        <bgColor rgb="FF000000"/>
      </patternFill>
    </fill>
    <fill>
      <patternFill patternType="solid">
        <fgColor rgb="FFFF0000"/>
        <bgColor indexed="64"/>
      </patternFill>
    </fill>
    <fill>
      <patternFill patternType="solid">
        <fgColor theme="4" tint="0.79998168889431442"/>
        <bgColor indexed="65"/>
      </patternFill>
    </fill>
  </fills>
  <borders count="62">
    <border>
      <left/>
      <right/>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theme="1"/>
      </left>
      <right/>
      <top style="thin">
        <color theme="1"/>
      </top>
      <bottom/>
      <diagonal/>
    </border>
    <border>
      <left/>
      <right/>
      <top style="thin">
        <color theme="1"/>
      </top>
      <bottom/>
      <diagonal/>
    </border>
    <border>
      <left style="thin">
        <color theme="1"/>
      </left>
      <right/>
      <top style="thin">
        <color theme="1"/>
      </top>
      <bottom style="thin">
        <color theme="1"/>
      </bottom>
      <diagonal/>
    </border>
    <border>
      <left/>
      <right/>
      <top/>
      <bottom style="medium">
        <color theme="0"/>
      </bottom>
      <diagonal/>
    </border>
    <border>
      <left style="thin">
        <color indexed="64"/>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1"/>
      </left>
      <right style="thin">
        <color theme="1"/>
      </right>
      <top style="thin">
        <color theme="1"/>
      </top>
      <bottom/>
      <diagonal/>
    </border>
    <border>
      <left/>
      <right/>
      <top/>
      <bottom style="medium">
        <color indexed="64"/>
      </bottom>
      <diagonal/>
    </border>
    <border>
      <left/>
      <right/>
      <top style="medium">
        <color indexed="64"/>
      </top>
      <bottom style="thin">
        <color indexed="64"/>
      </bottom>
      <diagonal/>
    </border>
    <border>
      <left style="thin">
        <color theme="1"/>
      </left>
      <right style="thin">
        <color indexed="64"/>
      </right>
      <top style="thin">
        <color theme="1"/>
      </top>
      <bottom style="thin">
        <color theme="1"/>
      </bottom>
      <diagonal/>
    </border>
    <border>
      <left style="medium">
        <color theme="1"/>
      </left>
      <right/>
      <top style="medium">
        <color theme="1"/>
      </top>
      <bottom style="thin">
        <color indexed="64"/>
      </bottom>
      <diagonal/>
    </border>
    <border>
      <left/>
      <right/>
      <top style="medium">
        <color theme="1"/>
      </top>
      <bottom style="thin">
        <color indexed="64"/>
      </bottom>
      <diagonal/>
    </border>
    <border>
      <left/>
      <right style="medium">
        <color theme="1"/>
      </right>
      <top style="medium">
        <color theme="1"/>
      </top>
      <bottom style="thin">
        <color indexed="64"/>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thin">
        <color indexed="64"/>
      </right>
      <top style="thin">
        <color indexed="64"/>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diagonal/>
    </border>
    <border>
      <left/>
      <right style="thin">
        <color indexed="64"/>
      </right>
      <top/>
      <bottom style="double">
        <color indexed="64"/>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thin">
        <color rgb="FF7F7F7F"/>
      </left>
      <right style="thin">
        <color rgb="FF7F7F7F"/>
      </right>
      <top style="medium">
        <color indexed="64"/>
      </top>
      <bottom style="thin">
        <color rgb="FF7F7F7F"/>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theme="1"/>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indexed="64"/>
      </bottom>
      <diagonal/>
    </border>
    <border>
      <left style="thin">
        <color theme="0" tint="-0.499984740745262"/>
      </left>
      <right style="thin">
        <color theme="0" tint="-0.499984740745262"/>
      </right>
      <top/>
      <bottom style="thin">
        <color theme="1"/>
      </bottom>
      <diagonal/>
    </border>
    <border>
      <left/>
      <right/>
      <top style="thin">
        <color indexed="64"/>
      </top>
      <bottom style="double">
        <color indexed="64"/>
      </bottom>
      <diagonal/>
    </border>
    <border>
      <left/>
      <right/>
      <top style="thin">
        <color indexed="64"/>
      </top>
      <bottom style="medium">
        <color indexed="64"/>
      </bottom>
      <diagonal/>
    </border>
  </borders>
  <cellStyleXfs count="23">
    <xf numFmtId="0" fontId="0" fillId="0" borderId="0"/>
    <xf numFmtId="0" fontId="2" fillId="0" borderId="1" applyNumberFormat="0" applyFill="0" applyAlignment="0" applyProtection="0"/>
    <xf numFmtId="0" fontId="3" fillId="2" borderId="2" applyNumberFormat="0" applyAlignment="0" applyProtection="0"/>
    <xf numFmtId="4" fontId="9" fillId="6" borderId="8">
      <alignment horizontal="center" vertical="center"/>
      <protection locked="0"/>
    </xf>
    <xf numFmtId="0" fontId="12" fillId="7" borderId="9" applyNumberFormat="0" applyProtection="0">
      <alignment vertical="center"/>
    </xf>
    <xf numFmtId="0" fontId="13" fillId="8" borderId="10"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alignment vertical="top"/>
      <protection locked="0"/>
    </xf>
    <xf numFmtId="0" fontId="13" fillId="9" borderId="2" applyNumberFormat="0" applyBorder="0" applyAlignment="0" applyProtection="0"/>
    <xf numFmtId="0" fontId="13" fillId="10" borderId="0">
      <alignment vertical="center"/>
    </xf>
    <xf numFmtId="0" fontId="13" fillId="11" borderId="11" applyNumberFormat="0" applyAlignment="0" applyProtection="0"/>
    <xf numFmtId="3" fontId="1" fillId="6" borderId="8">
      <alignment horizontal="center" vertical="center"/>
    </xf>
    <xf numFmtId="0" fontId="14" fillId="0" borderId="0"/>
    <xf numFmtId="0" fontId="1" fillId="0" borderId="0"/>
    <xf numFmtId="0" fontId="7" fillId="0" borderId="0">
      <alignment vertical="center" wrapText="1"/>
    </xf>
    <xf numFmtId="0" fontId="14" fillId="3" borderId="3" applyNumberFormat="0" applyFont="0" applyAlignment="0" applyProtection="0"/>
    <xf numFmtId="0" fontId="17" fillId="12" borderId="12" applyNumberFormat="0" applyAlignment="0" applyProtection="0"/>
    <xf numFmtId="9" fontId="18" fillId="0" borderId="0" applyFont="0" applyFill="0" applyBorder="0" applyAlignment="0" applyProtection="0"/>
    <xf numFmtId="0" fontId="13" fillId="13" borderId="13" applyNumberFormat="0" applyProtection="0">
      <alignment vertical="center"/>
    </xf>
    <xf numFmtId="0" fontId="17" fillId="14" borderId="0" applyNumberFormat="0" applyBorder="0" applyAlignment="0" applyProtection="0"/>
    <xf numFmtId="0" fontId="1" fillId="15" borderId="0" applyNumberFormat="0" applyBorder="0" applyAlignment="0" applyProtection="0"/>
  </cellStyleXfs>
  <cellXfs count="110">
    <xf numFmtId="0" fontId="0" fillId="0" borderId="0" xfId="0"/>
    <xf numFmtId="0" fontId="8" fillId="0" borderId="0" xfId="0" applyFont="1"/>
    <xf numFmtId="0" fontId="5" fillId="0" borderId="0" xfId="0" applyFont="1"/>
    <xf numFmtId="0" fontId="3" fillId="2" borderId="2" xfId="2"/>
    <xf numFmtId="0" fontId="4" fillId="4" borderId="4" xfId="0" applyFont="1" applyFill="1" applyBorder="1"/>
    <xf numFmtId="0" fontId="4" fillId="4" borderId="5" xfId="0" applyFont="1" applyFill="1" applyBorder="1"/>
    <xf numFmtId="0" fontId="0" fillId="0" borderId="0" xfId="0" applyAlignment="1">
      <alignment horizontal="center"/>
    </xf>
    <xf numFmtId="0" fontId="4" fillId="4" borderId="7" xfId="0" applyFont="1" applyFill="1" applyBorder="1"/>
    <xf numFmtId="0" fontId="4" fillId="4" borderId="7" xfId="0" applyFont="1" applyFill="1" applyBorder="1" applyAlignment="1">
      <alignment horizontal="right"/>
    </xf>
    <xf numFmtId="4" fontId="9" fillId="6" borderId="8" xfId="3" applyProtection="1">
      <alignment horizontal="center" vertical="center"/>
    </xf>
    <xf numFmtId="0" fontId="6" fillId="5" borderId="0" xfId="0" applyFont="1" applyFill="1" applyAlignment="1">
      <alignment wrapText="1"/>
    </xf>
    <xf numFmtId="0" fontId="19" fillId="4" borderId="14" xfId="0" applyFont="1" applyFill="1" applyBorder="1" applyAlignment="1">
      <alignment horizontal="center" vertical="center"/>
    </xf>
    <xf numFmtId="0" fontId="4" fillId="4" borderId="14" xfId="0" applyFont="1" applyFill="1" applyBorder="1" applyAlignment="1">
      <alignment horizontal="center" vertical="center"/>
    </xf>
    <xf numFmtId="0" fontId="0" fillId="0" borderId="8" xfId="0" applyBorder="1" applyAlignment="1">
      <alignment wrapText="1"/>
    </xf>
    <xf numFmtId="0" fontId="0" fillId="0" borderId="8" xfId="0" applyBorder="1"/>
    <xf numFmtId="0" fontId="20"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15" xfId="0" applyBorder="1"/>
    <xf numFmtId="0" fontId="21" fillId="0" borderId="16" xfId="0" applyFont="1" applyBorder="1" applyAlignment="1">
      <alignment horizontal="center"/>
    </xf>
    <xf numFmtId="0" fontId="21" fillId="0" borderId="16" xfId="0" applyFont="1" applyBorder="1" applyAlignment="1">
      <alignment horizontal="centerContinuous"/>
    </xf>
    <xf numFmtId="0" fontId="0" fillId="0" borderId="6" xfId="0" applyBorder="1"/>
    <xf numFmtId="0" fontId="0" fillId="0" borderId="17" xfId="0" applyBorder="1"/>
    <xf numFmtId="0" fontId="0" fillId="0" borderId="0" xfId="0" applyAlignment="1">
      <alignment horizontal="left"/>
    </xf>
    <xf numFmtId="0" fontId="5" fillId="0" borderId="18"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1" xfId="0" applyBorder="1" applyAlignment="1">
      <alignment horizontal="left" vertical="center"/>
    </xf>
    <xf numFmtId="0" fontId="0" fillId="0" borderId="23" xfId="0" applyBorder="1"/>
    <xf numFmtId="0" fontId="0" fillId="0" borderId="24" xfId="0" applyBorder="1"/>
    <xf numFmtId="0" fontId="0" fillId="0" borderId="25" xfId="0" applyBorder="1"/>
    <xf numFmtId="3" fontId="1" fillId="6" borderId="8" xfId="13">
      <alignment horizontal="center" vertical="center"/>
    </xf>
    <xf numFmtId="4" fontId="9" fillId="6" borderId="8" xfId="3">
      <alignment horizontal="center" vertical="center"/>
      <protection locked="0"/>
    </xf>
    <xf numFmtId="3" fontId="1" fillId="6" borderId="26" xfId="13" applyBorder="1">
      <alignment horizontal="center" vertical="center"/>
    </xf>
    <xf numFmtId="0" fontId="0" fillId="0" borderId="8" xfId="0" applyBorder="1" applyAlignment="1">
      <alignment horizontal="left"/>
    </xf>
    <xf numFmtId="0" fontId="22" fillId="0" borderId="0" xfId="0" applyFont="1"/>
    <xf numFmtId="0" fontId="0" fillId="0" borderId="0" xfId="0" quotePrefix="1"/>
    <xf numFmtId="0" fontId="0" fillId="0" borderId="0" xfId="0" applyAlignment="1">
      <alignment wrapText="1"/>
    </xf>
    <xf numFmtId="11" fontId="0" fillId="0" borderId="0" xfId="0" applyNumberFormat="1"/>
    <xf numFmtId="0" fontId="0" fillId="0" borderId="8" xfId="0" quotePrefix="1" applyBorder="1"/>
    <xf numFmtId="1" fontId="0" fillId="0" borderId="0" xfId="0" applyNumberFormat="1"/>
    <xf numFmtId="0" fontId="0" fillId="0" borderId="0" xfId="0" applyAlignment="1">
      <alignment horizontal="right" wrapText="1"/>
    </xf>
    <xf numFmtId="11" fontId="0" fillId="0" borderId="0" xfId="0" applyNumberFormat="1" applyAlignment="1">
      <alignment wrapText="1"/>
    </xf>
    <xf numFmtId="2" fontId="0" fillId="0" borderId="0" xfId="0" applyNumberFormat="1" applyAlignment="1">
      <alignment wrapText="1"/>
    </xf>
    <xf numFmtId="0" fontId="0" fillId="0" borderId="27" xfId="0" applyBorder="1"/>
    <xf numFmtId="0" fontId="0" fillId="0" borderId="29" xfId="0" applyBorder="1"/>
    <xf numFmtId="0" fontId="0" fillId="0" borderId="28"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8" xfId="0" applyBorder="1"/>
    <xf numFmtId="0" fontId="0" fillId="0" borderId="40" xfId="0" applyBorder="1"/>
    <xf numFmtId="0" fontId="0" fillId="0" borderId="41" xfId="0" applyBorder="1"/>
    <xf numFmtId="0" fontId="0" fillId="0" borderId="42" xfId="0" applyBorder="1"/>
    <xf numFmtId="0" fontId="17" fillId="12" borderId="12" xfId="18"/>
    <xf numFmtId="0" fontId="17" fillId="12" borderId="8" xfId="18" applyBorder="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right"/>
    </xf>
    <xf numFmtId="0" fontId="0" fillId="0" borderId="8" xfId="0" applyBorder="1" applyAlignment="1">
      <alignment horizontal="center" vertical="center"/>
    </xf>
    <xf numFmtId="0" fontId="0" fillId="0" borderId="8" xfId="0" applyBorder="1" applyAlignment="1">
      <alignment horizontal="center"/>
    </xf>
    <xf numFmtId="0" fontId="0" fillId="0" borderId="8" xfId="0" applyBorder="1" applyAlignment="1">
      <alignment horizontal="right" vertical="center"/>
    </xf>
    <xf numFmtId="0" fontId="0" fillId="0" borderId="8" xfId="0" applyBorder="1" applyAlignment="1">
      <alignment horizontal="center" vertical="center" wrapText="1"/>
    </xf>
    <xf numFmtId="0" fontId="0" fillId="0" borderId="37" xfId="0" applyBorder="1" applyAlignment="1">
      <alignment horizontal="right"/>
    </xf>
    <xf numFmtId="0" fontId="0" fillId="0" borderId="26" xfId="0" applyBorder="1" applyAlignment="1">
      <alignment horizontal="right"/>
    </xf>
    <xf numFmtId="0" fontId="0" fillId="0" borderId="45" xfId="0" applyBorder="1"/>
    <xf numFmtId="0" fontId="3" fillId="2" borderId="46" xfId="2" applyNumberFormat="1" applyBorder="1"/>
    <xf numFmtId="0" fontId="0" fillId="0" borderId="44" xfId="0" applyBorder="1"/>
    <xf numFmtId="0" fontId="0" fillId="0" borderId="47" xfId="0" applyBorder="1"/>
    <xf numFmtId="0" fontId="0" fillId="0" borderId="48" xfId="0" applyBorder="1"/>
    <xf numFmtId="0" fontId="0" fillId="0" borderId="49" xfId="0" applyBorder="1"/>
    <xf numFmtId="0" fontId="0" fillId="0" borderId="48" xfId="0" applyBorder="1" applyAlignment="1">
      <alignment horizontal="left" vertical="center"/>
    </xf>
    <xf numFmtId="0" fontId="0" fillId="0" borderId="50" xfId="0" applyBorder="1"/>
    <xf numFmtId="0" fontId="0" fillId="0" borderId="51" xfId="0" applyBorder="1"/>
    <xf numFmtId="0" fontId="1" fillId="15" borderId="8" xfId="22" applyBorder="1"/>
    <xf numFmtId="0" fontId="3" fillId="2" borderId="8" xfId="2" applyBorder="1"/>
    <xf numFmtId="0" fontId="17" fillId="12" borderId="53" xfId="18" applyBorder="1"/>
    <xf numFmtId="0" fontId="17" fillId="12" borderId="54" xfId="18" applyBorder="1"/>
    <xf numFmtId="0" fontId="0" fillId="0" borderId="55" xfId="0" applyBorder="1"/>
    <xf numFmtId="0" fontId="24" fillId="0" borderId="0" xfId="0" applyFont="1"/>
    <xf numFmtId="0" fontId="0" fillId="0" borderId="56" xfId="0" applyBorder="1"/>
    <xf numFmtId="0" fontId="17" fillId="12" borderId="57" xfId="18" applyBorder="1"/>
    <xf numFmtId="0" fontId="0" fillId="0" borderId="60" xfId="0" applyBorder="1"/>
    <xf numFmtId="0" fontId="0" fillId="0" borderId="61" xfId="0" applyBorder="1"/>
    <xf numFmtId="0" fontId="17" fillId="12" borderId="12" xfId="18" applyAlignment="1">
      <alignment horizontal="center"/>
    </xf>
    <xf numFmtId="0" fontId="0" fillId="0" borderId="8" xfId="0" applyBorder="1" applyAlignment="1">
      <alignment horizontal="right"/>
    </xf>
    <xf numFmtId="0" fontId="4" fillId="4" borderId="4" xfId="0" applyFont="1" applyFill="1" applyBorder="1" applyAlignment="1">
      <alignment horizontal="center"/>
    </xf>
    <xf numFmtId="0" fontId="4" fillId="4" borderId="5" xfId="0" applyFont="1" applyFill="1" applyBorder="1" applyAlignment="1">
      <alignment horizontal="center"/>
    </xf>
    <xf numFmtId="0" fontId="17" fillId="12" borderId="43" xfId="18" applyBorder="1" applyAlignment="1">
      <alignment horizontal="center" vertical="center"/>
    </xf>
    <xf numFmtId="0" fontId="17" fillId="12" borderId="35" xfId="18" applyBorder="1" applyAlignment="1">
      <alignment horizontal="center" vertical="center"/>
    </xf>
    <xf numFmtId="0" fontId="17" fillId="12" borderId="37" xfId="18" applyBorder="1" applyAlignment="1">
      <alignment horizontal="center"/>
    </xf>
    <xf numFmtId="0" fontId="17" fillId="12" borderId="39" xfId="18" applyBorder="1" applyAlignment="1">
      <alignment horizontal="center"/>
    </xf>
    <xf numFmtId="0" fontId="17" fillId="12" borderId="26" xfId="18" applyBorder="1" applyAlignment="1">
      <alignment horizontal="center"/>
    </xf>
    <xf numFmtId="0" fontId="2" fillId="0" borderId="0" xfId="1" applyBorder="1" applyAlignment="1">
      <alignment horizontal="center"/>
    </xf>
    <xf numFmtId="0" fontId="17" fillId="12" borderId="57" xfId="18" applyBorder="1" applyAlignment="1">
      <alignment horizontal="center"/>
    </xf>
    <xf numFmtId="0" fontId="17" fillId="12" borderId="12" xfId="18" applyAlignment="1">
      <alignment horizontal="center" vertical="center"/>
    </xf>
    <xf numFmtId="0" fontId="17" fillId="12" borderId="57" xfId="18" applyBorder="1" applyAlignment="1">
      <alignment horizontal="center" vertical="center" wrapText="1"/>
    </xf>
    <xf numFmtId="0" fontId="17" fillId="12" borderId="58" xfId="18" applyBorder="1" applyAlignment="1">
      <alignment horizontal="center" vertical="center" wrapText="1"/>
    </xf>
    <xf numFmtId="0" fontId="17" fillId="12" borderId="57" xfId="18" applyBorder="1" applyAlignment="1">
      <alignment horizontal="center" vertical="center"/>
    </xf>
    <xf numFmtId="0" fontId="17" fillId="12" borderId="58" xfId="18" applyBorder="1" applyAlignment="1">
      <alignment horizontal="center" vertical="center"/>
    </xf>
    <xf numFmtId="0" fontId="17" fillId="12" borderId="59" xfId="18" applyBorder="1" applyAlignment="1">
      <alignment horizontal="center" vertical="center"/>
    </xf>
    <xf numFmtId="0" fontId="17" fillId="12" borderId="52" xfId="18" applyBorder="1" applyAlignment="1">
      <alignment horizontal="center" vertical="center"/>
    </xf>
    <xf numFmtId="0" fontId="17" fillId="12" borderId="12" xfId="18" applyFont="1" applyAlignment="1">
      <alignment horizontal="center"/>
    </xf>
    <xf numFmtId="0" fontId="17" fillId="12" borderId="12" xfId="18" applyFont="1"/>
  </cellXfs>
  <cellStyles count="23">
    <cellStyle name="20% - Accent1" xfId="22" builtinId="30"/>
    <cellStyle name="Calculation 2" xfId="4" xr:uid="{BFC154CA-7D9F-42FB-AA8B-A1CC2EA81B20}"/>
    <cellStyle name="Calculation 3" xfId="5" xr:uid="{E4843A34-51A6-4939-BE50-D3075FB43379}"/>
    <cellStyle name="Comma 2" xfId="6" xr:uid="{7CE66698-59DD-478B-898A-359067A7D861}"/>
    <cellStyle name="Comma 3" xfId="7" xr:uid="{7F321D21-DC77-4E2E-A95F-85B379B1A7B7}"/>
    <cellStyle name="Explanatory Text 2" xfId="8" xr:uid="{3C8015CD-AC86-473D-92FC-9638B2291D58}"/>
    <cellStyle name="Heading 2" xfId="1" builtinId="17"/>
    <cellStyle name="Hyperlink 2" xfId="9" xr:uid="{E0C80782-7488-41FC-8526-0244F66C3767}"/>
    <cellStyle name="Input" xfId="2" builtinId="20"/>
    <cellStyle name="Input 2" xfId="10" xr:uid="{1B10D9D3-2DD5-4FC7-A0BC-F97C13C5EA77}"/>
    <cellStyle name="Input data" xfId="11" xr:uid="{F3F8F767-E53D-447F-8AE3-1F94B17339F8}"/>
    <cellStyle name="Linked Cell 2" xfId="12" xr:uid="{4FA15EE2-E21A-4BC6-B144-389B424DDE90}"/>
    <cellStyle name="Model calculation" xfId="13" xr:uid="{D8314A1F-A099-480F-9419-516486ACA6BB}"/>
    <cellStyle name="Model input" xfId="3" xr:uid="{3801A187-004F-4D56-9AE2-DAADB1BABF14}"/>
    <cellStyle name="Normal" xfId="0" builtinId="0"/>
    <cellStyle name="Normal 2" xfId="14" xr:uid="{06044D88-3DCD-4685-BA92-0D56E34C326E}"/>
    <cellStyle name="Normal 228" xfId="15" xr:uid="{3FE20E3C-A0D0-4955-946B-7A4AD1F66CB9}"/>
    <cellStyle name="Normal 4" xfId="16" xr:uid="{86CAFA02-4862-4FBA-905D-09BB05C4ED5A}"/>
    <cellStyle name="Note 2" xfId="17" xr:uid="{1C0BEEEC-3801-495F-883A-AFB2B31C73DB}"/>
    <cellStyle name="Output 2" xfId="18" xr:uid="{16063E01-1464-4FCF-84D0-6BDB289A63D0}"/>
    <cellStyle name="Percent 2" xfId="19" xr:uid="{6EC78F83-9F78-4AAF-9BA9-6FFD0301F0A9}"/>
    <cellStyle name="Selection" xfId="20" xr:uid="{EB407E39-6A86-4615-88E1-A1FBA6633E31}"/>
    <cellStyle name="Warning Text 2" xfId="21" xr:uid="{565EE9CF-43A4-4442-8D1D-A311A1C0B6C6}"/>
  </cellStyles>
  <dxfs count="44">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15" formatCode="0.00E+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5" formatCode="0.00E+00"/>
      <alignment horizontal="general" vertical="bottom" textRotation="0" wrapText="1" indent="0" justifyLastLine="0" shrinkToFit="0" readingOrder="0"/>
    </dxf>
    <dxf>
      <numFmt numFmtId="2" formatCode="0.00"/>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5" formatCode="0.00E+00"/>
    </dxf>
    <dxf>
      <numFmt numFmtId="1" formatCode="0"/>
    </dxf>
    <dxf>
      <numFmt numFmtId="15" formatCode="0.00E+00"/>
    </dxf>
    <dxf>
      <numFmt numFmtId="15" formatCode="0.00E+0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Length (m)  Residual Plot</a:t>
            </a:r>
          </a:p>
        </c:rich>
      </c:tx>
      <c:overlay val="0"/>
    </c:title>
    <c:autoTitleDeleted val="0"/>
    <c:plotArea>
      <c:layout/>
      <c:scatterChart>
        <c:scatterStyle val="lineMarker"/>
        <c:varyColors val="0"/>
        <c:ser>
          <c:idx val="0"/>
          <c:order val="0"/>
          <c:spPr>
            <a:ln w="38100">
              <a:noFill/>
            </a:ln>
          </c:spPr>
          <c:xVal>
            <c:numRef>
              <c:f>Income!$D$45:$D$53</c:f>
              <c:numCache>
                <c:formatCode>General</c:formatCode>
                <c:ptCount val="9"/>
                <c:pt idx="0">
                  <c:v>2.9</c:v>
                </c:pt>
                <c:pt idx="1">
                  <c:v>11</c:v>
                </c:pt>
                <c:pt idx="2">
                  <c:v>0.86</c:v>
                </c:pt>
                <c:pt idx="3">
                  <c:v>6.5</c:v>
                </c:pt>
                <c:pt idx="4">
                  <c:v>2.5</c:v>
                </c:pt>
                <c:pt idx="5">
                  <c:v>1.5</c:v>
                </c:pt>
                <c:pt idx="6">
                  <c:v>0.5</c:v>
                </c:pt>
                <c:pt idx="7">
                  <c:v>3.5</c:v>
                </c:pt>
                <c:pt idx="8">
                  <c:v>2.5</c:v>
                </c:pt>
              </c:numCache>
            </c:numRef>
          </c:xVal>
          <c:yVal>
            <c:numRef>
              <c:f>Income!$I$67:$I$75</c:f>
              <c:numCache>
                <c:formatCode>General</c:formatCode>
                <c:ptCount val="9"/>
                <c:pt idx="0">
                  <c:v>370562.16420480143</c:v>
                </c:pt>
                <c:pt idx="1">
                  <c:v>-299969.43973950669</c:v>
                </c:pt>
                <c:pt idx="2">
                  <c:v>1326841.7932487824</c:v>
                </c:pt>
                <c:pt idx="3">
                  <c:v>3775617.9335105252</c:v>
                </c:pt>
                <c:pt idx="4">
                  <c:v>-2186473.3864627257</c:v>
                </c:pt>
                <c:pt idx="5">
                  <c:v>2010614.3425103419</c:v>
                </c:pt>
                <c:pt idx="6">
                  <c:v>1725168.3490779661</c:v>
                </c:pt>
                <c:pt idx="7">
                  <c:v>-5063984.7803437375</c:v>
                </c:pt>
                <c:pt idx="8">
                  <c:v>-1658376.976006452</c:v>
                </c:pt>
              </c:numCache>
            </c:numRef>
          </c:yVal>
          <c:smooth val="0"/>
          <c:extLst>
            <c:ext xmlns:c16="http://schemas.microsoft.com/office/drawing/2014/chart" uri="{C3380CC4-5D6E-409C-BE32-E72D297353CC}">
              <c16:uniqueId val="{00000001-C19E-4050-A372-AEA15B9E6F91}"/>
            </c:ext>
          </c:extLst>
        </c:ser>
        <c:dLbls>
          <c:showLegendKey val="0"/>
          <c:showVal val="0"/>
          <c:showCatName val="0"/>
          <c:showSerName val="0"/>
          <c:showPercent val="0"/>
          <c:showBubbleSize val="0"/>
        </c:dLbls>
        <c:axId val="506381552"/>
        <c:axId val="1780412863"/>
      </c:scatterChart>
      <c:valAx>
        <c:axId val="506381552"/>
        <c:scaling>
          <c:orientation val="minMax"/>
        </c:scaling>
        <c:delete val="0"/>
        <c:axPos val="b"/>
        <c:title>
          <c:tx>
            <c:rich>
              <a:bodyPr/>
              <a:lstStyle/>
              <a:p>
                <a:pPr>
                  <a:defRPr/>
                </a:pPr>
                <a:r>
                  <a:rPr lang="en-GB"/>
                  <a:t>Length (m)</a:t>
                </a:r>
              </a:p>
            </c:rich>
          </c:tx>
          <c:overlay val="0"/>
        </c:title>
        <c:numFmt formatCode="General" sourceLinked="1"/>
        <c:majorTickMark val="out"/>
        <c:minorTickMark val="none"/>
        <c:tickLblPos val="nextTo"/>
        <c:crossAx val="1780412863"/>
        <c:crosses val="autoZero"/>
        <c:crossBetween val="midCat"/>
      </c:valAx>
      <c:valAx>
        <c:axId val="1780412863"/>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50638155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Wingspan (m)  Residual Plot</a:t>
            </a:r>
          </a:p>
        </c:rich>
      </c:tx>
      <c:overlay val="0"/>
    </c:title>
    <c:autoTitleDeleted val="0"/>
    <c:plotArea>
      <c:layout/>
      <c:scatterChart>
        <c:scatterStyle val="lineMarker"/>
        <c:varyColors val="0"/>
        <c:ser>
          <c:idx val="0"/>
          <c:order val="0"/>
          <c:spPr>
            <a:ln w="38100">
              <a:noFill/>
            </a:ln>
          </c:spPr>
          <c:xVal>
            <c:numRef>
              <c:f>Income!$E$45:$E$53</c:f>
              <c:numCache>
                <c:formatCode>General</c:formatCode>
                <c:ptCount val="9"/>
                <c:pt idx="0">
                  <c:v>2.4900000000000002</c:v>
                </c:pt>
                <c:pt idx="1">
                  <c:v>20.100000000000001</c:v>
                </c:pt>
                <c:pt idx="2">
                  <c:v>1.32</c:v>
                </c:pt>
                <c:pt idx="3">
                  <c:v>10.9</c:v>
                </c:pt>
                <c:pt idx="4">
                  <c:v>4.9000000000000004</c:v>
                </c:pt>
                <c:pt idx="5">
                  <c:v>0.91</c:v>
                </c:pt>
                <c:pt idx="6">
                  <c:v>0.8</c:v>
                </c:pt>
                <c:pt idx="7">
                  <c:v>5</c:v>
                </c:pt>
                <c:pt idx="8">
                  <c:v>3</c:v>
                </c:pt>
              </c:numCache>
            </c:numRef>
          </c:xVal>
          <c:yVal>
            <c:numRef>
              <c:f>Income!$I$67:$I$75</c:f>
              <c:numCache>
                <c:formatCode>General</c:formatCode>
                <c:ptCount val="9"/>
                <c:pt idx="0">
                  <c:v>370562.16420480143</c:v>
                </c:pt>
                <c:pt idx="1">
                  <c:v>-299969.43973950669</c:v>
                </c:pt>
                <c:pt idx="2">
                  <c:v>1326841.7932487824</c:v>
                </c:pt>
                <c:pt idx="3">
                  <c:v>3775617.9335105252</c:v>
                </c:pt>
                <c:pt idx="4">
                  <c:v>-2186473.3864627257</c:v>
                </c:pt>
                <c:pt idx="5">
                  <c:v>2010614.3425103419</c:v>
                </c:pt>
                <c:pt idx="6">
                  <c:v>1725168.3490779661</c:v>
                </c:pt>
                <c:pt idx="7">
                  <c:v>-5063984.7803437375</c:v>
                </c:pt>
                <c:pt idx="8">
                  <c:v>-1658376.976006452</c:v>
                </c:pt>
              </c:numCache>
            </c:numRef>
          </c:yVal>
          <c:smooth val="0"/>
          <c:extLst>
            <c:ext xmlns:c16="http://schemas.microsoft.com/office/drawing/2014/chart" uri="{C3380CC4-5D6E-409C-BE32-E72D297353CC}">
              <c16:uniqueId val="{00000001-6718-4F76-8589-D6AA2AE708D8}"/>
            </c:ext>
          </c:extLst>
        </c:ser>
        <c:dLbls>
          <c:showLegendKey val="0"/>
          <c:showVal val="0"/>
          <c:showCatName val="0"/>
          <c:showSerName val="0"/>
          <c:showPercent val="0"/>
          <c:showBubbleSize val="0"/>
        </c:dLbls>
        <c:axId val="697925840"/>
        <c:axId val="697926320"/>
      </c:scatterChart>
      <c:valAx>
        <c:axId val="697925840"/>
        <c:scaling>
          <c:orientation val="minMax"/>
        </c:scaling>
        <c:delete val="0"/>
        <c:axPos val="b"/>
        <c:title>
          <c:tx>
            <c:rich>
              <a:bodyPr/>
              <a:lstStyle/>
              <a:p>
                <a:pPr>
                  <a:defRPr/>
                </a:pPr>
                <a:r>
                  <a:rPr lang="en-GB"/>
                  <a:t>Wingspan (m)</a:t>
                </a:r>
              </a:p>
            </c:rich>
          </c:tx>
          <c:overlay val="0"/>
        </c:title>
        <c:numFmt formatCode="General" sourceLinked="1"/>
        <c:majorTickMark val="out"/>
        <c:minorTickMark val="none"/>
        <c:tickLblPos val="nextTo"/>
        <c:crossAx val="697926320"/>
        <c:crosses val="autoZero"/>
        <c:crossBetween val="midCat"/>
      </c:valAx>
      <c:valAx>
        <c:axId val="697926320"/>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69792584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Length (m) Line Fit  Plot</a:t>
            </a:r>
          </a:p>
        </c:rich>
      </c:tx>
      <c:overlay val="0"/>
    </c:title>
    <c:autoTitleDeleted val="0"/>
    <c:plotArea>
      <c:layout/>
      <c:scatterChart>
        <c:scatterStyle val="lineMarker"/>
        <c:varyColors val="0"/>
        <c:ser>
          <c:idx val="0"/>
          <c:order val="0"/>
          <c:tx>
            <c:v>Cost (£)</c:v>
          </c:tx>
          <c:spPr>
            <a:ln w="38100">
              <a:noFill/>
            </a:ln>
          </c:spPr>
          <c:xVal>
            <c:numRef>
              <c:f>Income!$D$45:$D$53</c:f>
              <c:numCache>
                <c:formatCode>General</c:formatCode>
                <c:ptCount val="9"/>
                <c:pt idx="0">
                  <c:v>2.9</c:v>
                </c:pt>
                <c:pt idx="1">
                  <c:v>11</c:v>
                </c:pt>
                <c:pt idx="2">
                  <c:v>0.86</c:v>
                </c:pt>
                <c:pt idx="3">
                  <c:v>6.5</c:v>
                </c:pt>
                <c:pt idx="4">
                  <c:v>2.5</c:v>
                </c:pt>
                <c:pt idx="5">
                  <c:v>1.5</c:v>
                </c:pt>
                <c:pt idx="6">
                  <c:v>0.5</c:v>
                </c:pt>
                <c:pt idx="7">
                  <c:v>3.5</c:v>
                </c:pt>
                <c:pt idx="8">
                  <c:v>2.5</c:v>
                </c:pt>
              </c:numCache>
            </c:numRef>
          </c:xVal>
          <c:yVal>
            <c:numRef>
              <c:f>Income!$C$45:$C$53</c:f>
              <c:numCache>
                <c:formatCode>General</c:formatCode>
                <c:ptCount val="9"/>
                <c:pt idx="0">
                  <c:v>1100000</c:v>
                </c:pt>
                <c:pt idx="1">
                  <c:v>30000000</c:v>
                </c:pt>
                <c:pt idx="2">
                  <c:v>500000</c:v>
                </c:pt>
                <c:pt idx="3">
                  <c:v>18700000</c:v>
                </c:pt>
                <c:pt idx="4">
                  <c:v>3000000</c:v>
                </c:pt>
                <c:pt idx="5">
                  <c:v>270000</c:v>
                </c:pt>
                <c:pt idx="6">
                  <c:v>58000</c:v>
                </c:pt>
                <c:pt idx="7">
                  <c:v>31000</c:v>
                </c:pt>
                <c:pt idx="8">
                  <c:v>100000</c:v>
                </c:pt>
              </c:numCache>
            </c:numRef>
          </c:yVal>
          <c:smooth val="0"/>
          <c:extLst>
            <c:ext xmlns:c16="http://schemas.microsoft.com/office/drawing/2014/chart" uri="{C3380CC4-5D6E-409C-BE32-E72D297353CC}">
              <c16:uniqueId val="{00000001-85B9-4FF0-BA0F-A04E3EAB0BA3}"/>
            </c:ext>
          </c:extLst>
        </c:ser>
        <c:ser>
          <c:idx val="1"/>
          <c:order val="1"/>
          <c:tx>
            <c:v>Predicted Cost (£)</c:v>
          </c:tx>
          <c:spPr>
            <a:ln w="38100">
              <a:noFill/>
            </a:ln>
          </c:spPr>
          <c:xVal>
            <c:numRef>
              <c:f>Income!$D$45:$D$53</c:f>
              <c:numCache>
                <c:formatCode>General</c:formatCode>
                <c:ptCount val="9"/>
                <c:pt idx="0">
                  <c:v>2.9</c:v>
                </c:pt>
                <c:pt idx="1">
                  <c:v>11</c:v>
                </c:pt>
                <c:pt idx="2">
                  <c:v>0.86</c:v>
                </c:pt>
                <c:pt idx="3">
                  <c:v>6.5</c:v>
                </c:pt>
                <c:pt idx="4">
                  <c:v>2.5</c:v>
                </c:pt>
                <c:pt idx="5">
                  <c:v>1.5</c:v>
                </c:pt>
                <c:pt idx="6">
                  <c:v>0.5</c:v>
                </c:pt>
                <c:pt idx="7">
                  <c:v>3.5</c:v>
                </c:pt>
                <c:pt idx="8">
                  <c:v>2.5</c:v>
                </c:pt>
              </c:numCache>
            </c:numRef>
          </c:xVal>
          <c:yVal>
            <c:numRef>
              <c:f>Income!$H$67:$H$75</c:f>
              <c:numCache>
                <c:formatCode>General</c:formatCode>
                <c:ptCount val="9"/>
                <c:pt idx="0">
                  <c:v>729437.83579519857</c:v>
                </c:pt>
                <c:pt idx="1">
                  <c:v>30299969.439739507</c:v>
                </c:pt>
                <c:pt idx="2">
                  <c:v>-826841.7932487824</c:v>
                </c:pt>
                <c:pt idx="3">
                  <c:v>14924382.066489475</c:v>
                </c:pt>
                <c:pt idx="4">
                  <c:v>5186473.3864627257</c:v>
                </c:pt>
                <c:pt idx="5">
                  <c:v>-1740614.3425103419</c:v>
                </c:pt>
                <c:pt idx="6">
                  <c:v>-1667168.3490779661</c:v>
                </c:pt>
                <c:pt idx="7">
                  <c:v>5094984.7803437375</c:v>
                </c:pt>
                <c:pt idx="8">
                  <c:v>1758376.976006452</c:v>
                </c:pt>
              </c:numCache>
            </c:numRef>
          </c:yVal>
          <c:smooth val="0"/>
          <c:extLst>
            <c:ext xmlns:c16="http://schemas.microsoft.com/office/drawing/2014/chart" uri="{C3380CC4-5D6E-409C-BE32-E72D297353CC}">
              <c16:uniqueId val="{00000002-85B9-4FF0-BA0F-A04E3EAB0BA3}"/>
            </c:ext>
          </c:extLst>
        </c:ser>
        <c:dLbls>
          <c:showLegendKey val="0"/>
          <c:showVal val="0"/>
          <c:showCatName val="0"/>
          <c:showSerName val="0"/>
          <c:showPercent val="0"/>
          <c:showBubbleSize val="0"/>
        </c:dLbls>
        <c:axId val="697923920"/>
        <c:axId val="697922960"/>
      </c:scatterChart>
      <c:valAx>
        <c:axId val="697923920"/>
        <c:scaling>
          <c:orientation val="minMax"/>
        </c:scaling>
        <c:delete val="0"/>
        <c:axPos val="b"/>
        <c:title>
          <c:tx>
            <c:rich>
              <a:bodyPr/>
              <a:lstStyle/>
              <a:p>
                <a:pPr>
                  <a:defRPr/>
                </a:pPr>
                <a:r>
                  <a:rPr lang="en-GB"/>
                  <a:t>Length (m)</a:t>
                </a:r>
              </a:p>
            </c:rich>
          </c:tx>
          <c:overlay val="0"/>
        </c:title>
        <c:numFmt formatCode="General" sourceLinked="1"/>
        <c:majorTickMark val="out"/>
        <c:minorTickMark val="none"/>
        <c:tickLblPos val="nextTo"/>
        <c:crossAx val="697922960"/>
        <c:crosses val="autoZero"/>
        <c:crossBetween val="midCat"/>
      </c:valAx>
      <c:valAx>
        <c:axId val="697922960"/>
        <c:scaling>
          <c:orientation val="minMax"/>
        </c:scaling>
        <c:delete val="0"/>
        <c:axPos val="l"/>
        <c:title>
          <c:tx>
            <c:rich>
              <a:bodyPr/>
              <a:lstStyle/>
              <a:p>
                <a:pPr>
                  <a:defRPr/>
                </a:pPr>
                <a:r>
                  <a:rPr lang="en-GB"/>
                  <a:t>Cost (£)</a:t>
                </a:r>
              </a:p>
            </c:rich>
          </c:tx>
          <c:overlay val="0"/>
        </c:title>
        <c:numFmt formatCode="General" sourceLinked="1"/>
        <c:majorTickMark val="out"/>
        <c:minorTickMark val="none"/>
        <c:tickLblPos val="nextTo"/>
        <c:crossAx val="69792392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Wingspan (m) Line Fit  Plot</a:t>
            </a:r>
          </a:p>
        </c:rich>
      </c:tx>
      <c:overlay val="0"/>
    </c:title>
    <c:autoTitleDeleted val="0"/>
    <c:plotArea>
      <c:layout/>
      <c:scatterChart>
        <c:scatterStyle val="lineMarker"/>
        <c:varyColors val="0"/>
        <c:ser>
          <c:idx val="0"/>
          <c:order val="0"/>
          <c:tx>
            <c:v>Cost (£)</c:v>
          </c:tx>
          <c:spPr>
            <a:ln w="38100">
              <a:noFill/>
            </a:ln>
          </c:spPr>
          <c:xVal>
            <c:numRef>
              <c:f>Income!$E$45:$E$53</c:f>
              <c:numCache>
                <c:formatCode>General</c:formatCode>
                <c:ptCount val="9"/>
                <c:pt idx="0">
                  <c:v>2.4900000000000002</c:v>
                </c:pt>
                <c:pt idx="1">
                  <c:v>20.100000000000001</c:v>
                </c:pt>
                <c:pt idx="2">
                  <c:v>1.32</c:v>
                </c:pt>
                <c:pt idx="3">
                  <c:v>10.9</c:v>
                </c:pt>
                <c:pt idx="4">
                  <c:v>4.9000000000000004</c:v>
                </c:pt>
                <c:pt idx="5">
                  <c:v>0.91</c:v>
                </c:pt>
                <c:pt idx="6">
                  <c:v>0.8</c:v>
                </c:pt>
                <c:pt idx="7">
                  <c:v>5</c:v>
                </c:pt>
                <c:pt idx="8">
                  <c:v>3</c:v>
                </c:pt>
              </c:numCache>
            </c:numRef>
          </c:xVal>
          <c:yVal>
            <c:numRef>
              <c:f>Income!$C$45:$C$53</c:f>
              <c:numCache>
                <c:formatCode>General</c:formatCode>
                <c:ptCount val="9"/>
                <c:pt idx="0">
                  <c:v>1100000</c:v>
                </c:pt>
                <c:pt idx="1">
                  <c:v>30000000</c:v>
                </c:pt>
                <c:pt idx="2">
                  <c:v>500000</c:v>
                </c:pt>
                <c:pt idx="3">
                  <c:v>18700000</c:v>
                </c:pt>
                <c:pt idx="4">
                  <c:v>3000000</c:v>
                </c:pt>
                <c:pt idx="5">
                  <c:v>270000</c:v>
                </c:pt>
                <c:pt idx="6">
                  <c:v>58000</c:v>
                </c:pt>
                <c:pt idx="7">
                  <c:v>31000</c:v>
                </c:pt>
                <c:pt idx="8">
                  <c:v>100000</c:v>
                </c:pt>
              </c:numCache>
            </c:numRef>
          </c:yVal>
          <c:smooth val="0"/>
          <c:extLst>
            <c:ext xmlns:c16="http://schemas.microsoft.com/office/drawing/2014/chart" uri="{C3380CC4-5D6E-409C-BE32-E72D297353CC}">
              <c16:uniqueId val="{00000001-B89C-4629-B6CD-63428656F4D2}"/>
            </c:ext>
          </c:extLst>
        </c:ser>
        <c:ser>
          <c:idx val="1"/>
          <c:order val="1"/>
          <c:tx>
            <c:v>Predicted Cost (£)</c:v>
          </c:tx>
          <c:spPr>
            <a:ln w="38100">
              <a:noFill/>
            </a:ln>
          </c:spPr>
          <c:xVal>
            <c:numRef>
              <c:f>Income!$E$45:$E$53</c:f>
              <c:numCache>
                <c:formatCode>General</c:formatCode>
                <c:ptCount val="9"/>
                <c:pt idx="0">
                  <c:v>2.4900000000000002</c:v>
                </c:pt>
                <c:pt idx="1">
                  <c:v>20.100000000000001</c:v>
                </c:pt>
                <c:pt idx="2">
                  <c:v>1.32</c:v>
                </c:pt>
                <c:pt idx="3">
                  <c:v>10.9</c:v>
                </c:pt>
                <c:pt idx="4">
                  <c:v>4.9000000000000004</c:v>
                </c:pt>
                <c:pt idx="5">
                  <c:v>0.91</c:v>
                </c:pt>
                <c:pt idx="6">
                  <c:v>0.8</c:v>
                </c:pt>
                <c:pt idx="7">
                  <c:v>5</c:v>
                </c:pt>
                <c:pt idx="8">
                  <c:v>3</c:v>
                </c:pt>
              </c:numCache>
            </c:numRef>
          </c:xVal>
          <c:yVal>
            <c:numRef>
              <c:f>Income!$H$67:$H$75</c:f>
              <c:numCache>
                <c:formatCode>General</c:formatCode>
                <c:ptCount val="9"/>
                <c:pt idx="0">
                  <c:v>729437.83579519857</c:v>
                </c:pt>
                <c:pt idx="1">
                  <c:v>30299969.439739507</c:v>
                </c:pt>
                <c:pt idx="2">
                  <c:v>-826841.7932487824</c:v>
                </c:pt>
                <c:pt idx="3">
                  <c:v>14924382.066489475</c:v>
                </c:pt>
                <c:pt idx="4">
                  <c:v>5186473.3864627257</c:v>
                </c:pt>
                <c:pt idx="5">
                  <c:v>-1740614.3425103419</c:v>
                </c:pt>
                <c:pt idx="6">
                  <c:v>-1667168.3490779661</c:v>
                </c:pt>
                <c:pt idx="7">
                  <c:v>5094984.7803437375</c:v>
                </c:pt>
                <c:pt idx="8">
                  <c:v>1758376.976006452</c:v>
                </c:pt>
              </c:numCache>
            </c:numRef>
          </c:yVal>
          <c:smooth val="0"/>
          <c:extLst>
            <c:ext xmlns:c16="http://schemas.microsoft.com/office/drawing/2014/chart" uri="{C3380CC4-5D6E-409C-BE32-E72D297353CC}">
              <c16:uniqueId val="{00000002-B89C-4629-B6CD-63428656F4D2}"/>
            </c:ext>
          </c:extLst>
        </c:ser>
        <c:dLbls>
          <c:showLegendKey val="0"/>
          <c:showVal val="0"/>
          <c:showCatName val="0"/>
          <c:showSerName val="0"/>
          <c:showPercent val="0"/>
          <c:showBubbleSize val="0"/>
        </c:dLbls>
        <c:axId val="1786138559"/>
        <c:axId val="1786139519"/>
      </c:scatterChart>
      <c:valAx>
        <c:axId val="1786138559"/>
        <c:scaling>
          <c:orientation val="minMax"/>
        </c:scaling>
        <c:delete val="0"/>
        <c:axPos val="b"/>
        <c:title>
          <c:tx>
            <c:rich>
              <a:bodyPr/>
              <a:lstStyle/>
              <a:p>
                <a:pPr>
                  <a:defRPr/>
                </a:pPr>
                <a:r>
                  <a:rPr lang="en-GB"/>
                  <a:t>Wingspan (m)</a:t>
                </a:r>
              </a:p>
            </c:rich>
          </c:tx>
          <c:overlay val="0"/>
        </c:title>
        <c:numFmt formatCode="General" sourceLinked="1"/>
        <c:majorTickMark val="out"/>
        <c:minorTickMark val="none"/>
        <c:tickLblPos val="nextTo"/>
        <c:crossAx val="1786139519"/>
        <c:crosses val="autoZero"/>
        <c:crossBetween val="midCat"/>
      </c:valAx>
      <c:valAx>
        <c:axId val="1786139519"/>
        <c:scaling>
          <c:orientation val="minMax"/>
        </c:scaling>
        <c:delete val="0"/>
        <c:axPos val="l"/>
        <c:title>
          <c:tx>
            <c:rich>
              <a:bodyPr/>
              <a:lstStyle/>
              <a:p>
                <a:pPr>
                  <a:defRPr/>
                </a:pPr>
                <a:r>
                  <a:rPr lang="en-GB"/>
                  <a:t>Cost (£)</a:t>
                </a:r>
              </a:p>
            </c:rich>
          </c:tx>
          <c:overlay val="0"/>
        </c:title>
        <c:numFmt formatCode="General" sourceLinked="1"/>
        <c:majorTickMark val="out"/>
        <c:minorTickMark val="none"/>
        <c:tickLblPos val="nextTo"/>
        <c:crossAx val="178613855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Normal Probability Plot</a:t>
            </a:r>
          </a:p>
        </c:rich>
      </c:tx>
      <c:overlay val="0"/>
    </c:title>
    <c:autoTitleDeleted val="0"/>
    <c:plotArea>
      <c:layout/>
      <c:scatterChart>
        <c:scatterStyle val="lineMarker"/>
        <c:varyColors val="0"/>
        <c:ser>
          <c:idx val="0"/>
          <c:order val="0"/>
          <c:spPr>
            <a:ln w="38100">
              <a:noFill/>
            </a:ln>
          </c:spPr>
          <c:xVal>
            <c:numRef>
              <c:f>Income!$L$67:$L$75</c:f>
              <c:numCache>
                <c:formatCode>General</c:formatCode>
                <c:ptCount val="9"/>
                <c:pt idx="0">
                  <c:v>5.5555555555555554</c:v>
                </c:pt>
                <c:pt idx="1">
                  <c:v>16.666666666666664</c:v>
                </c:pt>
                <c:pt idx="2">
                  <c:v>27.777777777777779</c:v>
                </c:pt>
                <c:pt idx="3">
                  <c:v>38.888888888888886</c:v>
                </c:pt>
                <c:pt idx="4">
                  <c:v>50</c:v>
                </c:pt>
                <c:pt idx="5">
                  <c:v>61.111111111111114</c:v>
                </c:pt>
                <c:pt idx="6">
                  <c:v>72.222222222222214</c:v>
                </c:pt>
                <c:pt idx="7">
                  <c:v>83.333333333333329</c:v>
                </c:pt>
                <c:pt idx="8">
                  <c:v>94.444444444444443</c:v>
                </c:pt>
              </c:numCache>
            </c:numRef>
          </c:xVal>
          <c:yVal>
            <c:numRef>
              <c:f>Income!$M$67:$M$75</c:f>
              <c:numCache>
                <c:formatCode>General</c:formatCode>
                <c:ptCount val="9"/>
                <c:pt idx="0">
                  <c:v>31000</c:v>
                </c:pt>
                <c:pt idx="1">
                  <c:v>58000</c:v>
                </c:pt>
                <c:pt idx="2">
                  <c:v>100000</c:v>
                </c:pt>
                <c:pt idx="3">
                  <c:v>270000</c:v>
                </c:pt>
                <c:pt idx="4">
                  <c:v>500000</c:v>
                </c:pt>
                <c:pt idx="5">
                  <c:v>1100000</c:v>
                </c:pt>
                <c:pt idx="6">
                  <c:v>3000000</c:v>
                </c:pt>
                <c:pt idx="7">
                  <c:v>18700000</c:v>
                </c:pt>
                <c:pt idx="8">
                  <c:v>30000000</c:v>
                </c:pt>
              </c:numCache>
            </c:numRef>
          </c:yVal>
          <c:smooth val="0"/>
          <c:extLst>
            <c:ext xmlns:c16="http://schemas.microsoft.com/office/drawing/2014/chart" uri="{C3380CC4-5D6E-409C-BE32-E72D297353CC}">
              <c16:uniqueId val="{00000001-6C22-4F5A-BA31-135429987AFB}"/>
            </c:ext>
          </c:extLst>
        </c:ser>
        <c:dLbls>
          <c:showLegendKey val="0"/>
          <c:showVal val="0"/>
          <c:showCatName val="0"/>
          <c:showSerName val="0"/>
          <c:showPercent val="0"/>
          <c:showBubbleSize val="0"/>
        </c:dLbls>
        <c:axId val="1786137599"/>
        <c:axId val="1786138559"/>
      </c:scatterChart>
      <c:valAx>
        <c:axId val="1786137599"/>
        <c:scaling>
          <c:orientation val="minMax"/>
        </c:scaling>
        <c:delete val="0"/>
        <c:axPos val="b"/>
        <c:title>
          <c:tx>
            <c:rich>
              <a:bodyPr/>
              <a:lstStyle/>
              <a:p>
                <a:pPr>
                  <a:defRPr/>
                </a:pPr>
                <a:r>
                  <a:rPr lang="en-GB"/>
                  <a:t>Sample Percentile</a:t>
                </a:r>
              </a:p>
            </c:rich>
          </c:tx>
          <c:overlay val="0"/>
        </c:title>
        <c:numFmt formatCode="General" sourceLinked="1"/>
        <c:majorTickMark val="out"/>
        <c:minorTickMark val="none"/>
        <c:tickLblPos val="nextTo"/>
        <c:crossAx val="1786138559"/>
        <c:crosses val="autoZero"/>
        <c:crossBetween val="midCat"/>
      </c:valAx>
      <c:valAx>
        <c:axId val="1786138559"/>
        <c:scaling>
          <c:orientation val="minMax"/>
        </c:scaling>
        <c:delete val="0"/>
        <c:axPos val="l"/>
        <c:title>
          <c:tx>
            <c:rich>
              <a:bodyPr/>
              <a:lstStyle/>
              <a:p>
                <a:pPr>
                  <a:defRPr/>
                </a:pPr>
                <a:r>
                  <a:rPr lang="en-GB"/>
                  <a:t>Cost (£)</a:t>
                </a:r>
              </a:p>
            </c:rich>
          </c:tx>
          <c:overlay val="0"/>
        </c:title>
        <c:numFmt formatCode="General" sourceLinked="1"/>
        <c:majorTickMark val="out"/>
        <c:minorTickMark val="none"/>
        <c:tickLblPos val="nextTo"/>
        <c:crossAx val="178613759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Wingspan (m)  Residual Plot</a:t>
            </a:r>
          </a:p>
        </c:rich>
      </c:tx>
      <c:overlay val="0"/>
    </c:title>
    <c:autoTitleDeleted val="0"/>
    <c:plotArea>
      <c:layout/>
      <c:scatterChart>
        <c:scatterStyle val="lineMarker"/>
        <c:varyColors val="0"/>
        <c:ser>
          <c:idx val="0"/>
          <c:order val="0"/>
          <c:spPr>
            <a:ln w="38100">
              <a:noFill/>
            </a:ln>
          </c:spPr>
          <c:xVal>
            <c:numRef>
              <c:f>Income!$C$105:$C$116</c:f>
              <c:numCache>
                <c:formatCode>General</c:formatCode>
                <c:ptCount val="12"/>
                <c:pt idx="0">
                  <c:v>2.4900000000000002</c:v>
                </c:pt>
                <c:pt idx="1">
                  <c:v>20.100000000000001</c:v>
                </c:pt>
                <c:pt idx="2">
                  <c:v>1.32</c:v>
                </c:pt>
                <c:pt idx="3">
                  <c:v>10.9</c:v>
                </c:pt>
                <c:pt idx="4">
                  <c:v>4.9000000000000004</c:v>
                </c:pt>
                <c:pt idx="5">
                  <c:v>0.91</c:v>
                </c:pt>
                <c:pt idx="6">
                  <c:v>2.2999999999999998</c:v>
                </c:pt>
                <c:pt idx="7">
                  <c:v>0.8</c:v>
                </c:pt>
                <c:pt idx="8">
                  <c:v>5</c:v>
                </c:pt>
                <c:pt idx="9">
                  <c:v>5</c:v>
                </c:pt>
                <c:pt idx="10">
                  <c:v>3</c:v>
                </c:pt>
                <c:pt idx="11">
                  <c:v>2</c:v>
                </c:pt>
              </c:numCache>
            </c:numRef>
          </c:xVal>
          <c:yVal>
            <c:numRef>
              <c:f>Income!$D$147:$D$158</c:f>
              <c:numCache>
                <c:formatCode>General</c:formatCode>
                <c:ptCount val="12"/>
                <c:pt idx="0">
                  <c:v>620040.70665735099</c:v>
                </c:pt>
                <c:pt idx="1">
                  <c:v>139252.62999882549</c:v>
                </c:pt>
                <c:pt idx="2">
                  <c:v>1972086.2517845784</c:v>
                </c:pt>
                <c:pt idx="3">
                  <c:v>4188670.5916830096</c:v>
                </c:pt>
                <c:pt idx="4">
                  <c:v>-1500839.4333055699</c:v>
                </c:pt>
                <c:pt idx="5">
                  <c:v>2426136.4000770254</c:v>
                </c:pt>
                <c:pt idx="6">
                  <c:v>-147960.44413395319</c:v>
                </c:pt>
                <c:pt idx="7">
                  <c:v>2397662.0496189017</c:v>
                </c:pt>
                <c:pt idx="8">
                  <c:v>-4636680.9328890936</c:v>
                </c:pt>
                <c:pt idx="9">
                  <c:v>-4567680.9328890936</c:v>
                </c:pt>
                <c:pt idx="10">
                  <c:v>-1230850.9412186192</c:v>
                </c:pt>
                <c:pt idx="11">
                  <c:v>340164.0546166175</c:v>
                </c:pt>
              </c:numCache>
            </c:numRef>
          </c:yVal>
          <c:smooth val="0"/>
          <c:extLst>
            <c:ext xmlns:c16="http://schemas.microsoft.com/office/drawing/2014/chart" uri="{C3380CC4-5D6E-409C-BE32-E72D297353CC}">
              <c16:uniqueId val="{00000001-1462-431C-B19D-CE8E5A808DBF}"/>
            </c:ext>
          </c:extLst>
        </c:ser>
        <c:dLbls>
          <c:showLegendKey val="0"/>
          <c:showVal val="0"/>
          <c:showCatName val="0"/>
          <c:showSerName val="0"/>
          <c:showPercent val="0"/>
          <c:showBubbleSize val="0"/>
        </c:dLbls>
        <c:axId val="1892097215"/>
        <c:axId val="1844370463"/>
      </c:scatterChart>
      <c:valAx>
        <c:axId val="1892097215"/>
        <c:scaling>
          <c:orientation val="minMax"/>
        </c:scaling>
        <c:delete val="0"/>
        <c:axPos val="b"/>
        <c:title>
          <c:tx>
            <c:rich>
              <a:bodyPr/>
              <a:lstStyle/>
              <a:p>
                <a:pPr>
                  <a:defRPr/>
                </a:pPr>
                <a:r>
                  <a:rPr lang="en-GB"/>
                  <a:t>Wingspan (m)</a:t>
                </a:r>
              </a:p>
            </c:rich>
          </c:tx>
          <c:overlay val="0"/>
        </c:title>
        <c:numFmt formatCode="General" sourceLinked="1"/>
        <c:majorTickMark val="out"/>
        <c:minorTickMark val="none"/>
        <c:tickLblPos val="nextTo"/>
        <c:crossAx val="1844370463"/>
        <c:crosses val="autoZero"/>
        <c:crossBetween val="midCat"/>
      </c:valAx>
      <c:valAx>
        <c:axId val="1844370463"/>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189209721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Wingspan (m) Line Fit  Plot</a:t>
            </a:r>
          </a:p>
        </c:rich>
      </c:tx>
      <c:overlay val="0"/>
    </c:title>
    <c:autoTitleDeleted val="0"/>
    <c:plotArea>
      <c:layout/>
      <c:scatterChart>
        <c:scatterStyle val="lineMarker"/>
        <c:varyColors val="0"/>
        <c:ser>
          <c:idx val="0"/>
          <c:order val="0"/>
          <c:tx>
            <c:v>Cost (£)</c:v>
          </c:tx>
          <c:spPr>
            <a:ln w="38100">
              <a:noFill/>
            </a:ln>
          </c:spPr>
          <c:xVal>
            <c:numRef>
              <c:f>Income!$C$105:$C$116</c:f>
              <c:numCache>
                <c:formatCode>General</c:formatCode>
                <c:ptCount val="12"/>
                <c:pt idx="0">
                  <c:v>2.4900000000000002</c:v>
                </c:pt>
                <c:pt idx="1">
                  <c:v>20.100000000000001</c:v>
                </c:pt>
                <c:pt idx="2">
                  <c:v>1.32</c:v>
                </c:pt>
                <c:pt idx="3">
                  <c:v>10.9</c:v>
                </c:pt>
                <c:pt idx="4">
                  <c:v>4.9000000000000004</c:v>
                </c:pt>
                <c:pt idx="5">
                  <c:v>0.91</c:v>
                </c:pt>
                <c:pt idx="6">
                  <c:v>2.2999999999999998</c:v>
                </c:pt>
                <c:pt idx="7">
                  <c:v>0.8</c:v>
                </c:pt>
                <c:pt idx="8">
                  <c:v>5</c:v>
                </c:pt>
                <c:pt idx="9">
                  <c:v>5</c:v>
                </c:pt>
                <c:pt idx="10">
                  <c:v>3</c:v>
                </c:pt>
                <c:pt idx="11">
                  <c:v>2</c:v>
                </c:pt>
              </c:numCache>
            </c:numRef>
          </c:xVal>
          <c:yVal>
            <c:numRef>
              <c:f>Income!$D$105:$D$116</c:f>
              <c:numCache>
                <c:formatCode>General</c:formatCode>
                <c:ptCount val="12"/>
                <c:pt idx="0">
                  <c:v>1100000</c:v>
                </c:pt>
                <c:pt idx="1">
                  <c:v>30000000</c:v>
                </c:pt>
                <c:pt idx="2">
                  <c:v>500000</c:v>
                </c:pt>
                <c:pt idx="3">
                  <c:v>18700000</c:v>
                </c:pt>
                <c:pt idx="4">
                  <c:v>3000000</c:v>
                </c:pt>
                <c:pt idx="5">
                  <c:v>270000</c:v>
                </c:pt>
                <c:pt idx="6">
                  <c:v>15000</c:v>
                </c:pt>
                <c:pt idx="7">
                  <c:v>58000</c:v>
                </c:pt>
                <c:pt idx="8">
                  <c:v>31000</c:v>
                </c:pt>
                <c:pt idx="9">
                  <c:v>100000</c:v>
                </c:pt>
                <c:pt idx="10">
                  <c:v>100000</c:v>
                </c:pt>
                <c:pt idx="11">
                  <c:v>2600</c:v>
                </c:pt>
              </c:numCache>
            </c:numRef>
          </c:yVal>
          <c:smooth val="0"/>
          <c:extLst>
            <c:ext xmlns:c16="http://schemas.microsoft.com/office/drawing/2014/chart" uri="{C3380CC4-5D6E-409C-BE32-E72D297353CC}">
              <c16:uniqueId val="{00000001-9216-414D-8855-6D19FECB75BC}"/>
            </c:ext>
          </c:extLst>
        </c:ser>
        <c:ser>
          <c:idx val="1"/>
          <c:order val="1"/>
          <c:tx>
            <c:v>Predicted Cost (£)</c:v>
          </c:tx>
          <c:spPr>
            <a:ln w="38100">
              <a:noFill/>
            </a:ln>
          </c:spPr>
          <c:xVal>
            <c:numRef>
              <c:f>Income!$C$105:$C$116</c:f>
              <c:numCache>
                <c:formatCode>General</c:formatCode>
                <c:ptCount val="12"/>
                <c:pt idx="0">
                  <c:v>2.4900000000000002</c:v>
                </c:pt>
                <c:pt idx="1">
                  <c:v>20.100000000000001</c:v>
                </c:pt>
                <c:pt idx="2">
                  <c:v>1.32</c:v>
                </c:pt>
                <c:pt idx="3">
                  <c:v>10.9</c:v>
                </c:pt>
                <c:pt idx="4">
                  <c:v>4.9000000000000004</c:v>
                </c:pt>
                <c:pt idx="5">
                  <c:v>0.91</c:v>
                </c:pt>
                <c:pt idx="6">
                  <c:v>2.2999999999999998</c:v>
                </c:pt>
                <c:pt idx="7">
                  <c:v>0.8</c:v>
                </c:pt>
                <c:pt idx="8">
                  <c:v>5</c:v>
                </c:pt>
                <c:pt idx="9">
                  <c:v>5</c:v>
                </c:pt>
                <c:pt idx="10">
                  <c:v>3</c:v>
                </c:pt>
                <c:pt idx="11">
                  <c:v>2</c:v>
                </c:pt>
              </c:numCache>
            </c:numRef>
          </c:xVal>
          <c:yVal>
            <c:numRef>
              <c:f>Income!$C$147:$C$158</c:f>
              <c:numCache>
                <c:formatCode>General</c:formatCode>
                <c:ptCount val="12"/>
                <c:pt idx="0">
                  <c:v>479959.29334264901</c:v>
                </c:pt>
                <c:pt idx="1">
                  <c:v>29860747.370001175</c:v>
                </c:pt>
                <c:pt idx="2">
                  <c:v>-1472086.2517845784</c:v>
                </c:pt>
                <c:pt idx="3">
                  <c:v>14511329.40831699</c:v>
                </c:pt>
                <c:pt idx="4">
                  <c:v>4500839.4333055699</c:v>
                </c:pt>
                <c:pt idx="5">
                  <c:v>-2156136.4000770254</c:v>
                </c:pt>
                <c:pt idx="6">
                  <c:v>162960.44413395319</c:v>
                </c:pt>
                <c:pt idx="7">
                  <c:v>-2339662.0496189017</c:v>
                </c:pt>
                <c:pt idx="8">
                  <c:v>4667680.9328890936</c:v>
                </c:pt>
                <c:pt idx="9">
                  <c:v>4667680.9328890936</c:v>
                </c:pt>
                <c:pt idx="10">
                  <c:v>1330850.9412186192</c:v>
                </c:pt>
                <c:pt idx="11">
                  <c:v>-337564.0546166175</c:v>
                </c:pt>
              </c:numCache>
            </c:numRef>
          </c:yVal>
          <c:smooth val="0"/>
          <c:extLst>
            <c:ext xmlns:c16="http://schemas.microsoft.com/office/drawing/2014/chart" uri="{C3380CC4-5D6E-409C-BE32-E72D297353CC}">
              <c16:uniqueId val="{00000002-9216-414D-8855-6D19FECB75BC}"/>
            </c:ext>
          </c:extLst>
        </c:ser>
        <c:dLbls>
          <c:showLegendKey val="0"/>
          <c:showVal val="0"/>
          <c:showCatName val="0"/>
          <c:showSerName val="0"/>
          <c:showPercent val="0"/>
          <c:showBubbleSize val="0"/>
        </c:dLbls>
        <c:axId val="1621128095"/>
        <c:axId val="1621128575"/>
      </c:scatterChart>
      <c:valAx>
        <c:axId val="1621128095"/>
        <c:scaling>
          <c:orientation val="minMax"/>
        </c:scaling>
        <c:delete val="0"/>
        <c:axPos val="b"/>
        <c:title>
          <c:tx>
            <c:rich>
              <a:bodyPr/>
              <a:lstStyle/>
              <a:p>
                <a:pPr>
                  <a:defRPr/>
                </a:pPr>
                <a:r>
                  <a:rPr lang="en-GB"/>
                  <a:t>Wingspan (m)</a:t>
                </a:r>
              </a:p>
            </c:rich>
          </c:tx>
          <c:overlay val="0"/>
        </c:title>
        <c:numFmt formatCode="General" sourceLinked="1"/>
        <c:majorTickMark val="out"/>
        <c:minorTickMark val="none"/>
        <c:tickLblPos val="nextTo"/>
        <c:crossAx val="1621128575"/>
        <c:crosses val="autoZero"/>
        <c:crossBetween val="midCat"/>
      </c:valAx>
      <c:valAx>
        <c:axId val="1621128575"/>
        <c:scaling>
          <c:orientation val="minMax"/>
        </c:scaling>
        <c:delete val="0"/>
        <c:axPos val="l"/>
        <c:title>
          <c:tx>
            <c:rich>
              <a:bodyPr/>
              <a:lstStyle/>
              <a:p>
                <a:pPr>
                  <a:defRPr/>
                </a:pPr>
                <a:r>
                  <a:rPr lang="en-GB"/>
                  <a:t>Cost (£)</a:t>
                </a:r>
              </a:p>
            </c:rich>
          </c:tx>
          <c:overlay val="0"/>
        </c:title>
        <c:numFmt formatCode="General" sourceLinked="1"/>
        <c:majorTickMark val="out"/>
        <c:minorTickMark val="none"/>
        <c:tickLblPos val="nextTo"/>
        <c:crossAx val="1621128095"/>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Normal Probability Plot</a:t>
            </a:r>
          </a:p>
        </c:rich>
      </c:tx>
      <c:overlay val="0"/>
    </c:title>
    <c:autoTitleDeleted val="0"/>
    <c:plotArea>
      <c:layout/>
      <c:scatterChart>
        <c:scatterStyle val="lineMarker"/>
        <c:varyColors val="0"/>
        <c:ser>
          <c:idx val="0"/>
          <c:order val="0"/>
          <c:spPr>
            <a:ln w="38100">
              <a:noFill/>
            </a:ln>
          </c:spPr>
          <c:xVal>
            <c:numRef>
              <c:f>Income!$G$147:$G$158</c:f>
              <c:numCache>
                <c:formatCode>General</c:formatCode>
                <c:ptCount val="12"/>
                <c:pt idx="0">
                  <c:v>4.166666666666667</c:v>
                </c:pt>
                <c:pt idx="1">
                  <c:v>12.5</c:v>
                </c:pt>
                <c:pt idx="2">
                  <c:v>20.833333333333336</c:v>
                </c:pt>
                <c:pt idx="3">
                  <c:v>29.166666666666668</c:v>
                </c:pt>
                <c:pt idx="4">
                  <c:v>37.5</c:v>
                </c:pt>
                <c:pt idx="5">
                  <c:v>45.833333333333336</c:v>
                </c:pt>
                <c:pt idx="6">
                  <c:v>54.166666666666664</c:v>
                </c:pt>
                <c:pt idx="7">
                  <c:v>62.5</c:v>
                </c:pt>
                <c:pt idx="8">
                  <c:v>70.833333333333343</c:v>
                </c:pt>
                <c:pt idx="9">
                  <c:v>79.166666666666671</c:v>
                </c:pt>
                <c:pt idx="10">
                  <c:v>87.500000000000014</c:v>
                </c:pt>
                <c:pt idx="11">
                  <c:v>95.833333333333343</c:v>
                </c:pt>
              </c:numCache>
            </c:numRef>
          </c:xVal>
          <c:yVal>
            <c:numRef>
              <c:f>Income!$H$147:$H$158</c:f>
              <c:numCache>
                <c:formatCode>General</c:formatCode>
                <c:ptCount val="12"/>
                <c:pt idx="0">
                  <c:v>2600</c:v>
                </c:pt>
                <c:pt idx="1">
                  <c:v>15000</c:v>
                </c:pt>
                <c:pt idx="2">
                  <c:v>31000</c:v>
                </c:pt>
                <c:pt idx="3">
                  <c:v>58000</c:v>
                </c:pt>
                <c:pt idx="4">
                  <c:v>100000</c:v>
                </c:pt>
                <c:pt idx="5">
                  <c:v>100000</c:v>
                </c:pt>
                <c:pt idx="6">
                  <c:v>270000</c:v>
                </c:pt>
                <c:pt idx="7">
                  <c:v>500000</c:v>
                </c:pt>
                <c:pt idx="8">
                  <c:v>1100000</c:v>
                </c:pt>
                <c:pt idx="9">
                  <c:v>3000000</c:v>
                </c:pt>
                <c:pt idx="10">
                  <c:v>18700000</c:v>
                </c:pt>
                <c:pt idx="11">
                  <c:v>30000000</c:v>
                </c:pt>
              </c:numCache>
            </c:numRef>
          </c:yVal>
          <c:smooth val="0"/>
          <c:extLst>
            <c:ext xmlns:c16="http://schemas.microsoft.com/office/drawing/2014/chart" uri="{C3380CC4-5D6E-409C-BE32-E72D297353CC}">
              <c16:uniqueId val="{00000001-1433-4808-8B73-1AADC1CD8DC7}"/>
            </c:ext>
          </c:extLst>
        </c:ser>
        <c:dLbls>
          <c:showLegendKey val="0"/>
          <c:showVal val="0"/>
          <c:showCatName val="0"/>
          <c:showSerName val="0"/>
          <c:showPercent val="0"/>
          <c:showBubbleSize val="0"/>
        </c:dLbls>
        <c:axId val="1819155279"/>
        <c:axId val="1819155759"/>
      </c:scatterChart>
      <c:valAx>
        <c:axId val="1819155279"/>
        <c:scaling>
          <c:orientation val="minMax"/>
        </c:scaling>
        <c:delete val="0"/>
        <c:axPos val="b"/>
        <c:title>
          <c:tx>
            <c:rich>
              <a:bodyPr/>
              <a:lstStyle/>
              <a:p>
                <a:pPr>
                  <a:defRPr/>
                </a:pPr>
                <a:r>
                  <a:rPr lang="en-GB"/>
                  <a:t>Sample Percentile</a:t>
                </a:r>
              </a:p>
            </c:rich>
          </c:tx>
          <c:overlay val="0"/>
        </c:title>
        <c:numFmt formatCode="General" sourceLinked="1"/>
        <c:majorTickMark val="out"/>
        <c:minorTickMark val="none"/>
        <c:tickLblPos val="nextTo"/>
        <c:crossAx val="1819155759"/>
        <c:crosses val="autoZero"/>
        <c:crossBetween val="midCat"/>
      </c:valAx>
      <c:valAx>
        <c:axId val="1819155759"/>
        <c:scaling>
          <c:orientation val="minMax"/>
        </c:scaling>
        <c:delete val="0"/>
        <c:axPos val="l"/>
        <c:title>
          <c:tx>
            <c:rich>
              <a:bodyPr/>
              <a:lstStyle/>
              <a:p>
                <a:pPr>
                  <a:defRPr/>
                </a:pPr>
                <a:r>
                  <a:rPr lang="en-GB"/>
                  <a:t>Cost (£)</a:t>
                </a:r>
              </a:p>
            </c:rich>
          </c:tx>
          <c:overlay val="0"/>
        </c:title>
        <c:numFmt formatCode="General" sourceLinked="1"/>
        <c:majorTickMark val="out"/>
        <c:minorTickMark val="none"/>
        <c:tickLblPos val="nextTo"/>
        <c:crossAx val="181915527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Historical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'R&amp;D'!$E$48</c:f>
              <c:strCache>
                <c:ptCount val="1"/>
                <c:pt idx="0">
                  <c:v>Percentage</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1"/>
            <c:dispEq val="1"/>
            <c:trendlineLbl>
              <c:layout>
                <c:manualLayout>
                  <c:x val="-4.1455161854768156E-2"/>
                  <c:y val="0.1228058471857684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'R&amp;D'!$D$49:$D$57</c:f>
              <c:numCache>
                <c:formatCode>General</c:formatCode>
                <c:ptCount val="9"/>
                <c:pt idx="0">
                  <c:v>2014</c:v>
                </c:pt>
                <c:pt idx="1">
                  <c:v>2015</c:v>
                </c:pt>
                <c:pt idx="2">
                  <c:v>2016</c:v>
                </c:pt>
                <c:pt idx="3">
                  <c:v>2017</c:v>
                </c:pt>
                <c:pt idx="4">
                  <c:v>2018</c:v>
                </c:pt>
                <c:pt idx="5">
                  <c:v>2019</c:v>
                </c:pt>
                <c:pt idx="6">
                  <c:v>2020</c:v>
                </c:pt>
                <c:pt idx="7">
                  <c:v>2021</c:v>
                </c:pt>
                <c:pt idx="8">
                  <c:v>2022</c:v>
                </c:pt>
              </c:numCache>
            </c:numRef>
          </c:cat>
          <c:val>
            <c:numRef>
              <c:f>'R&amp;D'!$E$49:$E$57</c:f>
              <c:numCache>
                <c:formatCode>General</c:formatCode>
                <c:ptCount val="9"/>
                <c:pt idx="0">
                  <c:v>67.868581093238333</c:v>
                </c:pt>
                <c:pt idx="1">
                  <c:v>89.574379065079313</c:v>
                </c:pt>
                <c:pt idx="2">
                  <c:v>64.917284654877349</c:v>
                </c:pt>
                <c:pt idx="3">
                  <c:v>78.276218881246578</c:v>
                </c:pt>
                <c:pt idx="4">
                  <c:v>71.207734210138881</c:v>
                </c:pt>
                <c:pt idx="5">
                  <c:v>61.855279126213588</c:v>
                </c:pt>
                <c:pt idx="6">
                  <c:v>61.493089870895886</c:v>
                </c:pt>
                <c:pt idx="7">
                  <c:v>51.644069606063837</c:v>
                </c:pt>
                <c:pt idx="8">
                  <c:v>46.77826754494577</c:v>
                </c:pt>
              </c:numCache>
            </c:numRef>
          </c:val>
          <c:smooth val="0"/>
          <c:extLst>
            <c:ext xmlns:c16="http://schemas.microsoft.com/office/drawing/2014/chart" uri="{C3380CC4-5D6E-409C-BE32-E72D297353CC}">
              <c16:uniqueId val="{00000001-07FB-4471-8E11-F30E8DB82045}"/>
            </c:ext>
          </c:extLst>
        </c:ser>
        <c:dLbls>
          <c:showLegendKey val="0"/>
          <c:showVal val="0"/>
          <c:showCatName val="0"/>
          <c:showSerName val="0"/>
          <c:showPercent val="0"/>
          <c:showBubbleSize val="0"/>
        </c:dLbls>
        <c:smooth val="0"/>
        <c:axId val="1251962527"/>
        <c:axId val="1251964447"/>
      </c:lineChart>
      <c:catAx>
        <c:axId val="1251962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64447"/>
        <c:crosses val="autoZero"/>
        <c:auto val="1"/>
        <c:lblAlgn val="ctr"/>
        <c:lblOffset val="100"/>
        <c:noMultiLvlLbl val="0"/>
      </c:catAx>
      <c:valAx>
        <c:axId val="12519644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Percentage</a:t>
                </a:r>
                <a:r>
                  <a:rPr lang="en-GB" baseline="0"/>
                  <a:t> of revenue spent on R&amp;D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62527"/>
        <c:crosses val="autoZero"/>
        <c:crossBetween val="between"/>
      </c:valAx>
      <c:spPr>
        <a:noFill/>
        <a:ln>
          <a:noFill/>
        </a:ln>
        <a:effectLst/>
      </c:spPr>
    </c:plotArea>
    <c:legend>
      <c:legendPos val="r"/>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Projection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0"/>
          <c:tx>
            <c:strRef>
              <c:f>'R&amp;D'!$O$48</c:f>
              <c:strCache>
                <c:ptCount val="1"/>
                <c:pt idx="0">
                  <c:v>Percentage of revenue spent on R&amp;D</c:v>
                </c:pt>
              </c:strCache>
            </c:strRef>
          </c:tx>
          <c:spPr>
            <a:ln w="28575" cap="rnd">
              <a:solidFill>
                <a:schemeClr val="accent4"/>
              </a:solidFill>
              <a:round/>
            </a:ln>
            <a:effectLst/>
          </c:spPr>
          <c:marker>
            <c:symbol val="none"/>
          </c:marker>
          <c:cat>
            <c:numRef>
              <c:f>'R&amp;D'!$I$50:$I$56</c:f>
              <c:numCache>
                <c:formatCode>General</c:formatCode>
                <c:ptCount val="7"/>
                <c:pt idx="0">
                  <c:v>2023</c:v>
                </c:pt>
                <c:pt idx="1">
                  <c:v>2024</c:v>
                </c:pt>
                <c:pt idx="2">
                  <c:v>2025</c:v>
                </c:pt>
                <c:pt idx="3">
                  <c:v>2026</c:v>
                </c:pt>
                <c:pt idx="4">
                  <c:v>2027</c:v>
                </c:pt>
                <c:pt idx="5">
                  <c:v>2028</c:v>
                </c:pt>
                <c:pt idx="6">
                  <c:v>2029</c:v>
                </c:pt>
              </c:numCache>
            </c:numRef>
          </c:cat>
          <c:val>
            <c:numRef>
              <c:f>'R&amp;D'!$J$50:$J$56</c:f>
              <c:numCache>
                <c:formatCode>General</c:formatCode>
                <c:ptCount val="7"/>
                <c:pt idx="0">
                  <c:v>47.505418903642749</c:v>
                </c:pt>
                <c:pt idx="1">
                  <c:v>43.815060372089647</c:v>
                </c:pt>
                <c:pt idx="2">
                  <c:v>40.124701840535636</c:v>
                </c:pt>
                <c:pt idx="3">
                  <c:v>36.434343308982534</c:v>
                </c:pt>
                <c:pt idx="4">
                  <c:v>32.743984777428523</c:v>
                </c:pt>
                <c:pt idx="5">
                  <c:v>29.053626245875421</c:v>
                </c:pt>
                <c:pt idx="6">
                  <c:v>25.36326771432141</c:v>
                </c:pt>
              </c:numCache>
            </c:numRef>
          </c:val>
          <c:smooth val="0"/>
          <c:extLst>
            <c:ext xmlns:c16="http://schemas.microsoft.com/office/drawing/2014/chart" uri="{C3380CC4-5D6E-409C-BE32-E72D297353CC}">
              <c16:uniqueId val="{0000000A-8FC4-4F58-A8BC-68FE2DC797EC}"/>
            </c:ext>
          </c:extLst>
        </c:ser>
        <c:ser>
          <c:idx val="0"/>
          <c:order val="1"/>
          <c:tx>
            <c:strRef>
              <c:f>'R&amp;D'!$K$49</c:f>
              <c:strCache>
                <c:ptCount val="1"/>
                <c:pt idx="0">
                  <c:v>Upper</c:v>
                </c:pt>
              </c:strCache>
            </c:strRef>
          </c:tx>
          <c:spPr>
            <a:ln w="12700" cap="rnd">
              <a:solidFill>
                <a:schemeClr val="accent1"/>
              </a:solidFill>
              <a:prstDash val="sysDash"/>
              <a:round/>
            </a:ln>
            <a:effectLst/>
          </c:spPr>
          <c:marker>
            <c:symbol val="none"/>
          </c:marker>
          <c:val>
            <c:numRef>
              <c:f>'R&amp;D'!$K$50:$K$56</c:f>
              <c:numCache>
                <c:formatCode>General</c:formatCode>
                <c:ptCount val="7"/>
                <c:pt idx="0">
                  <c:v>73.037038716365927</c:v>
                </c:pt>
                <c:pt idx="1">
                  <c:v>70.835187009335655</c:v>
                </c:pt>
                <c:pt idx="2">
                  <c:v>68.804544160421642</c:v>
                </c:pt>
                <c:pt idx="3">
                  <c:v>66.917157258215923</c:v>
                </c:pt>
                <c:pt idx="4">
                  <c:v>65.14912350268277</c:v>
                </c:pt>
                <c:pt idx="5">
                  <c:v>63.480455378278926</c:v>
                </c:pt>
                <c:pt idx="6">
                  <c:v>61.894659573786356</c:v>
                </c:pt>
              </c:numCache>
            </c:numRef>
          </c:val>
          <c:smooth val="0"/>
          <c:extLst>
            <c:ext xmlns:c16="http://schemas.microsoft.com/office/drawing/2014/chart" uri="{C3380CC4-5D6E-409C-BE32-E72D297353CC}">
              <c16:uniqueId val="{0000000B-8FC4-4F58-A8BC-68FE2DC797EC}"/>
            </c:ext>
          </c:extLst>
        </c:ser>
        <c:ser>
          <c:idx val="1"/>
          <c:order val="2"/>
          <c:tx>
            <c:strRef>
              <c:f>'R&amp;D'!$L$49</c:f>
              <c:strCache>
                <c:ptCount val="1"/>
                <c:pt idx="0">
                  <c:v>Lower</c:v>
                </c:pt>
              </c:strCache>
            </c:strRef>
          </c:tx>
          <c:spPr>
            <a:ln w="12700" cap="rnd">
              <a:solidFill>
                <a:schemeClr val="accent2"/>
              </a:solidFill>
              <a:prstDash val="sysDash"/>
              <a:round/>
            </a:ln>
            <a:effectLst/>
          </c:spPr>
          <c:marker>
            <c:symbol val="none"/>
          </c:marker>
          <c:val>
            <c:numRef>
              <c:f>'R&amp;D'!$L$50:$L$56</c:f>
              <c:numCache>
                <c:formatCode>General</c:formatCode>
                <c:ptCount val="7"/>
                <c:pt idx="0">
                  <c:v>21.973799090919567</c:v>
                </c:pt>
                <c:pt idx="1">
                  <c:v>16.794933734843635</c:v>
                </c:pt>
                <c:pt idx="2">
                  <c:v>11.444859520649626</c:v>
                </c:pt>
                <c:pt idx="3">
                  <c:v>5.9515293597491379</c:v>
                </c:pt>
                <c:pt idx="4">
                  <c:v>0.33884605217427577</c:v>
                </c:pt>
                <c:pt idx="5">
                  <c:v>-5.3732028865280839</c:v>
                </c:pt>
                <c:pt idx="6">
                  <c:v>-11.168124145143537</c:v>
                </c:pt>
              </c:numCache>
            </c:numRef>
          </c:val>
          <c:smooth val="0"/>
          <c:extLst>
            <c:ext xmlns:c16="http://schemas.microsoft.com/office/drawing/2014/chart" uri="{C3380CC4-5D6E-409C-BE32-E72D297353CC}">
              <c16:uniqueId val="{0000000C-8FC4-4F58-A8BC-68FE2DC797EC}"/>
            </c:ext>
          </c:extLst>
        </c:ser>
        <c:dLbls>
          <c:showLegendKey val="0"/>
          <c:showVal val="0"/>
          <c:showCatName val="0"/>
          <c:showSerName val="0"/>
          <c:showPercent val="0"/>
          <c:showBubbleSize val="0"/>
        </c:dLbls>
        <c:smooth val="0"/>
        <c:axId val="1286145536"/>
        <c:axId val="1286148416"/>
      </c:lineChart>
      <c:catAx>
        <c:axId val="1286145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148416"/>
        <c:crosses val="autoZero"/>
        <c:auto val="1"/>
        <c:lblAlgn val="ctr"/>
        <c:lblOffset val="100"/>
        <c:noMultiLvlLbl val="0"/>
      </c:catAx>
      <c:valAx>
        <c:axId val="1286148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Percentage</a:t>
                </a:r>
                <a:r>
                  <a:rPr lang="en-GB" baseline="0"/>
                  <a:t> of revenue spent on R&amp;D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14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1905</xdr:colOff>
      <xdr:row>54</xdr:row>
      <xdr:rowOff>17145</xdr:rowOff>
    </xdr:from>
    <xdr:to>
      <xdr:col>1</xdr:col>
      <xdr:colOff>2914650</xdr:colOff>
      <xdr:row>62</xdr:row>
      <xdr:rowOff>9525</xdr:rowOff>
    </xdr:to>
    <xdr:graphicFrame macro="">
      <xdr:nvGraphicFramePr>
        <xdr:cNvPr id="2" name="Chart 1">
          <a:extLst>
            <a:ext uri="{FF2B5EF4-FFF2-40B4-BE49-F238E27FC236}">
              <a16:creationId xmlns:a16="http://schemas.microsoft.com/office/drawing/2014/main" id="{D54075B3-A6F1-3417-5C5A-9CB8A18859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3145155</xdr:colOff>
      <xdr:row>54</xdr:row>
      <xdr:rowOff>24765</xdr:rowOff>
    </xdr:from>
    <xdr:to>
      <xdr:col>4</xdr:col>
      <xdr:colOff>1243965</xdr:colOff>
      <xdr:row>62</xdr:row>
      <xdr:rowOff>15240</xdr:rowOff>
    </xdr:to>
    <xdr:graphicFrame macro="">
      <xdr:nvGraphicFramePr>
        <xdr:cNvPr id="3" name="Chart 2">
          <a:extLst>
            <a:ext uri="{FF2B5EF4-FFF2-40B4-BE49-F238E27FC236}">
              <a16:creationId xmlns:a16="http://schemas.microsoft.com/office/drawing/2014/main" id="{77FCB0E9-C510-9429-057C-473C0B40AB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15240</xdr:colOff>
      <xdr:row>63</xdr:row>
      <xdr:rowOff>15240</xdr:rowOff>
    </xdr:from>
    <xdr:to>
      <xdr:col>4</xdr:col>
      <xdr:colOff>1238250</xdr:colOff>
      <xdr:row>78</xdr:row>
      <xdr:rowOff>161925</xdr:rowOff>
    </xdr:to>
    <xdr:graphicFrame macro="">
      <xdr:nvGraphicFramePr>
        <xdr:cNvPr id="4" name="Chart 3">
          <a:extLst>
            <a:ext uri="{FF2B5EF4-FFF2-40B4-BE49-F238E27FC236}">
              <a16:creationId xmlns:a16="http://schemas.microsoft.com/office/drawing/2014/main" id="{7FE15892-1942-ED76-F120-737C1A910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11429</xdr:colOff>
      <xdr:row>80</xdr:row>
      <xdr:rowOff>19050</xdr:rowOff>
    </xdr:from>
    <xdr:to>
      <xdr:col>4</xdr:col>
      <xdr:colOff>1266824</xdr:colOff>
      <xdr:row>96</xdr:row>
      <xdr:rowOff>171450</xdr:rowOff>
    </xdr:to>
    <xdr:graphicFrame macro="">
      <xdr:nvGraphicFramePr>
        <xdr:cNvPr id="5" name="Chart 4">
          <a:extLst>
            <a:ext uri="{FF2B5EF4-FFF2-40B4-BE49-F238E27FC236}">
              <a16:creationId xmlns:a16="http://schemas.microsoft.com/office/drawing/2014/main" id="{6D3171A0-91F1-B4D5-2F1B-A9730E2CBE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727983</xdr:colOff>
      <xdr:row>64</xdr:row>
      <xdr:rowOff>102871</xdr:rowOff>
    </xdr:from>
    <xdr:to>
      <xdr:col>18</xdr:col>
      <xdr:colOff>195128</xdr:colOff>
      <xdr:row>74</xdr:row>
      <xdr:rowOff>125459</xdr:rowOff>
    </xdr:to>
    <xdr:graphicFrame macro="">
      <xdr:nvGraphicFramePr>
        <xdr:cNvPr id="6" name="Chart 5">
          <a:extLst>
            <a:ext uri="{FF2B5EF4-FFF2-40B4-BE49-F238E27FC236}">
              <a16:creationId xmlns:a16="http://schemas.microsoft.com/office/drawing/2014/main" id="{C65CC5E2-A6A1-6FBE-1F3E-91EC07D15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38100</xdr:colOff>
      <xdr:row>78</xdr:row>
      <xdr:rowOff>19050</xdr:rowOff>
    </xdr:from>
    <xdr:to>
      <xdr:col>12</xdr:col>
      <xdr:colOff>723900</xdr:colOff>
      <xdr:row>97</xdr:row>
      <xdr:rowOff>0</xdr:rowOff>
    </xdr:to>
    <xdr:sp macro="" textlink="">
      <xdr:nvSpPr>
        <xdr:cNvPr id="7" name="TextBox 6">
          <a:extLst>
            <a:ext uri="{FF2B5EF4-FFF2-40B4-BE49-F238E27FC236}">
              <a16:creationId xmlns:a16="http://schemas.microsoft.com/office/drawing/2014/main" id="{60C68A21-EB7D-899F-EE54-D73DFD5A1C82}"/>
            </a:ext>
          </a:extLst>
        </xdr:cNvPr>
        <xdr:cNvSpPr txBox="1"/>
      </xdr:nvSpPr>
      <xdr:spPr>
        <a:xfrm>
          <a:off x="7572375" y="14211300"/>
          <a:ext cx="9001125" cy="3419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Due to the high p-value of the length coefficient, it is removed from the analysis as there is no statistical evidence of non-zero correlation in this regression. Wingspan alone is used - the p-value for wingpan shows statistical correlation at the 85%</a:t>
          </a:r>
          <a:r>
            <a:rPr lang="en-GB" sz="1600" baseline="0"/>
            <a:t> confidence level.</a:t>
          </a:r>
          <a:endParaRPr lang="en-GB" sz="1600"/>
        </a:p>
      </xdr:txBody>
    </xdr:sp>
    <xdr:clientData/>
  </xdr:twoCellAnchor>
  <xdr:twoCellAnchor>
    <xdr:from>
      <xdr:col>9</xdr:col>
      <xdr:colOff>24219</xdr:colOff>
      <xdr:row>166</xdr:row>
      <xdr:rowOff>129811</xdr:rowOff>
    </xdr:from>
    <xdr:to>
      <xdr:col>14</xdr:col>
      <xdr:colOff>640350</xdr:colOff>
      <xdr:row>176</xdr:row>
      <xdr:rowOff>160291</xdr:rowOff>
    </xdr:to>
    <xdr:graphicFrame macro="">
      <xdr:nvGraphicFramePr>
        <xdr:cNvPr id="9" name="Chart 8">
          <a:extLst>
            <a:ext uri="{FF2B5EF4-FFF2-40B4-BE49-F238E27FC236}">
              <a16:creationId xmlns:a16="http://schemas.microsoft.com/office/drawing/2014/main" id="{C4ABE209-8AFA-76F1-25FE-7B3479194D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210913</xdr:colOff>
      <xdr:row>159</xdr:row>
      <xdr:rowOff>56061</xdr:rowOff>
    </xdr:from>
    <xdr:to>
      <xdr:col>7</xdr:col>
      <xdr:colOff>1034142</xdr:colOff>
      <xdr:row>185</xdr:row>
      <xdr:rowOff>108857</xdr:rowOff>
    </xdr:to>
    <xdr:graphicFrame macro="">
      <xdr:nvGraphicFramePr>
        <xdr:cNvPr id="10" name="Chart 9">
          <a:extLst>
            <a:ext uri="{FF2B5EF4-FFF2-40B4-BE49-F238E27FC236}">
              <a16:creationId xmlns:a16="http://schemas.microsoft.com/office/drawing/2014/main" id="{C482B100-8C67-5406-BF5D-76B71AC86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10342</xdr:colOff>
      <xdr:row>144</xdr:row>
      <xdr:rowOff>86811</xdr:rowOff>
    </xdr:from>
    <xdr:to>
      <xdr:col>13</xdr:col>
      <xdr:colOff>84364</xdr:colOff>
      <xdr:row>154</xdr:row>
      <xdr:rowOff>97970</xdr:rowOff>
    </xdr:to>
    <xdr:graphicFrame macro="">
      <xdr:nvGraphicFramePr>
        <xdr:cNvPr id="11" name="Chart 10">
          <a:extLst>
            <a:ext uri="{FF2B5EF4-FFF2-40B4-BE49-F238E27FC236}">
              <a16:creationId xmlns:a16="http://schemas.microsoft.com/office/drawing/2014/main" id="{45404889-8CAF-F4CE-0284-08A54E8F41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0</xdr:colOff>
      <xdr:row>105</xdr:row>
      <xdr:rowOff>0</xdr:rowOff>
    </xdr:from>
    <xdr:to>
      <xdr:col>20</xdr:col>
      <xdr:colOff>508440</xdr:colOff>
      <xdr:row>112</xdr:row>
      <xdr:rowOff>47316</xdr:rowOff>
    </xdr:to>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AEFBA0C2-4663-4229-9367-C5DE8279086C}"/>
                </a:ext>
              </a:extLst>
            </xdr:cNvPr>
            <xdr:cNvSpPr txBox="1"/>
          </xdr:nvSpPr>
          <xdr:spPr>
            <a:xfrm>
              <a:off x="18437679" y="18696214"/>
              <a:ext cx="5080440" cy="1285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equation</a:t>
              </a:r>
              <a:r>
                <a:rPr lang="en-GB" sz="1100" baseline="0"/>
                <a:t> used to calculate the confidence interval for the mean response is:</a:t>
              </a:r>
            </a:p>
            <a:p>
              <a:pPr/>
              <a14:m>
                <m:oMathPara xmlns:m="http://schemas.openxmlformats.org/officeDocument/2006/math">
                  <m:oMathParaPr>
                    <m:jc m:val="centerGroup"/>
                  </m:oMathParaPr>
                  <m:oMath xmlns:m="http://schemas.openxmlformats.org/officeDocument/2006/math">
                    <m:sSub>
                      <m:sSubPr>
                        <m:ctrlPr>
                          <a:rPr lang="en-GB" sz="1100" i="1" baseline="0">
                            <a:latin typeface="Cambria Math" panose="02040503050406030204" pitchFamily="18" charset="0"/>
                          </a:rPr>
                        </m:ctrlPr>
                      </m:sSubPr>
                      <m:e>
                        <m:acc>
                          <m:accPr>
                            <m:chr m:val="̂"/>
                            <m:ctrlPr>
                              <a:rPr lang="en-GB" sz="1100" i="1" baseline="0">
                                <a:latin typeface="Cambria Math" panose="02040503050406030204" pitchFamily="18" charset="0"/>
                              </a:rPr>
                            </m:ctrlPr>
                          </m:accPr>
                          <m:e>
                            <m:r>
                              <a:rPr lang="en-GB" sz="1100" b="0" i="1" baseline="0">
                                <a:latin typeface="Cambria Math" panose="02040503050406030204" pitchFamily="18" charset="0"/>
                              </a:rPr>
                              <m:t>𝑌</m:t>
                            </m:r>
                          </m:e>
                        </m:acc>
                      </m:e>
                      <m:sub>
                        <m:r>
                          <a:rPr lang="en-GB" sz="1100" b="0" i="1" baseline="0">
                            <a:latin typeface="Cambria Math" panose="02040503050406030204" pitchFamily="18" charset="0"/>
                          </a:rPr>
                          <m:t>0</m:t>
                        </m:r>
                      </m:sub>
                    </m:sSub>
                    <m:r>
                      <a:rPr lang="en-GB" sz="1100" i="1" baseline="0">
                        <a:latin typeface="Cambria Math" panose="02040503050406030204" pitchFamily="18" charset="0"/>
                        <a:ea typeface="Cambria Math" panose="02040503050406030204" pitchFamily="18" charset="0"/>
                      </a:rPr>
                      <m:t>±</m:t>
                    </m:r>
                    <m:sSub>
                      <m:sSubPr>
                        <m:ctrlPr>
                          <a:rPr lang="en-GB" sz="1100" i="1" baseline="0">
                            <a:latin typeface="Cambria Math" panose="02040503050406030204" pitchFamily="18" charset="0"/>
                            <a:ea typeface="Cambria Math" panose="02040503050406030204" pitchFamily="18" charset="0"/>
                          </a:rPr>
                        </m:ctrlPr>
                      </m:sSubPr>
                      <m:e>
                        <m:r>
                          <a:rPr lang="en-GB" sz="1100" b="0" i="1" baseline="0">
                            <a:latin typeface="Cambria Math" panose="02040503050406030204" pitchFamily="18" charset="0"/>
                            <a:ea typeface="Cambria Math" panose="02040503050406030204" pitchFamily="18" charset="0"/>
                          </a:rPr>
                          <m:t>𝑡</m:t>
                        </m:r>
                      </m:e>
                      <m:sub>
                        <m:f>
                          <m:fPr>
                            <m:ctrlPr>
                              <a:rPr lang="en-GB" sz="1100" i="1" baseline="0">
                                <a:latin typeface="Cambria Math" panose="02040503050406030204" pitchFamily="18" charset="0"/>
                                <a:ea typeface="Cambria Math" panose="02040503050406030204" pitchFamily="18" charset="0"/>
                              </a:rPr>
                            </m:ctrlPr>
                          </m:fPr>
                          <m:num>
                            <m:r>
                              <a:rPr lang="en-GB" sz="1100" i="1" baseline="0">
                                <a:latin typeface="Cambria Math" panose="02040503050406030204" pitchFamily="18" charset="0"/>
                                <a:ea typeface="Cambria Math" panose="02040503050406030204" pitchFamily="18" charset="0"/>
                              </a:rPr>
                              <m:t>𝛼</m:t>
                            </m:r>
                          </m:num>
                          <m:den>
                            <m:r>
                              <a:rPr lang="en-GB" sz="1100" b="0" i="1" baseline="0">
                                <a:latin typeface="Cambria Math" panose="02040503050406030204" pitchFamily="18" charset="0"/>
                                <a:ea typeface="Cambria Math" panose="02040503050406030204" pitchFamily="18" charset="0"/>
                              </a:rPr>
                              <m:t>2</m:t>
                            </m:r>
                          </m:den>
                        </m:f>
                        <m:r>
                          <a:rPr lang="en-GB" sz="1100" b="0" i="1" baseline="0">
                            <a:latin typeface="Cambria Math" panose="02040503050406030204" pitchFamily="18" charset="0"/>
                            <a:ea typeface="Cambria Math" panose="02040503050406030204" pitchFamily="18" charset="0"/>
                          </a:rPr>
                          <m:t>,  </m:t>
                        </m:r>
                        <m:r>
                          <a:rPr lang="en-GB" sz="1100" b="0" i="1" baseline="0">
                            <a:latin typeface="Cambria Math" panose="02040503050406030204" pitchFamily="18" charset="0"/>
                            <a:ea typeface="Cambria Math" panose="02040503050406030204" pitchFamily="18" charset="0"/>
                          </a:rPr>
                          <m:t>𝑛</m:t>
                        </m:r>
                        <m:r>
                          <a:rPr lang="en-GB" sz="1100" b="0" i="1" baseline="0">
                            <a:latin typeface="Cambria Math" panose="02040503050406030204" pitchFamily="18" charset="0"/>
                            <a:ea typeface="Cambria Math" panose="02040503050406030204" pitchFamily="18" charset="0"/>
                          </a:rPr>
                          <m:t>−2</m:t>
                        </m:r>
                      </m:sub>
                    </m:sSub>
                    <m:r>
                      <a:rPr lang="en-GB" sz="1100" b="0" i="1" baseline="0">
                        <a:latin typeface="Cambria Math" panose="02040503050406030204" pitchFamily="18" charset="0"/>
                        <a:ea typeface="Cambria Math" panose="02040503050406030204" pitchFamily="18" charset="0"/>
                      </a:rPr>
                      <m:t>(</m:t>
                    </m:r>
                    <m:r>
                      <a:rPr lang="en-GB" sz="1100" b="0" i="1" baseline="0">
                        <a:latin typeface="Cambria Math" panose="02040503050406030204" pitchFamily="18" charset="0"/>
                        <a:ea typeface="Cambria Math" panose="02040503050406030204" pitchFamily="18" charset="0"/>
                      </a:rPr>
                      <m:t>𝑆</m:t>
                    </m:r>
                    <m:rad>
                      <m:radPr>
                        <m:degHide m:val="on"/>
                        <m:ctrlPr>
                          <a:rPr lang="en-GB" sz="1100" b="0" i="1" baseline="0">
                            <a:latin typeface="Cambria Math" panose="02040503050406030204" pitchFamily="18" charset="0"/>
                            <a:ea typeface="Cambria Math" panose="02040503050406030204" pitchFamily="18" charset="0"/>
                          </a:rPr>
                        </m:ctrlPr>
                      </m:radPr>
                      <m:deg/>
                      <m:e>
                        <m:f>
                          <m:fPr>
                            <m:ctrlPr>
                              <a:rPr lang="en-GB" sz="1100" b="0" i="1" baseline="0">
                                <a:latin typeface="Cambria Math" panose="02040503050406030204" pitchFamily="18" charset="0"/>
                                <a:ea typeface="Cambria Math" panose="02040503050406030204" pitchFamily="18" charset="0"/>
                              </a:rPr>
                            </m:ctrlPr>
                          </m:fPr>
                          <m:num>
                            <m:r>
                              <a:rPr lang="en-GB" sz="1100" b="0" i="1" baseline="0">
                                <a:latin typeface="Cambria Math" panose="02040503050406030204" pitchFamily="18" charset="0"/>
                                <a:ea typeface="Cambria Math" panose="02040503050406030204" pitchFamily="18" charset="0"/>
                              </a:rPr>
                              <m:t>1</m:t>
                            </m:r>
                          </m:num>
                          <m:den>
                            <m:r>
                              <a:rPr lang="en-GB" sz="1100" b="0" i="1" baseline="0">
                                <a:latin typeface="Cambria Math" panose="02040503050406030204" pitchFamily="18" charset="0"/>
                                <a:ea typeface="Cambria Math" panose="02040503050406030204" pitchFamily="18" charset="0"/>
                              </a:rPr>
                              <m:t>𝑛</m:t>
                            </m:r>
                          </m:den>
                        </m:f>
                        <m:r>
                          <a:rPr lang="en-GB" sz="1100" b="0" i="1" baseline="0">
                            <a:latin typeface="Cambria Math" panose="02040503050406030204" pitchFamily="18" charset="0"/>
                            <a:ea typeface="Cambria Math" panose="02040503050406030204" pitchFamily="18" charset="0"/>
                          </a:rPr>
                          <m:t>+</m:t>
                        </m:r>
                        <m:f>
                          <m:fPr>
                            <m:ctrlPr>
                              <a:rPr lang="en-GB" sz="1100" b="0" i="1" baseline="0">
                                <a:latin typeface="Cambria Math" panose="02040503050406030204" pitchFamily="18" charset="0"/>
                                <a:ea typeface="Cambria Math" panose="02040503050406030204" pitchFamily="18" charset="0"/>
                              </a:rPr>
                            </m:ctrlPr>
                          </m:fPr>
                          <m:num>
                            <m:sSup>
                              <m:sSupPr>
                                <m:ctrlPr>
                                  <a:rPr lang="en-GB" sz="1100" b="0" i="1" baseline="0">
                                    <a:latin typeface="Cambria Math" panose="02040503050406030204" pitchFamily="18" charset="0"/>
                                    <a:ea typeface="Cambria Math" panose="02040503050406030204" pitchFamily="18" charset="0"/>
                                  </a:rPr>
                                </m:ctrlPr>
                              </m:sSupPr>
                              <m:e>
                                <m:r>
                                  <a:rPr lang="en-GB" sz="1100" b="0" i="1" baseline="0">
                                    <a:latin typeface="Cambria Math" panose="02040503050406030204" pitchFamily="18" charset="0"/>
                                    <a:ea typeface="Cambria Math" panose="02040503050406030204" pitchFamily="18" charset="0"/>
                                  </a:rPr>
                                  <m:t>(</m:t>
                                </m:r>
                                <m:sSub>
                                  <m:sSubPr>
                                    <m:ctrlPr>
                                      <a:rPr lang="en-GB" sz="1100" b="0" i="1" baseline="0">
                                        <a:solidFill>
                                          <a:schemeClr val="dk1"/>
                                        </a:solidFill>
                                        <a:effectLst/>
                                        <a:latin typeface="Cambria Math" panose="02040503050406030204" pitchFamily="18" charset="0"/>
                                        <a:ea typeface="+mn-ea"/>
                                        <a:cs typeface="+mn-cs"/>
                                      </a:rPr>
                                    </m:ctrlPr>
                                  </m:sSubPr>
                                  <m:e>
                                    <m:r>
                                      <a:rPr lang="en-GB" sz="1100" b="0" i="1" baseline="0">
                                        <a:solidFill>
                                          <a:schemeClr val="dk1"/>
                                        </a:solidFill>
                                        <a:effectLst/>
                                        <a:latin typeface="Cambria Math" panose="02040503050406030204" pitchFamily="18" charset="0"/>
                                        <a:ea typeface="+mn-ea"/>
                                        <a:cs typeface="+mn-cs"/>
                                      </a:rPr>
                                      <m:t>𝑥</m:t>
                                    </m:r>
                                  </m:e>
                                  <m:sub>
                                    <m:r>
                                      <a:rPr lang="en-GB" sz="1100" b="0" i="1" baseline="0">
                                        <a:solidFill>
                                          <a:schemeClr val="dk1"/>
                                        </a:solidFill>
                                        <a:effectLst/>
                                        <a:latin typeface="Cambria Math" panose="02040503050406030204" pitchFamily="18" charset="0"/>
                                        <a:ea typeface="+mn-ea"/>
                                        <a:cs typeface="+mn-cs"/>
                                      </a:rPr>
                                      <m:t>0</m:t>
                                    </m:r>
                                  </m:sub>
                                </m:sSub>
                                <m:r>
                                  <a:rPr lang="en-GB" sz="1100" b="0" i="1" baseline="0">
                                    <a:solidFill>
                                      <a:schemeClr val="dk1"/>
                                    </a:solidFill>
                                    <a:effectLst/>
                                    <a:latin typeface="Cambria Math" panose="02040503050406030204" pitchFamily="18" charset="0"/>
                                    <a:ea typeface="+mn-ea"/>
                                    <a:cs typeface="+mn-cs"/>
                                  </a:rPr>
                                  <m:t>−</m:t>
                                </m:r>
                                <m:acc>
                                  <m:accPr>
                                    <m:chr m:val="̅"/>
                                    <m:ctrlPr>
                                      <a:rPr lang="en-GB" sz="1100" b="0" i="1" baseline="0">
                                        <a:solidFill>
                                          <a:schemeClr val="dk1"/>
                                        </a:solidFill>
                                        <a:effectLst/>
                                        <a:latin typeface="Cambria Math" panose="02040503050406030204" pitchFamily="18" charset="0"/>
                                        <a:ea typeface="+mn-ea"/>
                                        <a:cs typeface="+mn-cs"/>
                                      </a:rPr>
                                    </m:ctrlPr>
                                  </m:accPr>
                                  <m:e>
                                    <m:r>
                                      <a:rPr lang="en-GB" sz="1100" b="0" i="1" baseline="0">
                                        <a:solidFill>
                                          <a:schemeClr val="dk1"/>
                                        </a:solidFill>
                                        <a:effectLst/>
                                        <a:latin typeface="Cambria Math" panose="02040503050406030204" pitchFamily="18" charset="0"/>
                                        <a:ea typeface="+mn-ea"/>
                                        <a:cs typeface="+mn-cs"/>
                                      </a:rPr>
                                      <m:t>𝑥</m:t>
                                    </m:r>
                                  </m:e>
                                </m:acc>
                                <m:r>
                                  <a:rPr lang="en-GB" sz="1100" b="0" i="1" baseline="0">
                                    <a:solidFill>
                                      <a:schemeClr val="dk1"/>
                                    </a:solidFill>
                                    <a:effectLst/>
                                    <a:latin typeface="Cambria Math" panose="02040503050406030204" pitchFamily="18" charset="0"/>
                                    <a:ea typeface="+mn-ea"/>
                                    <a:cs typeface="+mn-cs"/>
                                  </a:rPr>
                                  <m:t>)</m:t>
                                </m:r>
                              </m:e>
                              <m:sup>
                                <m:r>
                                  <a:rPr lang="en-GB" sz="1100" b="0" i="1" baseline="0">
                                    <a:latin typeface="Cambria Math" panose="02040503050406030204" pitchFamily="18" charset="0"/>
                                    <a:ea typeface="Cambria Math" panose="02040503050406030204" pitchFamily="18" charset="0"/>
                                  </a:rPr>
                                  <m:t>2</m:t>
                                </m:r>
                              </m:sup>
                            </m:sSup>
                          </m:num>
                          <m:den>
                            <m:sSub>
                              <m:sSubPr>
                                <m:ctrlPr>
                                  <a:rPr lang="en-GB" sz="1100" b="0" i="1" baseline="0">
                                    <a:latin typeface="Cambria Math" panose="02040503050406030204" pitchFamily="18" charset="0"/>
                                    <a:ea typeface="Cambria Math" panose="02040503050406030204" pitchFamily="18" charset="0"/>
                                  </a:rPr>
                                </m:ctrlPr>
                              </m:sSubPr>
                              <m:e>
                                <m:r>
                                  <a:rPr lang="en-GB" sz="1100" b="0" i="1" baseline="0">
                                    <a:latin typeface="Cambria Math" panose="02040503050406030204" pitchFamily="18" charset="0"/>
                                    <a:ea typeface="Cambria Math" panose="02040503050406030204" pitchFamily="18" charset="0"/>
                                  </a:rPr>
                                  <m:t>𝑆</m:t>
                                </m:r>
                              </m:e>
                              <m:sub>
                                <m:r>
                                  <a:rPr lang="en-GB" sz="1100" b="0" i="1" baseline="0">
                                    <a:latin typeface="Cambria Math" panose="02040503050406030204" pitchFamily="18" charset="0"/>
                                    <a:ea typeface="Cambria Math" panose="02040503050406030204" pitchFamily="18" charset="0"/>
                                  </a:rPr>
                                  <m:t>𝑥𝑥</m:t>
                                </m:r>
                              </m:sub>
                            </m:sSub>
                          </m:den>
                        </m:f>
                      </m:e>
                    </m:rad>
                  </m:oMath>
                </m:oMathPara>
              </a14:m>
              <a:endParaRPr lang="en-GB" sz="1100" baseline="0"/>
            </a:p>
            <a:p>
              <a:endParaRPr lang="en-GB" sz="1100"/>
            </a:p>
          </xdr:txBody>
        </xdr:sp>
      </mc:Choice>
      <mc:Fallback xmlns="">
        <xdr:sp macro="" textlink="">
          <xdr:nvSpPr>
            <xdr:cNvPr id="12" name="TextBox 11">
              <a:extLst>
                <a:ext uri="{FF2B5EF4-FFF2-40B4-BE49-F238E27FC236}">
                  <a16:creationId xmlns:a16="http://schemas.microsoft.com/office/drawing/2014/main" id="{AEFBA0C2-4663-4229-9367-C5DE8279086C}"/>
                </a:ext>
              </a:extLst>
            </xdr:cNvPr>
            <xdr:cNvSpPr txBox="1"/>
          </xdr:nvSpPr>
          <xdr:spPr>
            <a:xfrm>
              <a:off x="18437679" y="18696214"/>
              <a:ext cx="5080440" cy="1285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equation</a:t>
              </a:r>
              <a:r>
                <a:rPr lang="en-GB" sz="1100" baseline="0"/>
                <a:t> used to calculate the confidence interval for the mean response is:</a:t>
              </a:r>
            </a:p>
            <a:p>
              <a:pPr/>
              <a:r>
                <a:rPr lang="en-GB" sz="1100" b="0" i="0" baseline="0">
                  <a:latin typeface="Cambria Math" panose="02040503050406030204" pitchFamily="18" charset="0"/>
                </a:rPr>
                <a:t>𝑌 ̂_0</a:t>
              </a:r>
              <a:r>
                <a:rPr lang="en-GB" sz="1100" i="0" baseline="0">
                  <a:latin typeface="Cambria Math" panose="02040503050406030204" pitchFamily="18" charset="0"/>
                  <a:ea typeface="Cambria Math" panose="02040503050406030204" pitchFamily="18" charset="0"/>
                </a:rPr>
                <a:t>±</a:t>
              </a:r>
              <a:r>
                <a:rPr lang="en-GB" sz="1100" b="0" i="0" baseline="0">
                  <a:latin typeface="Cambria Math" panose="02040503050406030204" pitchFamily="18" charset="0"/>
                  <a:ea typeface="Cambria Math" panose="02040503050406030204" pitchFamily="18" charset="0"/>
                </a:rPr>
                <a:t>𝑡_(</a:t>
              </a:r>
              <a:r>
                <a:rPr lang="en-GB" sz="1100" i="0" baseline="0">
                  <a:latin typeface="Cambria Math" panose="02040503050406030204" pitchFamily="18" charset="0"/>
                  <a:ea typeface="Cambria Math" panose="02040503050406030204" pitchFamily="18" charset="0"/>
                </a:rPr>
                <a:t>𝛼/</a:t>
              </a:r>
              <a:r>
                <a:rPr lang="en-GB" sz="1100" b="0" i="0" baseline="0">
                  <a:latin typeface="Cambria Math" panose="02040503050406030204" pitchFamily="18" charset="0"/>
                  <a:ea typeface="Cambria Math" panose="02040503050406030204" pitchFamily="18" charset="0"/>
                </a:rPr>
                <a:t>2,  𝑛−2) (𝑆√(1/𝑛+〖(</a:t>
              </a:r>
              <a:r>
                <a:rPr lang="en-GB" sz="1100" b="0" i="0" baseline="0">
                  <a:solidFill>
                    <a:schemeClr val="dk1"/>
                  </a:solidFill>
                  <a:effectLst/>
                  <a:latin typeface="Cambria Math" panose="02040503050406030204" pitchFamily="18" charset="0"/>
                  <a:ea typeface="+mn-ea"/>
                  <a:cs typeface="+mn-cs"/>
                </a:rPr>
                <a:t>𝑥_0−𝑥 ̅)</a:t>
              </a:r>
              <a:r>
                <a:rPr lang="en-GB" sz="1100" b="0" i="0" baseline="0">
                  <a:solidFill>
                    <a:schemeClr val="dk1"/>
                  </a:solidFill>
                  <a:effectLst/>
                  <a:latin typeface="Cambria Math" panose="02040503050406030204" pitchFamily="18" charset="0"/>
                  <a:ea typeface="Cambria Math" panose="02040503050406030204" pitchFamily="18" charset="0"/>
                  <a:cs typeface="+mn-cs"/>
                </a:rPr>
                <a:t>〗^</a:t>
              </a:r>
              <a:r>
                <a:rPr lang="en-GB" sz="1100" b="0" i="0" baseline="0">
                  <a:latin typeface="Cambria Math" panose="02040503050406030204" pitchFamily="18" charset="0"/>
                  <a:ea typeface="Cambria Math" panose="02040503050406030204" pitchFamily="18" charset="0"/>
                </a:rPr>
                <a:t>2/𝑆_𝑥𝑥 )</a:t>
              </a:r>
              <a:endParaRPr lang="en-GB" sz="1100" baseline="0"/>
            </a:p>
            <a:p>
              <a:endParaRPr lang="en-GB" sz="1100"/>
            </a:p>
          </xdr:txBody>
        </xdr:sp>
      </mc:Fallback>
    </mc:AlternateContent>
    <xdr:clientData/>
  </xdr:twoCellAnchor>
  <xdr:twoCellAnchor>
    <xdr:from>
      <xdr:col>11</xdr:col>
      <xdr:colOff>128178</xdr:colOff>
      <xdr:row>13</xdr:row>
      <xdr:rowOff>153488</xdr:rowOff>
    </xdr:from>
    <xdr:to>
      <xdr:col>18</xdr:col>
      <xdr:colOff>470534</xdr:colOff>
      <xdr:row>25</xdr:row>
      <xdr:rowOff>54429</xdr:rowOff>
    </xdr:to>
    <xdr:sp macro="" textlink="">
      <xdr:nvSpPr>
        <xdr:cNvPr id="13" name="TextBox 12">
          <a:extLst>
            <a:ext uri="{FF2B5EF4-FFF2-40B4-BE49-F238E27FC236}">
              <a16:creationId xmlns:a16="http://schemas.microsoft.com/office/drawing/2014/main" id="{B8166301-35B3-1737-1012-489258BAB1FA}"/>
            </a:ext>
          </a:extLst>
        </xdr:cNvPr>
        <xdr:cNvSpPr txBox="1"/>
      </xdr:nvSpPr>
      <xdr:spPr>
        <a:xfrm>
          <a:off x="14660607" y="2453095"/>
          <a:ext cx="7594963" cy="20236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Parametric analysis of competitor products based on the key cost drivers identified gives a range for the sale price of the drone. Within this range, the drone sale price is determined to ensure an initial gross profit margin of 27.8% is achieved, in line with the industry average. As production is scaled up and production rates increase, the gross profit margin is expected to increase as the overhead costs and equipment costs per unit decrease and material costs decrease due to expected bulk discounts. </a:t>
          </a:r>
        </a:p>
        <a:p>
          <a:r>
            <a:rPr lang="en-GB" sz="1100" baseline="0"/>
            <a:t>As this product is filling a gap in the market and as there is evidenceof high demand, it is assumed that the sale rate per year will match production rate.</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532858</xdr:colOff>
      <xdr:row>47</xdr:row>
      <xdr:rowOff>135256</xdr:rowOff>
    </xdr:from>
    <xdr:to>
      <xdr:col>27</xdr:col>
      <xdr:colOff>133896</xdr:colOff>
      <xdr:row>62</xdr:row>
      <xdr:rowOff>194311</xdr:rowOff>
    </xdr:to>
    <xdr:graphicFrame macro="">
      <xdr:nvGraphicFramePr>
        <xdr:cNvPr id="2" name="Chart 1">
          <a:extLst>
            <a:ext uri="{FF2B5EF4-FFF2-40B4-BE49-F238E27FC236}">
              <a16:creationId xmlns:a16="http://schemas.microsoft.com/office/drawing/2014/main" id="{A0021F4D-E03C-998D-2B49-10C3918233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521153</xdr:colOff>
      <xdr:row>47</xdr:row>
      <xdr:rowOff>163556</xdr:rowOff>
    </xdr:from>
    <xdr:to>
      <xdr:col>36</xdr:col>
      <xdr:colOff>500742</xdr:colOff>
      <xdr:row>62</xdr:row>
      <xdr:rowOff>185057</xdr:rowOff>
    </xdr:to>
    <xdr:graphicFrame macro="">
      <xdr:nvGraphicFramePr>
        <xdr:cNvPr id="5" name="Chart 4">
          <a:extLst>
            <a:ext uri="{FF2B5EF4-FFF2-40B4-BE49-F238E27FC236}">
              <a16:creationId xmlns:a16="http://schemas.microsoft.com/office/drawing/2014/main" id="{2176EAE3-D40B-6DEE-4F0E-B8CC63045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xdr:row>
      <xdr:rowOff>43544</xdr:rowOff>
    </xdr:from>
    <xdr:to>
      <xdr:col>0</xdr:col>
      <xdr:colOff>6282417</xdr:colOff>
      <xdr:row>3</xdr:row>
      <xdr:rowOff>163286</xdr:rowOff>
    </xdr:to>
    <xdr:sp macro="" textlink="">
      <xdr:nvSpPr>
        <xdr:cNvPr id="6" name="TextBox 5">
          <a:extLst>
            <a:ext uri="{FF2B5EF4-FFF2-40B4-BE49-F238E27FC236}">
              <a16:creationId xmlns:a16="http://schemas.microsoft.com/office/drawing/2014/main" id="{BB2EE5E1-6E2E-4D74-283F-8254951CEC19}"/>
            </a:ext>
          </a:extLst>
        </xdr:cNvPr>
        <xdr:cNvSpPr txBox="1"/>
      </xdr:nvSpPr>
      <xdr:spPr>
        <a:xfrm>
          <a:off x="0" y="315687"/>
          <a:ext cx="6282417" cy="5116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Estimated based on average R&amp;D spend as a percentage of revenue in drone industry. Although distinct concepts, production value is assumed to be analogous to revenue to form this CER.</a:t>
          </a:r>
        </a:p>
      </xdr:txBody>
    </xdr:sp>
    <xdr:clientData/>
  </xdr:twoCellAnchor>
  <xdr:twoCellAnchor>
    <xdr:from>
      <xdr:col>11</xdr:col>
      <xdr:colOff>0</xdr:colOff>
      <xdr:row>82</xdr:row>
      <xdr:rowOff>0</xdr:rowOff>
    </xdr:from>
    <xdr:to>
      <xdr:col>14</xdr:col>
      <xdr:colOff>205740</xdr:colOff>
      <xdr:row>85</xdr:row>
      <xdr:rowOff>60960</xdr:rowOff>
    </xdr:to>
    <xdr:pic>
      <xdr:nvPicPr>
        <xdr:cNvPr id="3" name="Picture 2">
          <a:extLst>
            <a:ext uri="{FF2B5EF4-FFF2-40B4-BE49-F238E27FC236}">
              <a16:creationId xmlns:a16="http://schemas.microsoft.com/office/drawing/2014/main" id="{44B9A6D4-BD04-16E7-9834-3080F6408062}"/>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249400" y="15514320"/>
          <a:ext cx="239268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95251</xdr:rowOff>
    </xdr:from>
    <xdr:to>
      <xdr:col>12</xdr:col>
      <xdr:colOff>9525</xdr:colOff>
      <xdr:row>5</xdr:row>
      <xdr:rowOff>152401</xdr:rowOff>
    </xdr:to>
    <xdr:sp macro="" textlink="">
      <xdr:nvSpPr>
        <xdr:cNvPr id="2" name="TextBox 1">
          <a:extLst>
            <a:ext uri="{FF2B5EF4-FFF2-40B4-BE49-F238E27FC236}">
              <a16:creationId xmlns:a16="http://schemas.microsoft.com/office/drawing/2014/main" id="{97C1E7CB-55CA-F0E7-EF59-CBE3EE53C494}"/>
            </a:ext>
          </a:extLst>
        </xdr:cNvPr>
        <xdr:cNvSpPr txBox="1"/>
      </xdr:nvSpPr>
      <xdr:spPr>
        <a:xfrm>
          <a:off x="0" y="361951"/>
          <a:ext cx="7324725"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Costs associated with the manufacture of the product, including raw material costs, manufacture costs, assembly costs, and specialist labour costs, are estimated using a bottom up approach for each subsystem of the product. The overall cost of manufacture is estimated in terms of the unit -</a:t>
          </a:r>
          <a:r>
            <a:rPr lang="en-GB" sz="1100" baseline="0"/>
            <a:t> where the unit is defined as a fully functional UAV</a:t>
          </a:r>
          <a:r>
            <a:rPr lang="en-GB" sz="1100"/>
            <a:t>.</a:t>
          </a:r>
        </a:p>
        <a:p>
          <a:r>
            <a:rPr lang="en-GB" sz="1100"/>
            <a:t>Additionally, the enivronmental impact of the product (per unit) is quantified both in terms of GWP and fiscally in US dollars.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AFF2C84-A00A-4955-AA30-2FB04B88AC45}" name="Table20" displayName="Table20" ref="B22:F23" totalsRowShown="0" headerRowCellStyle="Output 2">
  <autoFilter ref="B22:F23" xr:uid="{8AFF2C84-A00A-4955-AA30-2FB04B88AC45}">
    <filterColumn colId="0" hiddenButton="1"/>
    <filterColumn colId="1" hiddenButton="1"/>
    <filterColumn colId="2" hiddenButton="1"/>
    <filterColumn colId="3" hiddenButton="1"/>
    <filterColumn colId="4" hiddenButton="1"/>
  </autoFilter>
  <tableColumns count="5">
    <tableColumn id="1" xr3:uid="{33999AB3-B291-43D5-8938-536B9755DFEE}" name="Storage space required (m^2)"/>
    <tableColumn id="2" xr3:uid="{241A7C7A-FF17-4D48-8269-E88D502272FF}" name="Production space required (m^2)"/>
    <tableColumn id="3" xr3:uid="{11CC18BB-DC89-4F31-834F-8B24964A6C70}" name="Rental rate per year (£/m^2)"/>
    <tableColumn id="4" xr3:uid="{43440FD0-DE8C-4613-B8E0-20A2C823D5F6}" name="Utility rate per year (£/m^2)"/>
    <tableColumn id="5" xr3:uid="{17DDFEB0-9395-42EF-9510-3B8BAF5BAD59}" name="Total facility cost per year (£)"/>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A65C656-1428-4B51-BDF9-FD90316500C9}" name="Table13" displayName="Table13" ref="D23:E33" totalsRowShown="0">
  <autoFilter ref="D23:E33" xr:uid="{4A65C656-1428-4B51-BDF9-FD90316500C9}">
    <filterColumn colId="0" hiddenButton="1"/>
    <filterColumn colId="1" hiddenButton="1"/>
  </autoFilter>
  <tableColumns count="2">
    <tableColumn id="1" xr3:uid="{EFD9E606-8864-467E-8D0B-BD7BD05E12DC}" name="Year" dataDxfId="43"/>
    <tableColumn id="2" xr3:uid="{16B176A3-12DB-4A7E-97E9-0AE60EBDACBD}" name="Total"/>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17D0071-11A4-4ADA-B1D7-1D1F95374F4F}" name="Table14" displayName="Table14" ref="D35:E45" totalsRowShown="0">
  <autoFilter ref="D35:E45" xr:uid="{917D0071-11A4-4ADA-B1D7-1D1F95374F4F}">
    <filterColumn colId="0" hiddenButton="1"/>
    <filterColumn colId="1" hiddenButton="1"/>
  </autoFilter>
  <tableColumns count="2">
    <tableColumn id="1" xr3:uid="{2E91131D-C705-458D-9858-EB793CBA5C91}" name="Year" dataDxfId="42"/>
    <tableColumn id="2" xr3:uid="{EE561A44-6772-4021-B776-34E79A1121F2}" name="Global"/>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EE3B684-CE1F-4C81-A302-859EA9FBB313}" name="Table15" displayName="Table15" ref="D48:E57" totalsRowShown="0">
  <autoFilter ref="D48:E57" xr:uid="{2EE3B684-CE1F-4C81-A302-859EA9FBB313}">
    <filterColumn colId="0" hiddenButton="1"/>
    <filterColumn colId="1" hiddenButton="1"/>
  </autoFilter>
  <tableColumns count="2">
    <tableColumn id="1" xr3:uid="{C7C44DB5-18D9-4253-A929-9B9580B7C64A}" name="Year" dataDxfId="41"/>
    <tableColumn id="2" xr3:uid="{5ADDC892-6B7A-444B-A606-6EA72D549F10}" name="Percentage">
      <calculatedColumnFormula>(E36/E25)*100</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2424D5B-A8BD-46E9-9DA4-FE297D615DDD}" name="Table16" displayName="Table16" ref="I49:L56" totalsRowShown="0">
  <autoFilter ref="I49:L56" xr:uid="{F2424D5B-A8BD-46E9-9DA4-FE297D615DDD}">
    <filterColumn colId="0" hiddenButton="1"/>
    <filterColumn colId="1" hiddenButton="1"/>
    <filterColumn colId="2" hiddenButton="1"/>
    <filterColumn colId="3" hiddenButton="1"/>
  </autoFilter>
  <tableColumns count="4">
    <tableColumn id="1" xr3:uid="{C6A8CCAB-E8AC-4922-8A55-E9CB0F132314}" name="Year" dataDxfId="40"/>
    <tableColumn id="2" xr3:uid="{69F4CF19-1FBD-44B7-8D80-80940DF807E7}" name="Mean "/>
    <tableColumn id="3" xr3:uid="{E13A7D16-839C-45CA-8472-FFE57554522D}" name="Upper"/>
    <tableColumn id="4" xr3:uid="{E49E3EC1-2367-4298-83A9-871E015B491C}" name="Lower"/>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BB220B4-F51A-4ED5-9FBB-C6688AA4EA1D}" name="Table17" displayName="Table17" ref="A10:D16" totalsRowShown="0">
  <autoFilter ref="A10:D16" xr:uid="{3BB220B4-F51A-4ED5-9FBB-C6688AA4EA1D}">
    <filterColumn colId="0" hiddenButton="1"/>
    <filterColumn colId="1" hiddenButton="1"/>
    <filterColumn colId="2" hiddenButton="1"/>
    <filterColumn colId="3" hiddenButton="1"/>
  </autoFilter>
  <tableColumns count="4">
    <tableColumn id="1" xr3:uid="{C70F66EB-83FE-4C50-8319-4823F6E46798}" name="Year" dataDxfId="39"/>
    <tableColumn id="2" xr3:uid="{4FE6EDF3-A80F-4416-A0CB-4274E4D4AE75}" name="Low"/>
    <tableColumn id="3" xr3:uid="{F95F7000-BC81-4647-A1DD-9C63331E05EF}" name="Average "/>
    <tableColumn id="4" xr3:uid="{2E14787F-3746-4581-BDC9-8CBA09CB62FF}" name="High"/>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1C9330-96E5-4898-ABB4-9C38CBA1F9A4}" name="Table5" displayName="Table5" ref="B4:K27" totalsRowShown="0">
  <autoFilter ref="B4:K27" xr:uid="{491C9330-96E5-4898-ABB4-9C38CBA1F9A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6945D0EF-2950-4E17-8C20-D444D9C14A07}" name="Part ref"/>
    <tableColumn id="2" xr3:uid="{77982015-324F-438A-AD25-2AA861FCD0C0}" name="Part name"/>
    <tableColumn id="3" xr3:uid="{6230036C-8677-4801-9736-94EF4E7D110A}" name="Quantity"/>
    <tableColumn id="4" xr3:uid="{B5DCCEFE-1488-4974-8AE6-13B27EFA9DA3}" name="Material"/>
    <tableColumn id="5" xr3:uid="{40AE8AD6-AD1F-40E1-ADF3-F23044E71D09}" name="Production method"/>
    <tableColumn id="10" xr3:uid="{6DEDBF29-A091-4E3B-9024-69BCADE6B82C}" name="Machine(s) required"/>
    <tableColumn id="9" xr3:uid="{CCFB1A99-F136-486A-8661-2B4509F22F84}" name="Machine cost"/>
    <tableColumn id="8" xr3:uid="{5EFFF5E9-04F2-4084-B56C-6BBAD0BB8292}" name="Skilled labour required? Y/N"/>
    <tableColumn id="6" xr3:uid="{0D7F8839-6B83-4EDB-AB79-92F5E3914B70}" name="Labour time per unit (hours)"/>
    <tableColumn id="7" xr3:uid="{DD7126EE-1335-438A-8E12-7F4A1A4B3559}" name="Machine time per unit (hours)"/>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B7793D-0BDB-40CA-9D2C-979FCC37D8EA}" name="Table57" displayName="Table57" ref="B33:V44" totalsRowShown="0" headerRowCellStyle="Output 2">
  <autoFilter ref="B33:V44" xr:uid="{B2B7793D-0BDB-40CA-9D2C-979FCC37D8E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A5A069C8-903C-4F6A-ACEB-6A977C8EF7F4}" name="Part ref"/>
    <tableColumn id="2" xr3:uid="{1D03A08D-CFA3-4FF9-8386-E597AB73001F}" name="Part name"/>
    <tableColumn id="15" xr3:uid="{71A5F920-8C08-4341-A8FA-D562A875B9C6}" name="Part volume (m^3)" dataDxfId="38">
      <calculatedColumnFormula>178971.069*0.000000001</calculatedColumnFormula>
    </tableColumn>
    <tableColumn id="3" xr3:uid="{12DA44BB-8970-4D9B-8193-479616FE3EEE}" name="Quantity"/>
    <tableColumn id="16" xr3:uid="{262A8CAC-AB8A-49AF-B365-6C7F66CE9708}" name="Total volume (m^3)" dataDxfId="37">
      <calculatedColumnFormula>Table57[[#This Row],[Part volume (m^3)]]*Table57[[#This Row],[Quantity]]</calculatedColumnFormula>
    </tableColumn>
    <tableColumn id="4" xr3:uid="{9C0274F2-E27B-405D-B9B5-61132F517A8D}" name="Material"/>
    <tableColumn id="18" xr3:uid="{BC5954C2-C2BA-4983-9B78-B0D326C2AA91}" name="Material Cost per m^3">
      <calculatedColumnFormula>((0.83*((225000*0.75)+((3930+7290)/2)))+(0.17*((4890+6230)/2)))</calculatedColumnFormula>
    </tableColumn>
    <tableColumn id="19" xr3:uid="{D5977FF5-82F7-48C6-B139-CC5527C27148}" name="Material Cost" dataDxfId="36">
      <calculatedColumnFormula>Table57[[#This Row],[Material Cost per m^3]]*Table57[[#This Row],[Total volume (m^3)]]</calculatedColumnFormula>
    </tableColumn>
    <tableColumn id="13" xr3:uid="{946FFF95-CEA7-4563-A7BC-FE0217CF04F0}" name="Material GWP (kgCO2)">
      <calculatedColumnFormula>4.64*1325*Table57[[#This Row],[Total volume (m^3)]]</calculatedColumnFormula>
    </tableColumn>
    <tableColumn id="5" xr3:uid="{45074B1E-DB7D-49F8-9341-7250BD9E32A7}" name="Production method"/>
    <tableColumn id="10" xr3:uid="{BBFA5239-FC99-49B7-962C-D4CAC4EA2165}" name="Machine(s) required" dataDxfId="35"/>
    <tableColumn id="9" xr3:uid="{B5DC751E-C3A4-4D39-9012-4E1E02DFAB93}" name="Machine cost (GBP)"/>
    <tableColumn id="20" xr3:uid="{C79E3094-A401-410A-A21C-0860F5ED4683}" name="Tooling cost per unit (GBP) -lower">
      <calculatedColumnFormula>(776/60000)*Table57[[#This Row],[Quantity]]</calculatedColumnFormula>
    </tableColumn>
    <tableColumn id="21" xr3:uid="{776CA9B1-73FF-493C-9BA8-500173210DA5}" name="Tooling cost per unit (GBP) -upper">
      <calculatedColumnFormula>(3100/60000)*Table57[[#This Row],[Quantity]]</calculatedColumnFormula>
    </tableColumn>
    <tableColumn id="17" xr3:uid="{1C5E5D16-1B0A-433C-A7BB-AB01FA9C29FA}" name="Manufacture GWP (kgCO2)">
      <calculatedColumnFormula>0.28*1325*Table57[[#This Row],[Total volume (m^3)]]</calculatedColumnFormula>
    </tableColumn>
    <tableColumn id="8" xr3:uid="{B7013994-283C-45F7-AE81-71A635943621}" name="Skilled labour required? Y/N"/>
    <tableColumn id="6" xr3:uid="{BEBE06EB-C0D4-4794-8611-42AC8D2820FE}" name="Labour time per unit (mins) - lower" dataDxfId="34">
      <calculatedColumnFormula>30-Table57[[#This Row],[Press time per unit (mins) - lower]]-Table57[[#This Row],[Oven adjusted time per unit (mins)]]</calculatedColumnFormula>
    </tableColumn>
    <tableColumn id="14" xr3:uid="{C028F9BE-2604-4915-A0EA-FB6FDD8CBA89}" name="Labour time per unit (mins) - upper" dataDxfId="33">
      <calculatedColumnFormula>60-Table57[[#This Row],[Press time per unit (mins) - upper]]-Table57[[#This Row],[Oven adjusted time per unit (mins)]]</calculatedColumnFormula>
    </tableColumn>
    <tableColumn id="12" xr3:uid="{80CA53B6-9491-4782-AB72-8D82284763D3}" name="Press time per unit (mins) - lower"/>
    <tableColumn id="7" xr3:uid="{E13379F5-C02F-430A-AC6C-7255BC60E3EF}" name="Press time per unit (mins) - upper"/>
    <tableColumn id="11" xr3:uid="{F4827E89-A4B2-44BF-9E54-764D2BF3B332}" name="Oven adjusted time per unit (mins)" dataDxfId="32">
      <calculatedColumnFormula>60*(Table57[[#This Row],[Total volume (m^3)]]/$D$30)</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B9A712-7E6F-4AF8-9147-04CCF37CC4B1}" name="Table58" displayName="Table58" ref="B46:V55" totalsRowShown="0">
  <autoFilter ref="B46:V55" xr:uid="{D4B9A712-7E6F-4AF8-9147-04CCF37CC4B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57CAB6BD-8C82-454B-A596-9903D8C7AF4B}" name="Part ref"/>
    <tableColumn id="2" xr3:uid="{0AFBEE96-A357-4C74-A029-AC0D727772EB}" name="Part name"/>
    <tableColumn id="3" xr3:uid="{F07B585D-1689-4343-A0CD-7F418950443A}" name="Part volume (m^3)"/>
    <tableColumn id="4" xr3:uid="{6E7C3BB6-EC4C-4F95-9EE4-D634A45AA670}" name="Quantity"/>
    <tableColumn id="5" xr3:uid="{B73C5A95-AFC4-47F1-9225-10D9472C106E}" name="Total volume (m^3)" dataDxfId="31">
      <calculatedColumnFormula>Table58[[#This Row],[Part volume (m^3)]]*Table58[[#This Row],[Quantity]]</calculatedColumnFormula>
    </tableColumn>
    <tableColumn id="10" xr3:uid="{234D2DF0-FCE2-47B9-9B9F-CF48E1D66A96}" name="Material"/>
    <tableColumn id="9" xr3:uid="{ABD70DB5-9763-4DD9-AE26-9944A72D9A9E}" name="Material Cost per m^3" dataDxfId="30"/>
    <tableColumn id="8" xr3:uid="{80A26D64-5782-4F6A-B305-06C14A5E55CB}" name="Material Cost" dataDxfId="29">
      <calculatedColumnFormula>Table58[[#This Row],[Material Cost per m^3]]*Table58[[#This Row],[Total volume (m^3)]]</calculatedColumnFormula>
    </tableColumn>
    <tableColumn id="6" xr3:uid="{25AB6D05-520F-4705-A330-0A594060E58A}" name="Material GWP (kgCO2)" dataDxfId="28"/>
    <tableColumn id="7" xr3:uid="{EAC67A03-C372-49E4-B6BA-8B2071A07C44}" name="Production method"/>
    <tableColumn id="11" xr3:uid="{85D2E5B6-CE07-4AED-A7EB-161A2977212B}" name="Machine(s) required" dataDxfId="27"/>
    <tableColumn id="12" xr3:uid="{2EB1AF5E-B998-419F-90D0-92FEA7EF9CF0}" name="Machine cost (GBP)"/>
    <tableColumn id="13" xr3:uid="{A37EABF4-DE55-4691-BDD4-6BA45D147526}" name="Tooling cost per unit (GBP) -lower" dataDxfId="26">
      <calculatedColumnFormula>(776/60000)*Table58[[#This Row],[Quantity]]</calculatedColumnFormula>
    </tableColumn>
    <tableColumn id="14" xr3:uid="{12898A6C-E4C9-48AE-9D37-689FF8B419D3}" name="Tooling cost per unit (GBP) -upper" dataDxfId="25">
      <calculatedColumnFormula>(3100/60000)*Table58[[#This Row],[Quantity]]</calculatedColumnFormula>
    </tableColumn>
    <tableColumn id="15" xr3:uid="{574807AF-7022-48AF-BF2C-03C3BFC9F6E1}" name="Manufacture GWP (kgCO2)"/>
    <tableColumn id="16" xr3:uid="{4E21768F-73BB-42EE-BB2F-4509A2F07C6E}" name="Skilled labour required? Y/N"/>
    <tableColumn id="17" xr3:uid="{1122ED64-6E61-4C40-9EDB-F6FF4581BC68}" name="Labour time per unit (mins) - lower" dataDxfId="24"/>
    <tableColumn id="18" xr3:uid="{97FC4A71-C9F1-4171-B940-AE767D63C02F}" name="Labour time per unit (mins) - upper" dataDxfId="23"/>
    <tableColumn id="19" xr3:uid="{B22977B9-A6D7-4725-AA54-147B2A52F0DB}" name="Press time per unit (mins) - lower"/>
    <tableColumn id="20" xr3:uid="{9C4AB730-CF6F-4E50-B602-358F310F6A45}" name="Press time per unit (mins) - upper"/>
    <tableColumn id="21" xr3:uid="{D605BDC1-6B1C-4CB6-A398-D6345E0EA2AE}" name="Oven adjusted time per unit (mins)" dataDxfId="22">
      <calculatedColumnFormula>60*(Table58[[#This Row],[Total volume (m^3)]]/D30)</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3587446-B248-40E2-A4D7-19415E959DB7}" name="Table579" displayName="Table579" ref="B57:S71" totalsRowShown="0">
  <autoFilter ref="B57:S71" xr:uid="{B3587446-B248-40E2-A4D7-19415E959DB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E505DCFB-2AB2-43F3-8396-38EB3611E57F}" name="Part ref"/>
    <tableColumn id="2" xr3:uid="{C1FC9F06-9947-4997-A444-3E57A6ED2900}" name="Part name" dataDxfId="21"/>
    <tableColumn id="3" xr3:uid="{2F0C9B25-D83D-4A2D-88D2-5AC6D469A6CB}" name="Part volume (mm^3)" dataDxfId="20">
      <calculatedColumnFormula>Table579[[#This Row],[Part volume (m^3)2]]*(10^9)</calculatedColumnFormula>
    </tableColumn>
    <tableColumn id="4" xr3:uid="{E92E3387-CCEB-4BB7-9093-C4735D95662B}" name="Part volume (m^3)2" dataDxfId="19"/>
    <tableColumn id="5" xr3:uid="{C6D55B2D-3BE4-4B0E-A289-00A51A28AA29}" name="Quantity" dataDxfId="18"/>
    <tableColumn id="10" xr3:uid="{5ED49BBB-BC7A-4644-B005-0C8639FDD159}" name="Total volume (m^3)" dataDxfId="17">
      <calculatedColumnFormula>Table579[[#This Row],[Part volume (m^3)2]]*Table579[[#This Row],[Quantity]]</calculatedColumnFormula>
    </tableColumn>
    <tableColumn id="9" xr3:uid="{208B8267-7FF7-4AEC-9217-2899D2101994}" name="Material" dataDxfId="16"/>
    <tableColumn id="8" xr3:uid="{7CB4D81A-3740-4CCE-B0F3-F79EA4696232}" name="Material Cost (GBP per m^3 )" dataDxfId="15"/>
    <tableColumn id="6" xr3:uid="{F84781C7-0ECB-4DCC-878C-4DA0D58BA0F2}" name="Material Cost (Total in GBP)" dataDxfId="14">
      <calculatedColumnFormula>Table579[[#This Row],[Material Cost (GBP per m^3 )]]*Table579[[#This Row],[Total volume (m^3)]]</calculatedColumnFormula>
    </tableColumn>
    <tableColumn id="7" xr3:uid="{56436E3E-D733-4DC1-AB85-E4EAB1DDAC1E}" name="Material GWP (kgCO2)" dataDxfId="13">
      <calculatedColumnFormula>2730*Table579[[#This Row],[Total volume (m^3)]]*13.3</calculatedColumnFormula>
    </tableColumn>
    <tableColumn id="11" xr3:uid="{570999C7-7DFA-4579-BB86-2A3DB003A88E}" name="Production method" dataDxfId="12"/>
    <tableColumn id="12" xr3:uid="{906DE64D-F273-4DBC-8DE0-01A5948E4DA7}" name="Machine(s) required" dataDxfId="11"/>
    <tableColumn id="13" xr3:uid="{9037B289-1EDB-4BBA-B09F-4FF792A49162}" name="Machine cost (GBP) - upper"/>
    <tableColumn id="14" xr3:uid="{2D0DB408-0296-41F3-98EF-258BC1B0F0A5}" name="Tooling cost per unit (GBP) - upper"/>
    <tableColumn id="15" xr3:uid="{C91D6F5F-5BAB-41BE-8D12-9887BA1615E6}" name="Manufacture GWP (kgCO2)" dataDxfId="10">
      <calculatedColumnFormula>2730*Table579[[#This Row],[Total volume (m^3)]]*0.5</calculatedColumnFormula>
    </tableColumn>
    <tableColumn id="16" xr3:uid="{B79BECCE-8DA1-49E5-86DE-5EBBC0A3420E}" name="Skilled labour required? Y/N"/>
    <tableColumn id="17" xr3:uid="{0B6AEF6D-AFFD-4C0F-81D5-E9EE48CBABA2}" name="Labour time per unit (hours)"/>
    <tableColumn id="18" xr3:uid="{4527A0C3-45CE-4209-94CC-EFF47B7F0BA0}" name="Machine time per unit (hours)"/>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5BE7F1-98D6-4D94-BF16-703B461789BA}" name="Table572" displayName="Table572" ref="B73:W86" totalsRowShown="0" headerRowCellStyle="Output 2">
  <autoFilter ref="B73:W86" xr:uid="{A65BE7F1-98D6-4D94-BF16-703B461789BA}"/>
  <tableColumns count="22">
    <tableColumn id="1" xr3:uid="{E4BAC02D-27E7-4EA5-9415-175A99FFD767}" name="Part ref"/>
    <tableColumn id="2" xr3:uid="{2EEDA911-1972-493B-B2DD-5CA956ECC0E1}" name="Part name"/>
    <tableColumn id="15" xr3:uid="{A6989472-B09B-43AB-9E64-3BFE05E79EA4}" name="Part volume (m^3)" dataDxfId="9">
      <calculatedColumnFormula>88385.061*0.000000001</calculatedColumnFormula>
    </tableColumn>
    <tableColumn id="3" xr3:uid="{BB1F6FE2-8971-4195-8532-D1F0ADBA4D03}" name="Quantity"/>
    <tableColumn id="16" xr3:uid="{849FB8CF-AE2C-4828-971F-92F785777AA2}" name="Total volume (m^3)" dataDxfId="8">
      <calculatedColumnFormula>Table572[[#This Row],[Part volume (m^3)]]*Table572[[#This Row],[Quantity]]</calculatedColumnFormula>
    </tableColumn>
    <tableColumn id="4" xr3:uid="{4EACD8F6-9F47-4FDC-8E9F-A1C93E92CD7D}" name="Material" dataDxfId="7"/>
    <tableColumn id="22" xr3:uid="{0333A838-563A-4044-B175-FD88A839C5C7}" name="Density Kg/m^3" dataDxfId="6"/>
    <tableColumn id="18" xr3:uid="{53E527C5-B41D-45EB-AE95-6DB80E971F8F}" name="Material Cost per m^3"/>
    <tableColumn id="19" xr3:uid="{10E05531-A153-4D67-96EB-EA2E39ABA41E}" name="Material Cost" dataDxfId="5">
      <calculatedColumnFormula>Table572[[#This Row],[Part volume (m^3)]]*Table572[[#This Row],[Material Cost per m^3]]</calculatedColumnFormula>
    </tableColumn>
    <tableColumn id="13" xr3:uid="{8C3DE7A8-3725-4736-A1B9-A26FFE9EE48D}" name="Material GWP (kgCO2)" dataDxfId="4">
      <calculatedColumnFormula>34.1*Table572[[#This Row],[Density Kg/m^3]]*Table572[[#This Row],[Total volume (m^3)]]</calculatedColumnFormula>
    </tableColumn>
    <tableColumn id="5" xr3:uid="{EC080292-D1F4-4914-B1D3-C332725B077E}" name="Production method"/>
    <tableColumn id="10" xr3:uid="{7C4C0606-EB4B-4627-882A-40579F8220ED}" name="Machine(s) required" dataDxfId="3"/>
    <tableColumn id="9" xr3:uid="{58E19E4C-E359-44C7-9424-6E66E18D5A1B}" name="Machine cost (GBP)"/>
    <tableColumn id="20" xr3:uid="{853EEE31-5E8F-43C2-96E1-C9E5AFA7A4D3}" name="Tooling cost per unit (GBP) -lower"/>
    <tableColumn id="21" xr3:uid="{90E51422-9BC9-4DE3-9504-4C32D0506BCD}" name="Tooling cost per unit (GBP) -upper"/>
    <tableColumn id="17" xr3:uid="{7444E9D2-5BD5-4C34-8546-2FD09CDF1FBF}" name="Manufacture GWP (kgCO2)"/>
    <tableColumn id="8" xr3:uid="{FC3BF96C-6C9C-4349-96F9-7A1306FF9592}" name="Skilled labour required? Y/N"/>
    <tableColumn id="6" xr3:uid="{0AC54E6F-57A9-44CB-AE78-2FAFA409AB56}" name="Labour time per unit (mins) - lower" dataDxfId="2"/>
    <tableColumn id="14" xr3:uid="{7565FEE5-F1F1-411F-A405-34C3CAF07035}" name="Labour time per unit (mins) - upper" dataDxfId="1"/>
    <tableColumn id="12" xr3:uid="{1FEA1D7B-3083-4C99-A35A-63EC65D1FCAC}" name="Press time per unit (mins) - lower"/>
    <tableColumn id="7" xr3:uid="{5A3171D1-C5BA-4219-9FCC-E15DED58CBCC}" name="Press time per unit (mins) - upper"/>
    <tableColumn id="11" xr3:uid="{7BDA7E87-ADF6-44B0-A7FD-292AA9C7DBED}" name="Oven adjusted time per unit (mins)" dataDxfId="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BE0D5A-A2D3-48AB-B05B-440E593D87E2}" name="Table3" displayName="Table3" ref="B8:F9" totalsRowShown="0" headerRowCellStyle="Output 2">
  <autoFilter ref="B8:F9" xr:uid="{D6BE0D5A-A2D3-48AB-B05B-440E593D87E2}">
    <filterColumn colId="0" hiddenButton="1"/>
    <filterColumn colId="1" hiddenButton="1"/>
    <filterColumn colId="2" hiddenButton="1"/>
    <filterColumn colId="3" hiddenButton="1"/>
    <filterColumn colId="4" hiddenButton="1"/>
  </autoFilter>
  <tableColumns count="5">
    <tableColumn id="1" xr3:uid="{C807EB78-6ABC-4A5A-8DF1-53F2851EFC4D}" name="Production rate per day">
      <calculatedColumnFormula>'Machine utilisation'!C17</calculatedColumnFormula>
    </tableColumn>
    <tableColumn id="2" xr3:uid="{AEE9FE94-D14A-43D9-BAB0-4F1BAAC412EB}" name="Raw material volume per unit (m^3)"/>
    <tableColumn id="3" xr3:uid="{2E2F6093-FCA9-4F50-BFCB-FE65D7C1588E}" name="Total raw material volume per day (m^3)">
      <calculatedColumnFormula>Table3[[#This Row],[Raw material volume per unit (m^3)]]*Table3[[#This Row],[Production rate per day]]</calculatedColumnFormula>
    </tableColumn>
    <tableColumn id="4" xr3:uid="{15E14E3F-D633-4B7A-AACA-FB0EC18D1BC8}" name="Storage correction factor"/>
    <tableColumn id="5" xr3:uid="{7C92F60F-3D38-489F-8C5D-809FCF01B614}" name="Storage space required (m^3)">
      <calculatedColumnFormula>Table3[[#This Row],[Total raw material volume per day (m^3)]]*Table3[[#This Row],[Storage correction factor]]</calculatedColumnFormula>
    </tableColumn>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36490BF-0492-4FCF-9861-45F50C4D40D8}" name="Table18" displayName="Table18" ref="B15:I16" totalsRowShown="0" headerRowCellStyle="Output 2">
  <autoFilter ref="B15:I16" xr:uid="{D36490BF-0492-4FCF-9861-45F50C4D40D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B604B01-4118-4A50-AA63-1E8669921BC9}" name="Production rate per day">
      <calculatedColumnFormula array="1">Table3[Production rate per day]</calculatedColumnFormula>
    </tableColumn>
    <tableColumn id="2" xr3:uid="{5D8716C5-DD5B-4FF3-BF7F-F4C05B8A3D17}" name="Packaged Height (m)"/>
    <tableColumn id="3" xr3:uid="{AF3119AE-9F06-4544-A276-4D7AA376E0BF}" name="Packaged Width (m)"/>
    <tableColumn id="4" xr3:uid="{20278233-8679-4C1D-9212-56946FA70DEA}" name="Packaged Length (m)"/>
    <tableColumn id="5" xr3:uid="{B23A23DB-B284-4461-904D-5DF82783111C}" name="Final product packaged volume per unit (m^3)">
      <calculatedColumnFormula>Table18[[#This Row],[Packaged Height (m)]]*Table18[[#This Row],[Packaged Width (m)]]*Table18[[#This Row],[Packaged Length (m)]]</calculatedColumnFormula>
    </tableColumn>
    <tableColumn id="8" xr3:uid="{115D2CFF-62CF-4AE5-8106-6AFF9EA5F8A8}" name="Final product packaged volume per day (m^3)">
      <calculatedColumnFormula>Table18[[#This Row],[Final product packaged volume per unit (m^3)]]*Table18[[#This Row],[Production rate per day]]</calculatedColumnFormula>
    </tableColumn>
    <tableColumn id="6" xr3:uid="{BE397AA7-1CC5-4683-AC6C-43C0C20361C9}" name="Storage space correction factor"/>
    <tableColumn id="7" xr3:uid="{0926A8A5-40C8-4DE0-AA9A-026EEEC08E25}" name="Storage space required (m^3)">
      <calculatedColumnFormula>Table18[[#This Row],[Final product packaged volume per day (m^3)]]*Table18[[#This Row],[Storage space correction factor]]</calculatedColumnFormula>
    </tableColumn>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F14F3EA-97AC-4811-B08B-47EA34DD0DC4}" name="Table19" displayName="Table19" ref="B23:J24" totalsRowShown="0" headerRowCellStyle="Output 2">
  <autoFilter ref="B23:J24" xr:uid="{7F14F3EA-97AC-4811-B08B-47EA34DD0D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C3C1CE42-2679-4AF8-8B26-F121F8705050}" name="Production rate per day"/>
    <tableColumn id="2" xr3:uid="{E13DFE2A-3ED3-435D-9917-4032BA7ABDAB}" name="Material"/>
    <tableColumn id="3" xr3:uid="{F1B53F06-258D-4DE6-985C-85E62A16C1B7}" name="Material volume per unit (m^3)"/>
    <tableColumn id="4" xr3:uid="{594AF904-66EA-4EE9-B0FF-38EC8FBA8E81}" name="Material volume per day (m^3)"/>
    <tableColumn id="9" xr3:uid="{0F1017A4-C6D4-4E50-8903-9D48D902488B}" name="Material mass per day (kg)"/>
    <tableColumn id="5" xr3:uid="{0F713BB3-7AAF-4A28-9DE7-83FA57481F7D}" name="Haulage rate (£/m^3)"/>
    <tableColumn id="6" xr3:uid="{00E106B0-C7F0-46AE-9EBC-BCD99D4A1412}" name="Shipping rate (£/m^3)"/>
    <tableColumn id="7" xr3:uid="{668E25D1-DAA1-4928-9058-700ADA68316C}" name="Delivery Costs - lower (£)"/>
    <tableColumn id="8" xr3:uid="{B3F41083-67CA-41DF-B6C6-6C2970CCBA5C}" name="Delivery Costs - upper (£)"/>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drawing" Target="../drawings/drawing2.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7" Type="http://schemas.openxmlformats.org/officeDocument/2006/relationships/comments" Target="../comments4.xml"/><Relationship Id="rId2" Type="http://schemas.openxmlformats.org/officeDocument/2006/relationships/table" Target="../tables/table7.xml"/><Relationship Id="rId1" Type="http://schemas.openxmlformats.org/officeDocument/2006/relationships/vmlDrawing" Target="../drawings/vmlDrawing4.vm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50424-4E34-4291-BC6D-AB5C95B9376B}">
  <dimension ref="A4:K19"/>
  <sheetViews>
    <sheetView topLeftCell="A12" workbookViewId="0">
      <selection activeCell="H30" sqref="H30"/>
    </sheetView>
  </sheetViews>
  <sheetFormatPr defaultRowHeight="14.45"/>
  <sheetData>
    <row r="4" spans="1:11">
      <c r="A4" t="s">
        <v>0</v>
      </c>
    </row>
    <row r="7" spans="1:11">
      <c r="A7" t="s">
        <v>1</v>
      </c>
    </row>
    <row r="8" spans="1:11">
      <c r="A8" t="s">
        <v>2</v>
      </c>
    </row>
    <row r="11" spans="1:11" ht="16.149999999999999" thickBot="1">
      <c r="B11" s="11" t="s">
        <v>3</v>
      </c>
      <c r="C11" s="12"/>
      <c r="D11" s="12"/>
      <c r="E11" s="12"/>
      <c r="F11" s="12"/>
      <c r="G11" s="12"/>
      <c r="J11" s="7" t="s">
        <v>4</v>
      </c>
      <c r="K11" s="8" t="s">
        <v>5</v>
      </c>
    </row>
    <row r="12" spans="1:11" ht="129.6">
      <c r="B12" s="13" t="s">
        <v>6</v>
      </c>
      <c r="C12" s="13" t="s">
        <v>7</v>
      </c>
      <c r="D12" s="13" t="s">
        <v>8</v>
      </c>
      <c r="E12" s="13" t="s">
        <v>9</v>
      </c>
      <c r="F12" s="13" t="s">
        <v>10</v>
      </c>
      <c r="G12" s="13" t="s">
        <v>11</v>
      </c>
      <c r="J12" s="10" t="s">
        <v>12</v>
      </c>
      <c r="K12" s="9">
        <v>0.20707400000000001</v>
      </c>
    </row>
    <row r="13" spans="1:11">
      <c r="B13" s="14">
        <v>2023</v>
      </c>
      <c r="C13" s="14">
        <v>0</v>
      </c>
      <c r="D13" s="14">
        <f>G13*-264.9342024/1000</f>
        <v>-0.33116775300000001</v>
      </c>
      <c r="E13" s="14">
        <f>(-14.1994789406028/100)*Manufacture!$G$6</f>
        <v>0</v>
      </c>
      <c r="F13" s="14">
        <f t="shared" ref="F13:F19" si="0">IF(ISNUMBER((1+((D13-D12)/D12))*(1-C13/100)*(1+((E13-E12)/E12))),(1+((D13-D12)/D12))*(1-C13/100)*(1+((E13-E12)/E12)),0)</f>
        <v>0</v>
      </c>
      <c r="G13" s="14">
        <v>1.25</v>
      </c>
    </row>
    <row r="14" spans="1:11">
      <c r="B14" s="14">
        <v>2024</v>
      </c>
      <c r="C14" s="14">
        <v>3.5</v>
      </c>
      <c r="D14" s="14">
        <f>G13*-268.9687334/1000</f>
        <v>-0.33621091675000003</v>
      </c>
      <c r="E14" s="14">
        <f>(-14.2735889776905/100)*G13</f>
        <v>-0.17841986222113124</v>
      </c>
      <c r="F14" s="14">
        <f t="shared" si="0"/>
        <v>0</v>
      </c>
      <c r="G14" s="14"/>
    </row>
    <row r="15" spans="1:11">
      <c r="B15" s="14">
        <v>2025</v>
      </c>
      <c r="C15" s="14">
        <v>3.5</v>
      </c>
      <c r="D15" s="14">
        <f>G13*-273.064704/1000</f>
        <v>-0.34133088</v>
      </c>
      <c r="E15" s="14">
        <f>(-13.0663879498327/100)*G13</f>
        <v>-0.16332984937290876</v>
      </c>
      <c r="F15" s="14">
        <f t="shared" si="0"/>
        <v>0.8968368503678128</v>
      </c>
      <c r="G15" s="14"/>
    </row>
    <row r="16" spans="1:11">
      <c r="B16" s="14">
        <v>2026</v>
      </c>
      <c r="C16" s="14">
        <v>3.5</v>
      </c>
      <c r="D16" s="14">
        <f>G13*-277.2230497/1000</f>
        <v>-0.34652881212499997</v>
      </c>
      <c r="E16" s="14">
        <f>(-12.2070275900044/100)*G13</f>
        <v>-0.152587844875055</v>
      </c>
      <c r="F16" s="14">
        <f t="shared" si="0"/>
        <v>0.91526206061724646</v>
      </c>
      <c r="G16" s="14"/>
    </row>
    <row r="17" spans="2:7">
      <c r="B17" s="14">
        <v>2027</v>
      </c>
      <c r="C17" s="14">
        <v>3.5</v>
      </c>
      <c r="D17" s="14">
        <f>G13*-281.4447205/1000</f>
        <v>-0.35180590062500006</v>
      </c>
      <c r="E17" s="14">
        <f>(-10.9583963171583/100)*G13</f>
        <v>-0.13697995396447876</v>
      </c>
      <c r="F17" s="14">
        <f t="shared" si="0"/>
        <v>0.87948443867538995</v>
      </c>
      <c r="G17" s="14"/>
    </row>
    <row r="18" spans="2:7">
      <c r="B18" s="14">
        <v>2028</v>
      </c>
      <c r="C18" s="14">
        <v>3.5</v>
      </c>
      <c r="D18" s="14">
        <f>G13*-285.7306807/1000</f>
        <v>-0.35716335087500001</v>
      </c>
      <c r="E18" s="14">
        <f>(-9.88675871473334/100)*G13</f>
        <v>-0.12358448393416675</v>
      </c>
      <c r="F18" s="14">
        <f t="shared" si="0"/>
        <v>0.88388958239844206</v>
      </c>
      <c r="G18" s="14"/>
    </row>
    <row r="19" spans="2:7">
      <c r="B19" s="14">
        <v>2029</v>
      </c>
      <c r="C19" s="14">
        <v>3.5</v>
      </c>
      <c r="D19" s="14">
        <f>G13*-290.0819094/1000</f>
        <v>-0.36260238674999995</v>
      </c>
      <c r="E19" s="14">
        <f>(-9.87996276370579/100)*G13</f>
        <v>-0.12349953454632237</v>
      </c>
      <c r="F19" s="14">
        <f t="shared" si="0"/>
        <v>0.97902200953799401</v>
      </c>
      <c r="G19" s="1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52637-F736-443D-9AFD-42FDD6CB4BF6}">
  <dimension ref="B2:Q38"/>
  <sheetViews>
    <sheetView topLeftCell="A12" workbookViewId="0">
      <selection activeCell="T28" sqref="T28"/>
    </sheetView>
  </sheetViews>
  <sheetFormatPr defaultRowHeight="14.45"/>
  <cols>
    <col min="2" max="2" width="27.85546875" bestFit="1" customWidth="1"/>
  </cols>
  <sheetData>
    <row r="2" spans="2:17">
      <c r="B2" s="2" t="s">
        <v>13</v>
      </c>
    </row>
    <row r="4" spans="2:17">
      <c r="C4" s="90" t="s">
        <v>14</v>
      </c>
      <c r="D4" s="90"/>
      <c r="E4" s="90"/>
      <c r="F4" s="90" t="s">
        <v>15</v>
      </c>
      <c r="G4" s="90"/>
      <c r="H4" s="90"/>
      <c r="I4" s="90" t="s">
        <v>16</v>
      </c>
      <c r="J4" s="90"/>
      <c r="K4" s="90"/>
      <c r="L4" s="90" t="s">
        <v>17</v>
      </c>
      <c r="M4" s="90"/>
      <c r="N4" s="90"/>
      <c r="O4" s="90" t="s">
        <v>18</v>
      </c>
      <c r="P4" s="90"/>
      <c r="Q4" s="90"/>
    </row>
    <row r="5" spans="2:17">
      <c r="C5" s="60" t="s">
        <v>19</v>
      </c>
      <c r="D5" s="60" t="s">
        <v>20</v>
      </c>
      <c r="E5" s="60" t="s">
        <v>21</v>
      </c>
      <c r="F5" s="60" t="s">
        <v>19</v>
      </c>
      <c r="G5" s="60" t="s">
        <v>20</v>
      </c>
      <c r="H5" s="60" t="s">
        <v>21</v>
      </c>
      <c r="I5" s="60" t="s">
        <v>19</v>
      </c>
      <c r="J5" s="60" t="s">
        <v>20</v>
      </c>
      <c r="K5" s="60" t="s">
        <v>21</v>
      </c>
      <c r="L5" s="60" t="s">
        <v>19</v>
      </c>
      <c r="M5" s="60" t="s">
        <v>20</v>
      </c>
      <c r="N5" s="60" t="s">
        <v>21</v>
      </c>
      <c r="O5" s="60" t="s">
        <v>19</v>
      </c>
      <c r="P5" s="60" t="s">
        <v>20</v>
      </c>
      <c r="Q5" s="60" t="s">
        <v>21</v>
      </c>
    </row>
    <row r="6" spans="2:17">
      <c r="B6" s="2" t="s">
        <v>22</v>
      </c>
    </row>
    <row r="7" spans="2:17">
      <c r="B7" t="s">
        <v>23</v>
      </c>
    </row>
    <row r="8" spans="2:17" ht="15" thickBot="1">
      <c r="B8" t="s">
        <v>24</v>
      </c>
      <c r="C8" s="89"/>
      <c r="D8" s="89"/>
      <c r="E8" s="89"/>
      <c r="F8" s="89"/>
      <c r="G8" s="89"/>
      <c r="H8" s="89"/>
      <c r="I8" s="89"/>
      <c r="J8" s="89"/>
      <c r="K8" s="89"/>
      <c r="L8" s="89"/>
      <c r="M8" s="89"/>
      <c r="N8" s="89"/>
      <c r="O8" s="89"/>
      <c r="P8" s="89"/>
      <c r="Q8" s="89"/>
    </row>
    <row r="10" spans="2:17">
      <c r="B10" s="2" t="s">
        <v>25</v>
      </c>
    </row>
    <row r="11" spans="2:17">
      <c r="B11" t="s">
        <v>26</v>
      </c>
    </row>
    <row r="12" spans="2:17">
      <c r="B12" t="s">
        <v>27</v>
      </c>
    </row>
    <row r="13" spans="2:17">
      <c r="B13" t="s">
        <v>28</v>
      </c>
    </row>
    <row r="14" spans="2:17">
      <c r="B14" t="s">
        <v>29</v>
      </c>
    </row>
    <row r="15" spans="2:17">
      <c r="B15" t="s">
        <v>30</v>
      </c>
    </row>
    <row r="16" spans="2:17" ht="15" thickBot="1">
      <c r="B16" t="s">
        <v>31</v>
      </c>
      <c r="C16" s="89"/>
      <c r="D16" s="89"/>
      <c r="E16" s="89"/>
      <c r="F16" s="89"/>
      <c r="G16" s="89"/>
      <c r="H16" s="89"/>
      <c r="I16" s="89"/>
      <c r="J16" s="89"/>
      <c r="K16" s="89"/>
      <c r="L16" s="89"/>
      <c r="M16" s="89"/>
      <c r="N16" s="89"/>
      <c r="O16" s="89"/>
      <c r="P16" s="89"/>
      <c r="Q16" s="89"/>
    </row>
    <row r="18" spans="2:17" ht="15" thickBot="1">
      <c r="B18" s="2" t="s">
        <v>32</v>
      </c>
      <c r="C18" s="88"/>
      <c r="D18" s="88"/>
      <c r="E18" s="88"/>
      <c r="F18" s="88"/>
      <c r="G18" s="88"/>
      <c r="H18" s="88"/>
      <c r="I18" s="88"/>
      <c r="J18" s="88"/>
      <c r="K18" s="88"/>
      <c r="L18" s="88"/>
      <c r="M18" s="88"/>
      <c r="N18" s="88"/>
      <c r="O18" s="88"/>
      <c r="P18" s="88"/>
      <c r="Q18" s="88"/>
    </row>
    <row r="19" spans="2:17" ht="15" thickTop="1"/>
    <row r="20" spans="2:17">
      <c r="B20" s="2" t="s">
        <v>33</v>
      </c>
    </row>
    <row r="21" spans="2:17">
      <c r="B21" t="s">
        <v>34</v>
      </c>
    </row>
    <row r="22" spans="2:17">
      <c r="B22" t="s">
        <v>35</v>
      </c>
    </row>
    <row r="23" spans="2:17">
      <c r="B23" t="s">
        <v>36</v>
      </c>
    </row>
    <row r="24" spans="2:17">
      <c r="B24" t="s">
        <v>37</v>
      </c>
    </row>
    <row r="25" spans="2:17">
      <c r="B25" t="s">
        <v>38</v>
      </c>
    </row>
    <row r="26" spans="2:17" ht="15" thickBot="1">
      <c r="B26" t="s">
        <v>39</v>
      </c>
      <c r="C26" s="89"/>
      <c r="D26" s="89"/>
      <c r="E26" s="89"/>
      <c r="F26" s="89"/>
      <c r="G26" s="89"/>
      <c r="H26" s="89"/>
      <c r="I26" s="89"/>
      <c r="J26" s="89"/>
      <c r="K26" s="89"/>
      <c r="L26" s="89"/>
      <c r="M26" s="89"/>
      <c r="N26" s="89"/>
      <c r="O26" s="89"/>
      <c r="P26" s="89"/>
      <c r="Q26" s="89"/>
    </row>
    <row r="28" spans="2:17" ht="15" thickBot="1">
      <c r="B28" s="2" t="s">
        <v>40</v>
      </c>
      <c r="C28" s="88"/>
      <c r="D28" s="88"/>
      <c r="E28" s="88"/>
      <c r="F28" s="88"/>
      <c r="G28" s="88"/>
      <c r="H28" s="88"/>
      <c r="I28" s="88"/>
      <c r="J28" s="88"/>
      <c r="K28" s="88"/>
      <c r="L28" s="88"/>
      <c r="M28" s="88"/>
      <c r="N28" s="88"/>
      <c r="O28" s="88"/>
      <c r="P28" s="88"/>
      <c r="Q28" s="88"/>
    </row>
    <row r="29" spans="2:17" ht="15" thickTop="1"/>
    <row r="30" spans="2:17">
      <c r="B30" s="2" t="s">
        <v>41</v>
      </c>
    </row>
    <row r="31" spans="2:17">
      <c r="B31" t="s">
        <v>42</v>
      </c>
    </row>
    <row r="32" spans="2:17">
      <c r="B32" t="s">
        <v>43</v>
      </c>
    </row>
    <row r="33" spans="2:17">
      <c r="B33" t="s">
        <v>44</v>
      </c>
    </row>
    <row r="34" spans="2:17">
      <c r="B34" t="s">
        <v>45</v>
      </c>
    </row>
    <row r="35" spans="2:17" ht="15" thickBot="1">
      <c r="B35" t="s">
        <v>46</v>
      </c>
      <c r="C35" s="89"/>
      <c r="D35" s="89"/>
      <c r="E35" s="89"/>
      <c r="F35" s="89"/>
      <c r="G35" s="89"/>
      <c r="H35" s="89"/>
      <c r="I35" s="89"/>
      <c r="J35" s="89"/>
      <c r="K35" s="89"/>
      <c r="L35" s="89"/>
      <c r="M35" s="89"/>
      <c r="N35" s="89"/>
      <c r="O35" s="89"/>
      <c r="P35" s="89"/>
      <c r="Q35" s="89"/>
    </row>
    <row r="37" spans="2:17" ht="15" thickBot="1">
      <c r="B37" s="2" t="s">
        <v>47</v>
      </c>
      <c r="C37" s="88"/>
      <c r="D37" s="88"/>
      <c r="E37" s="88"/>
      <c r="F37" s="88"/>
      <c r="G37" s="88"/>
      <c r="H37" s="88"/>
      <c r="I37" s="88"/>
      <c r="J37" s="88"/>
      <c r="K37" s="88"/>
      <c r="L37" s="88"/>
      <c r="M37" s="88"/>
      <c r="N37" s="88"/>
      <c r="O37" s="88"/>
      <c r="P37" s="88"/>
      <c r="Q37" s="88"/>
    </row>
    <row r="38" spans="2:17" ht="15" thickTop="1"/>
  </sheetData>
  <mergeCells count="5">
    <mergeCell ref="C4:E4"/>
    <mergeCell ref="F4:H4"/>
    <mergeCell ref="I4:K4"/>
    <mergeCell ref="L4:N4"/>
    <mergeCell ref="O4:Q4"/>
  </mergeCells>
  <phoneticPr fontId="2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616A9-977F-4A47-B250-9CCA95787833}">
  <dimension ref="B2:G7"/>
  <sheetViews>
    <sheetView workbookViewId="0">
      <selection activeCell="B8" sqref="B8"/>
    </sheetView>
  </sheetViews>
  <sheetFormatPr defaultRowHeight="14.45"/>
  <sheetData>
    <row r="2" spans="2:7">
      <c r="B2" s="2" t="s">
        <v>48</v>
      </c>
    </row>
    <row r="5" spans="2:7">
      <c r="C5" t="s">
        <v>49</v>
      </c>
      <c r="D5" t="s">
        <v>50</v>
      </c>
      <c r="E5" t="s">
        <v>51</v>
      </c>
      <c r="F5" t="s">
        <v>52</v>
      </c>
      <c r="G5" t="s">
        <v>53</v>
      </c>
    </row>
    <row r="6" spans="2:7">
      <c r="B6" t="s">
        <v>54</v>
      </c>
    </row>
    <row r="7" spans="2:7">
      <c r="B7" t="s">
        <v>55</v>
      </c>
    </row>
  </sheetData>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23E5-9E38-43DE-9CFB-0ED4CAFAC4CB}">
  <dimension ref="B1:P158"/>
  <sheetViews>
    <sheetView zoomScale="70" zoomScaleNormal="70" workbookViewId="0">
      <selection activeCell="F28" sqref="F28"/>
    </sheetView>
  </sheetViews>
  <sheetFormatPr defaultRowHeight="14.45"/>
  <cols>
    <col min="2" max="2" width="51.7109375" bestFit="1" customWidth="1"/>
    <col min="3" max="3" width="18.7109375" bestFit="1" customWidth="1"/>
    <col min="4" max="4" width="9.7109375" customWidth="1"/>
    <col min="5" max="5" width="21.85546875" bestFit="1" customWidth="1"/>
    <col min="6" max="6" width="26.28515625" bestFit="1" customWidth="1"/>
    <col min="7" max="7" width="32.7109375" bestFit="1" customWidth="1"/>
    <col min="8" max="8" width="20.140625" bestFit="1" customWidth="1"/>
    <col min="9" max="9" width="16.28515625" bestFit="1" customWidth="1"/>
    <col min="10" max="10" width="21.85546875" bestFit="1" customWidth="1"/>
    <col min="12" max="12" width="29.42578125" bestFit="1" customWidth="1"/>
    <col min="13" max="13" width="14.85546875" bestFit="1" customWidth="1"/>
    <col min="14" max="14" width="12.7109375" bestFit="1" customWidth="1"/>
    <col min="15" max="15" width="21.85546875" bestFit="1" customWidth="1"/>
  </cols>
  <sheetData>
    <row r="1" spans="2:8" ht="21">
      <c r="B1" s="1" t="s">
        <v>56</v>
      </c>
    </row>
    <row r="2" spans="2:8">
      <c r="D2" t="s">
        <v>57</v>
      </c>
    </row>
    <row r="4" spans="2:8">
      <c r="B4" s="61" t="s">
        <v>6</v>
      </c>
      <c r="C4" s="61" t="s">
        <v>58</v>
      </c>
      <c r="D4" s="61" t="s">
        <v>59</v>
      </c>
      <c r="E4" s="61" t="s">
        <v>60</v>
      </c>
      <c r="F4" s="61" t="s">
        <v>61</v>
      </c>
      <c r="G4" s="61" t="s">
        <v>62</v>
      </c>
      <c r="H4" s="61" t="s">
        <v>63</v>
      </c>
    </row>
    <row r="5" spans="2:8">
      <c r="B5" s="14">
        <v>2024</v>
      </c>
      <c r="C5" s="14">
        <v>0</v>
      </c>
      <c r="D5" s="14">
        <f>C5</f>
        <v>0</v>
      </c>
      <c r="E5" s="14"/>
      <c r="F5" s="14">
        <v>27.8</v>
      </c>
      <c r="G5" s="14">
        <f>E5/(1-F5/100)</f>
        <v>0</v>
      </c>
      <c r="H5" s="14">
        <f>G5*D5</f>
        <v>0</v>
      </c>
    </row>
    <row r="6" spans="2:8">
      <c r="B6" s="14">
        <v>2025</v>
      </c>
      <c r="C6" s="14">
        <v>200</v>
      </c>
      <c r="D6" s="14">
        <f t="shared" ref="D6:D9" si="0">C6</f>
        <v>200</v>
      </c>
      <c r="E6" s="14"/>
      <c r="F6" s="14" t="e">
        <f>((G6-E6)/G6)*100</f>
        <v>#DIV/0!</v>
      </c>
      <c r="G6" s="14">
        <f>G5</f>
        <v>0</v>
      </c>
      <c r="H6" s="14">
        <f t="shared" ref="H6:H9" si="1">G6*D6</f>
        <v>0</v>
      </c>
    </row>
    <row r="7" spans="2:8">
      <c r="B7" s="14">
        <v>2026</v>
      </c>
      <c r="C7" s="14">
        <v>600</v>
      </c>
      <c r="D7" s="14">
        <f t="shared" si="0"/>
        <v>600</v>
      </c>
      <c r="E7" s="14"/>
      <c r="F7" s="14" t="e">
        <f t="shared" ref="F7:F9" si="2">((G7-E7)/G7)*100</f>
        <v>#DIV/0!</v>
      </c>
      <c r="G7" s="14">
        <f t="shared" ref="G7:G9" si="3">G6</f>
        <v>0</v>
      </c>
      <c r="H7" s="14">
        <f t="shared" si="1"/>
        <v>0</v>
      </c>
    </row>
    <row r="8" spans="2:8">
      <c r="B8" s="14">
        <v>2027</v>
      </c>
      <c r="C8" s="14">
        <v>1200</v>
      </c>
      <c r="D8" s="14">
        <f t="shared" si="0"/>
        <v>1200</v>
      </c>
      <c r="E8" s="14"/>
      <c r="F8" s="14" t="e">
        <f t="shared" si="2"/>
        <v>#DIV/0!</v>
      </c>
      <c r="G8" s="14">
        <f t="shared" si="3"/>
        <v>0</v>
      </c>
      <c r="H8" s="14">
        <f t="shared" si="1"/>
        <v>0</v>
      </c>
    </row>
    <row r="9" spans="2:8">
      <c r="B9" s="14">
        <v>2028</v>
      </c>
      <c r="C9" s="14">
        <v>1200</v>
      </c>
      <c r="D9" s="14">
        <f t="shared" si="0"/>
        <v>1200</v>
      </c>
      <c r="E9" s="14"/>
      <c r="F9" s="14" t="e">
        <f t="shared" si="2"/>
        <v>#DIV/0!</v>
      </c>
      <c r="G9" s="14">
        <f t="shared" si="3"/>
        <v>0</v>
      </c>
      <c r="H9" s="14">
        <f t="shared" si="1"/>
        <v>0</v>
      </c>
    </row>
    <row r="15" spans="2:8">
      <c r="B15" s="2" t="s">
        <v>64</v>
      </c>
    </row>
    <row r="17" spans="2:10" ht="28.9">
      <c r="B17" s="61" t="s">
        <v>65</v>
      </c>
      <c r="C17" s="80">
        <f>L107*$I$18</f>
        <v>-374098.36436089972</v>
      </c>
      <c r="D17" s="14" t="s">
        <v>66</v>
      </c>
      <c r="E17" s="80">
        <f>L108*$I$18</f>
        <v>2324783.345843378</v>
      </c>
      <c r="F17" s="61" t="s">
        <v>67</v>
      </c>
      <c r="G17" s="80">
        <f>I108*$I$18</f>
        <v>975342.49074123916</v>
      </c>
      <c r="I17" s="13" t="s">
        <v>11</v>
      </c>
    </row>
    <row r="18" spans="2:10">
      <c r="I18" s="14">
        <v>1.25</v>
      </c>
    </row>
    <row r="19" spans="2:10">
      <c r="B19" s="61" t="s">
        <v>68</v>
      </c>
      <c r="C19" s="81">
        <v>2.67</v>
      </c>
    </row>
    <row r="21" spans="2:10">
      <c r="B21" s="2" t="s">
        <v>69</v>
      </c>
    </row>
    <row r="23" spans="2:10">
      <c r="B23" s="14" t="s">
        <v>70</v>
      </c>
      <c r="C23" s="14" t="s">
        <v>71</v>
      </c>
      <c r="D23" s="14" t="s">
        <v>72</v>
      </c>
      <c r="E23" s="14" t="s">
        <v>73</v>
      </c>
      <c r="G23" s="14" t="s">
        <v>70</v>
      </c>
      <c r="H23" s="14" t="s">
        <v>74</v>
      </c>
      <c r="I23" s="14" t="s">
        <v>72</v>
      </c>
      <c r="J23" s="14" t="s">
        <v>75</v>
      </c>
    </row>
    <row r="24" spans="2:10">
      <c r="B24" s="65" t="s">
        <v>76</v>
      </c>
      <c r="C24" s="65">
        <v>2.9</v>
      </c>
      <c r="D24" s="14">
        <v>1100000</v>
      </c>
      <c r="E24" s="14">
        <f>(C24-$C$36)^2</f>
        <v>0.39550123456790087</v>
      </c>
      <c r="G24" s="65" t="s">
        <v>76</v>
      </c>
      <c r="H24" s="65">
        <v>2.4900000000000002</v>
      </c>
      <c r="I24" s="14">
        <v>1100000</v>
      </c>
      <c r="J24" s="14">
        <f t="shared" ref="J24:J35" si="4">(H24-$H$39)^2</f>
        <v>5.7760111111111065</v>
      </c>
    </row>
    <row r="25" spans="2:10">
      <c r="B25" s="65" t="s">
        <v>77</v>
      </c>
      <c r="C25" s="65">
        <v>11</v>
      </c>
      <c r="D25" s="14">
        <v>30000000</v>
      </c>
      <c r="E25" s="14">
        <f t="shared" ref="E25:E32" si="5">(C25-$C$36)^2</f>
        <v>55.817501234567914</v>
      </c>
      <c r="G25" s="65" t="s">
        <v>77</v>
      </c>
      <c r="H25" s="65">
        <v>20.100000000000001</v>
      </c>
      <c r="I25" s="14">
        <v>30000000</v>
      </c>
      <c r="J25" s="14">
        <f t="shared" si="4"/>
        <v>231.24271111111116</v>
      </c>
    </row>
    <row r="26" spans="2:10">
      <c r="B26" s="65" t="s">
        <v>78</v>
      </c>
      <c r="C26" s="65">
        <v>0.86</v>
      </c>
      <c r="D26" s="14">
        <v>500000</v>
      </c>
      <c r="E26" s="14">
        <f t="shared" si="5"/>
        <v>7.122967901234567</v>
      </c>
      <c r="G26" s="68" t="s">
        <v>78</v>
      </c>
      <c r="H26" s="65">
        <v>1.32</v>
      </c>
      <c r="I26" s="14">
        <v>500000</v>
      </c>
      <c r="J26" s="14">
        <f t="shared" si="4"/>
        <v>12.768711111111104</v>
      </c>
    </row>
    <row r="27" spans="2:10">
      <c r="B27" s="65" t="s">
        <v>79</v>
      </c>
      <c r="C27" s="65">
        <v>6.5</v>
      </c>
      <c r="D27" s="14">
        <v>18700000</v>
      </c>
      <c r="E27" s="14">
        <f t="shared" si="5"/>
        <v>8.8275012345679027</v>
      </c>
      <c r="G27" s="65" t="s">
        <v>79</v>
      </c>
      <c r="H27" s="65">
        <v>10.9</v>
      </c>
      <c r="I27" s="14">
        <v>18700000</v>
      </c>
      <c r="J27" s="14">
        <f t="shared" si="4"/>
        <v>36.080044444444454</v>
      </c>
    </row>
    <row r="28" spans="2:10">
      <c r="B28" s="65" t="s">
        <v>80</v>
      </c>
      <c r="C28" s="65">
        <v>2.5</v>
      </c>
      <c r="D28" s="14">
        <v>3000000</v>
      </c>
      <c r="E28" s="14">
        <f t="shared" si="5"/>
        <v>1.0586123456790115</v>
      </c>
      <c r="G28" s="65" t="s">
        <v>80</v>
      </c>
      <c r="H28" s="65">
        <v>4.9000000000000004</v>
      </c>
      <c r="I28" s="14">
        <v>3000000</v>
      </c>
      <c r="J28" s="14">
        <f t="shared" si="4"/>
        <v>4.4444444444458338E-5</v>
      </c>
    </row>
    <row r="29" spans="2:10">
      <c r="B29" s="65" t="s">
        <v>81</v>
      </c>
      <c r="C29" s="65">
        <v>1.5</v>
      </c>
      <c r="D29" s="14">
        <v>270000</v>
      </c>
      <c r="E29" s="14">
        <f t="shared" si="5"/>
        <v>4.1163901234567888</v>
      </c>
      <c r="G29" s="65" t="s">
        <v>81</v>
      </c>
      <c r="H29" s="65">
        <v>0.91</v>
      </c>
      <c r="I29" s="14">
        <v>270000</v>
      </c>
      <c r="J29" s="14">
        <f t="shared" si="4"/>
        <v>15.866944444444437</v>
      </c>
    </row>
    <row r="30" spans="2:10">
      <c r="B30" s="65" t="s">
        <v>82</v>
      </c>
      <c r="C30" s="65">
        <v>0.5</v>
      </c>
      <c r="D30" s="14">
        <v>58000</v>
      </c>
      <c r="E30" s="14">
        <f t="shared" si="5"/>
        <v>9.1741679012345649</v>
      </c>
      <c r="G30" s="65" t="s">
        <v>83</v>
      </c>
      <c r="H30" s="65">
        <v>2.2999999999999998</v>
      </c>
      <c r="I30" s="14">
        <v>15000</v>
      </c>
      <c r="J30" s="14">
        <f t="shared" si="4"/>
        <v>6.7253777777777755</v>
      </c>
    </row>
    <row r="31" spans="2:10">
      <c r="B31" s="65" t="s">
        <v>84</v>
      </c>
      <c r="C31" s="65">
        <v>3.5</v>
      </c>
      <c r="D31" s="14">
        <v>31000</v>
      </c>
      <c r="E31" s="14">
        <f t="shared" si="5"/>
        <v>8.3456790123454655E-4</v>
      </c>
      <c r="G31" s="65" t="s">
        <v>82</v>
      </c>
      <c r="H31" s="65">
        <v>0.8</v>
      </c>
      <c r="I31" s="14">
        <v>58000</v>
      </c>
      <c r="J31" s="14">
        <f t="shared" si="4"/>
        <v>16.755377777777774</v>
      </c>
    </row>
    <row r="32" spans="2:10">
      <c r="B32" s="66" t="s">
        <v>85</v>
      </c>
      <c r="C32" s="65">
        <v>2.5</v>
      </c>
      <c r="D32" s="14">
        <v>100000</v>
      </c>
      <c r="E32" s="14">
        <f t="shared" si="5"/>
        <v>1.0586123456790115</v>
      </c>
      <c r="G32" s="68" t="s">
        <v>84</v>
      </c>
      <c r="H32" s="65">
        <v>5</v>
      </c>
      <c r="I32" s="14">
        <v>31000</v>
      </c>
      <c r="J32" s="14">
        <f t="shared" si="4"/>
        <v>1.1377777777777924E-2</v>
      </c>
    </row>
    <row r="33" spans="2:10">
      <c r="G33" s="68" t="s">
        <v>86</v>
      </c>
      <c r="H33" s="65">
        <v>5</v>
      </c>
      <c r="I33" s="14">
        <v>100000</v>
      </c>
      <c r="J33" s="14">
        <f t="shared" si="4"/>
        <v>1.1377777777777924E-2</v>
      </c>
    </row>
    <row r="34" spans="2:10">
      <c r="C34" s="91" t="s">
        <v>87</v>
      </c>
      <c r="D34" s="91"/>
      <c r="E34" s="14">
        <f>SUM(E24:E32)</f>
        <v>87.572088888888885</v>
      </c>
      <c r="G34" s="66" t="s">
        <v>85</v>
      </c>
      <c r="H34" s="65">
        <v>3</v>
      </c>
      <c r="I34" s="14">
        <v>100000</v>
      </c>
      <c r="J34" s="14">
        <f t="shared" si="4"/>
        <v>3.5847111111111083</v>
      </c>
    </row>
    <row r="35" spans="2:10">
      <c r="G35" s="66" t="s">
        <v>88</v>
      </c>
      <c r="H35" s="66">
        <v>2</v>
      </c>
      <c r="I35" s="14">
        <v>2600</v>
      </c>
      <c r="J35" s="14">
        <f t="shared" si="4"/>
        <v>8.3713777777777736</v>
      </c>
    </row>
    <row r="36" spans="2:10">
      <c r="B36" s="67" t="s">
        <v>89</v>
      </c>
      <c r="C36" s="14">
        <f>AVERAGE(C24:C32)</f>
        <v>3.5288888888888885</v>
      </c>
    </row>
    <row r="37" spans="2:10">
      <c r="H37" s="69" t="s">
        <v>87</v>
      </c>
      <c r="I37" s="70"/>
      <c r="J37" s="14">
        <f>SUM(J24:J35)</f>
        <v>337.19406666666669</v>
      </c>
    </row>
    <row r="39" spans="2:10">
      <c r="G39" s="67" t="s">
        <v>89</v>
      </c>
      <c r="H39" s="14">
        <f>AVERAGE(H24:H35)</f>
        <v>4.8933333333333326</v>
      </c>
    </row>
    <row r="42" spans="2:10">
      <c r="B42" s="2" t="s">
        <v>90</v>
      </c>
      <c r="G42" t="s">
        <v>91</v>
      </c>
    </row>
    <row r="43" spans="2:10" ht="15" thickBot="1"/>
    <row r="44" spans="2:10">
      <c r="B44" s="14" t="s">
        <v>70</v>
      </c>
      <c r="C44" s="14" t="s">
        <v>72</v>
      </c>
      <c r="D44" s="14" t="s">
        <v>71</v>
      </c>
      <c r="E44" s="14" t="s">
        <v>74</v>
      </c>
      <c r="G44" s="20" t="s">
        <v>92</v>
      </c>
      <c r="H44" s="20"/>
    </row>
    <row r="45" spans="2:10">
      <c r="B45" s="65" t="s">
        <v>76</v>
      </c>
      <c r="C45" s="14">
        <v>1100000</v>
      </c>
      <c r="D45" s="65">
        <v>2.9</v>
      </c>
      <c r="E45" s="65">
        <v>2.4900000000000002</v>
      </c>
      <c r="G45" t="s">
        <v>93</v>
      </c>
      <c r="H45">
        <v>0.96948691582475344</v>
      </c>
    </row>
    <row r="46" spans="2:10">
      <c r="B46" s="65" t="s">
        <v>77</v>
      </c>
      <c r="C46" s="14">
        <v>30000000</v>
      </c>
      <c r="D46" s="65">
        <v>11</v>
      </c>
      <c r="E46" s="65">
        <v>20.100000000000001</v>
      </c>
      <c r="G46" t="s">
        <v>94</v>
      </c>
      <c r="H46">
        <v>0.93990487995539262</v>
      </c>
    </row>
    <row r="47" spans="2:10">
      <c r="B47" s="65" t="s">
        <v>78</v>
      </c>
      <c r="C47" s="14">
        <v>500000</v>
      </c>
      <c r="D47" s="65">
        <v>0.86</v>
      </c>
      <c r="E47" s="65">
        <v>1.32</v>
      </c>
      <c r="G47" t="s">
        <v>95</v>
      </c>
      <c r="H47">
        <v>0.91987317327385687</v>
      </c>
    </row>
    <row r="48" spans="2:10">
      <c r="B48" s="65" t="s">
        <v>79</v>
      </c>
      <c r="C48" s="14">
        <v>18700000</v>
      </c>
      <c r="D48" s="65">
        <v>6.5</v>
      </c>
      <c r="E48" s="65">
        <v>10.9</v>
      </c>
      <c r="G48" t="s">
        <v>96</v>
      </c>
      <c r="H48">
        <v>3066939.1824547024</v>
      </c>
    </row>
    <row r="49" spans="2:15" ht="15" thickBot="1">
      <c r="B49" s="65" t="s">
        <v>80</v>
      </c>
      <c r="C49" s="14">
        <v>3000000</v>
      </c>
      <c r="D49" s="65">
        <v>2.5</v>
      </c>
      <c r="E49" s="65">
        <v>4.9000000000000004</v>
      </c>
      <c r="G49" s="18" t="s">
        <v>97</v>
      </c>
      <c r="H49" s="18">
        <v>9</v>
      </c>
    </row>
    <row r="50" spans="2:15">
      <c r="B50" s="65" t="s">
        <v>81</v>
      </c>
      <c r="C50" s="14">
        <v>270000</v>
      </c>
      <c r="D50" s="65">
        <v>1.5</v>
      </c>
      <c r="E50" s="65">
        <v>0.91</v>
      </c>
    </row>
    <row r="51" spans="2:15" ht="15" thickBot="1">
      <c r="B51" s="65" t="s">
        <v>82</v>
      </c>
      <c r="C51" s="14">
        <v>58000</v>
      </c>
      <c r="D51" s="65">
        <v>0.5</v>
      </c>
      <c r="E51" s="65">
        <v>0.8</v>
      </c>
      <c r="G51" t="s">
        <v>98</v>
      </c>
    </row>
    <row r="52" spans="2:15">
      <c r="B52" s="65" t="s">
        <v>84</v>
      </c>
      <c r="C52" s="14">
        <v>31000</v>
      </c>
      <c r="D52" s="65">
        <v>3.5</v>
      </c>
      <c r="E52" s="65">
        <v>5</v>
      </c>
      <c r="G52" s="19"/>
      <c r="H52" s="19" t="s">
        <v>99</v>
      </c>
      <c r="I52" s="19" t="s">
        <v>100</v>
      </c>
      <c r="J52" s="19" t="s">
        <v>101</v>
      </c>
      <c r="K52" s="19" t="s">
        <v>102</v>
      </c>
      <c r="L52" s="19" t="s">
        <v>103</v>
      </c>
    </row>
    <row r="53" spans="2:15">
      <c r="B53" s="66" t="s">
        <v>85</v>
      </c>
      <c r="C53" s="14">
        <v>100000</v>
      </c>
      <c r="D53" s="65">
        <v>2.5</v>
      </c>
      <c r="E53" s="65">
        <v>3</v>
      </c>
      <c r="G53" t="s">
        <v>104</v>
      </c>
      <c r="H53">
        <v>2</v>
      </c>
      <c r="I53">
        <v>882686075862300</v>
      </c>
      <c r="J53">
        <v>441343037931150</v>
      </c>
      <c r="K53">
        <v>46.920858761462846</v>
      </c>
      <c r="L53">
        <v>2.1702892595050862E-4</v>
      </c>
    </row>
    <row r="54" spans="2:15">
      <c r="G54" t="s">
        <v>105</v>
      </c>
      <c r="H54">
        <v>6</v>
      </c>
      <c r="I54">
        <v>56436695693255.508</v>
      </c>
      <c r="J54">
        <v>9406115948875.918</v>
      </c>
    </row>
    <row r="55" spans="2:15" ht="15" thickBot="1">
      <c r="G55" s="18" t="s">
        <v>106</v>
      </c>
      <c r="H55" s="18">
        <v>8</v>
      </c>
      <c r="I55" s="18">
        <v>939122771555555.5</v>
      </c>
      <c r="J55" s="18"/>
      <c r="K55" s="18"/>
      <c r="L55" s="18"/>
    </row>
    <row r="56" spans="2:15" ht="15" thickBot="1"/>
    <row r="57" spans="2:15">
      <c r="G57" s="19"/>
      <c r="H57" s="19" t="s">
        <v>107</v>
      </c>
      <c r="I57" s="19" t="s">
        <v>96</v>
      </c>
      <c r="J57" s="19" t="s">
        <v>108</v>
      </c>
      <c r="K57" s="19" t="s">
        <v>109</v>
      </c>
      <c r="L57" s="19" t="s">
        <v>110</v>
      </c>
      <c r="M57" s="19" t="s">
        <v>111</v>
      </c>
      <c r="N57" s="19" t="s">
        <v>112</v>
      </c>
      <c r="O57" s="19" t="s">
        <v>113</v>
      </c>
    </row>
    <row r="58" spans="2:15">
      <c r="G58" t="s">
        <v>114</v>
      </c>
      <c r="H58">
        <v>-2974619.9975143699</v>
      </c>
      <c r="I58">
        <v>1974649.4636003082</v>
      </c>
      <c r="J58">
        <v>-1.5064040744177709</v>
      </c>
      <c r="K58">
        <v>0.18267914098564259</v>
      </c>
      <c r="L58">
        <v>-7806413.1718550213</v>
      </c>
      <c r="M58">
        <v>1857173.1768262815</v>
      </c>
      <c r="N58">
        <v>-7806413.1718550213</v>
      </c>
      <c r="O58">
        <v>1857173.1768262815</v>
      </c>
    </row>
    <row r="59" spans="2:15">
      <c r="G59" t="s">
        <v>71</v>
      </c>
      <c r="H59">
        <v>-271914.73298510723</v>
      </c>
      <c r="I59">
        <v>2034891.9952142157</v>
      </c>
      <c r="J59">
        <v>-0.13362612542808811</v>
      </c>
      <c r="K59">
        <v>0.89806752037463988</v>
      </c>
      <c r="L59">
        <v>-5251116.0718748048</v>
      </c>
      <c r="M59">
        <v>4707286.6059045903</v>
      </c>
      <c r="N59">
        <v>-5251116.0718748048</v>
      </c>
      <c r="O59">
        <v>4707286.6059045903</v>
      </c>
    </row>
    <row r="60" spans="2:15" ht="15" thickBot="1">
      <c r="G60" s="18" t="s">
        <v>74</v>
      </c>
      <c r="H60" s="18">
        <v>1804261.2686611966</v>
      </c>
      <c r="I60" s="18">
        <v>1066393.4349522244</v>
      </c>
      <c r="J60" s="18">
        <v>1.6919283348195309</v>
      </c>
      <c r="K60" s="18">
        <v>0.14160860421744112</v>
      </c>
      <c r="L60" s="18">
        <v>-805109.46530659334</v>
      </c>
      <c r="M60" s="18">
        <v>4413632.0026289867</v>
      </c>
      <c r="N60" s="18">
        <v>-805109.46530659334</v>
      </c>
      <c r="O60" s="18">
        <v>4413632.0026289867</v>
      </c>
    </row>
    <row r="64" spans="2:15">
      <c r="G64" t="s">
        <v>115</v>
      </c>
      <c r="L64" t="s">
        <v>116</v>
      </c>
    </row>
    <row r="65" spans="7:13" ht="15" thickBot="1"/>
    <row r="66" spans="7:13">
      <c r="G66" s="19" t="s">
        <v>117</v>
      </c>
      <c r="H66" s="19" t="s">
        <v>118</v>
      </c>
      <c r="I66" s="19" t="s">
        <v>119</v>
      </c>
      <c r="J66" s="19" t="s">
        <v>120</v>
      </c>
      <c r="L66" s="19" t="s">
        <v>121</v>
      </c>
      <c r="M66" s="19" t="s">
        <v>72</v>
      </c>
    </row>
    <row r="67" spans="7:13">
      <c r="G67">
        <v>1</v>
      </c>
      <c r="H67">
        <v>729437.83579519857</v>
      </c>
      <c r="I67">
        <v>370562.16420480143</v>
      </c>
      <c r="J67">
        <v>0.13951640546318028</v>
      </c>
      <c r="L67">
        <v>5.5555555555555554</v>
      </c>
      <c r="M67">
        <v>31000</v>
      </c>
    </row>
    <row r="68" spans="7:13">
      <c r="G68">
        <v>2</v>
      </c>
      <c r="H68">
        <v>30299969.439739507</v>
      </c>
      <c r="I68">
        <v>-299969.43973950669</v>
      </c>
      <c r="J68">
        <v>-0.1129382922054884</v>
      </c>
      <c r="L68">
        <v>16.666666666666664</v>
      </c>
      <c r="M68">
        <v>58000</v>
      </c>
    </row>
    <row r="69" spans="7:13">
      <c r="G69">
        <v>3</v>
      </c>
      <c r="H69">
        <v>-826841.7932487824</v>
      </c>
      <c r="I69">
        <v>1326841.7932487824</v>
      </c>
      <c r="J69">
        <v>0.49955504229536168</v>
      </c>
      <c r="L69">
        <v>27.777777777777779</v>
      </c>
      <c r="M69">
        <v>100000</v>
      </c>
    </row>
    <row r="70" spans="7:13">
      <c r="G70">
        <v>4</v>
      </c>
      <c r="H70">
        <v>14924382.066489475</v>
      </c>
      <c r="I70">
        <v>3775617.9335105252</v>
      </c>
      <c r="J70">
        <v>1.4215176112653003</v>
      </c>
      <c r="L70">
        <v>38.888888888888886</v>
      </c>
      <c r="M70">
        <v>270000</v>
      </c>
    </row>
    <row r="71" spans="7:13">
      <c r="G71">
        <v>5</v>
      </c>
      <c r="H71">
        <v>5186473.3864627257</v>
      </c>
      <c r="I71">
        <v>-2186473.3864627257</v>
      </c>
      <c r="J71">
        <v>-0.82320575867425261</v>
      </c>
      <c r="L71">
        <v>50</v>
      </c>
      <c r="M71">
        <v>500000</v>
      </c>
    </row>
    <row r="72" spans="7:13">
      <c r="G72">
        <v>6</v>
      </c>
      <c r="H72">
        <v>-1740614.3425103419</v>
      </c>
      <c r="I72">
        <v>2010614.3425103419</v>
      </c>
      <c r="J72">
        <v>0.75699494696583447</v>
      </c>
      <c r="L72">
        <v>61.111111111111114</v>
      </c>
      <c r="M72">
        <v>1100000</v>
      </c>
    </row>
    <row r="73" spans="7:13">
      <c r="G73">
        <v>7</v>
      </c>
      <c r="H73">
        <v>-1667168.3490779661</v>
      </c>
      <c r="I73">
        <v>1725168.3490779661</v>
      </c>
      <c r="J73">
        <v>0.64952472252181492</v>
      </c>
      <c r="L73">
        <v>72.222222222222214</v>
      </c>
      <c r="M73">
        <v>3000000</v>
      </c>
    </row>
    <row r="74" spans="7:13">
      <c r="G74">
        <v>8</v>
      </c>
      <c r="H74">
        <v>5094984.7803437375</v>
      </c>
      <c r="I74">
        <v>-5063984.7803437375</v>
      </c>
      <c r="J74">
        <v>-1.906586862125889</v>
      </c>
      <c r="L74">
        <v>83.333333333333329</v>
      </c>
      <c r="M74">
        <v>18700000</v>
      </c>
    </row>
    <row r="75" spans="7:13" ht="15" thickBot="1">
      <c r="G75" s="18">
        <v>9</v>
      </c>
      <c r="H75" s="18">
        <v>1758376.976006452</v>
      </c>
      <c r="I75" s="18">
        <v>-1658376.976006452</v>
      </c>
      <c r="J75" s="18">
        <v>-0.62437781550586335</v>
      </c>
      <c r="L75" s="18">
        <v>94.444444444444443</v>
      </c>
      <c r="M75" s="18">
        <v>30000000</v>
      </c>
    </row>
    <row r="101" spans="2:12">
      <c r="B101" s="2" t="s">
        <v>122</v>
      </c>
    </row>
    <row r="104" spans="2:12">
      <c r="B104" s="14" t="s">
        <v>70</v>
      </c>
      <c r="C104" s="14" t="s">
        <v>74</v>
      </c>
      <c r="D104" s="14" t="s">
        <v>72</v>
      </c>
      <c r="E104" s="14" t="s">
        <v>75</v>
      </c>
      <c r="H104" s="2" t="s">
        <v>123</v>
      </c>
    </row>
    <row r="105" spans="2:12" ht="15" thickBot="1">
      <c r="B105" s="65" t="s">
        <v>76</v>
      </c>
      <c r="C105" s="65">
        <v>2.4900000000000002</v>
      </c>
      <c r="D105" s="14">
        <v>1100000</v>
      </c>
      <c r="E105" s="14">
        <f t="shared" ref="E105:E116" si="6">(C105-$H$39)^2</f>
        <v>5.7760111111111065</v>
      </c>
    </row>
    <row r="106" spans="2:12">
      <c r="B106" s="65" t="s">
        <v>77</v>
      </c>
      <c r="C106" s="65">
        <v>20.100000000000001</v>
      </c>
      <c r="D106" s="14">
        <v>30000000</v>
      </c>
      <c r="E106" s="14">
        <f t="shared" si="6"/>
        <v>231.24271111111116</v>
      </c>
      <c r="H106" s="71" t="s">
        <v>124</v>
      </c>
      <c r="I106" s="72">
        <f>$C$19</f>
        <v>2.67</v>
      </c>
      <c r="J106" s="73"/>
      <c r="K106" s="73" t="s">
        <v>125</v>
      </c>
      <c r="L106" s="74">
        <f>I110*(I111*SQRT(1/I109+I112/I113))</f>
        <v>1079552.6840817111</v>
      </c>
    </row>
    <row r="107" spans="2:12">
      <c r="B107" s="68" t="s">
        <v>78</v>
      </c>
      <c r="C107" s="65">
        <v>1.32</v>
      </c>
      <c r="D107" s="14">
        <v>500000</v>
      </c>
      <c r="E107" s="14">
        <f t="shared" si="6"/>
        <v>12.768711111111104</v>
      </c>
      <c r="H107" s="75" t="s">
        <v>126</v>
      </c>
      <c r="I107" s="3">
        <v>0.75</v>
      </c>
      <c r="K107" t="s">
        <v>127</v>
      </c>
      <c r="L107" s="76">
        <f>I108-L106</f>
        <v>-299278.69148871978</v>
      </c>
    </row>
    <row r="108" spans="2:12">
      <c r="B108" s="65" t="s">
        <v>79</v>
      </c>
      <c r="C108" s="65">
        <v>10.9</v>
      </c>
      <c r="D108" s="14">
        <v>18700000</v>
      </c>
      <c r="E108" s="14">
        <f t="shared" si="6"/>
        <v>36.080044444444454</v>
      </c>
      <c r="H108" s="75" t="s">
        <v>128</v>
      </c>
      <c r="I108">
        <f>C139+C140*I106</f>
        <v>780273.99259299133</v>
      </c>
      <c r="K108" t="s">
        <v>129</v>
      </c>
      <c r="L108" s="76">
        <f>I108+L106</f>
        <v>1859826.6766747024</v>
      </c>
    </row>
    <row r="109" spans="2:12">
      <c r="B109" s="65" t="s">
        <v>80</v>
      </c>
      <c r="C109" s="65">
        <v>4.9000000000000004</v>
      </c>
      <c r="D109" s="14">
        <v>3000000</v>
      </c>
      <c r="E109" s="14">
        <f t="shared" si="6"/>
        <v>4.4444444444458338E-5</v>
      </c>
      <c r="H109" s="75" t="s">
        <v>130</v>
      </c>
      <c r="I109">
        <f>C130</f>
        <v>12</v>
      </c>
      <c r="L109" s="76"/>
    </row>
    <row r="110" spans="2:12">
      <c r="B110" s="65" t="s">
        <v>81</v>
      </c>
      <c r="C110" s="65">
        <v>0.91</v>
      </c>
      <c r="D110" s="14">
        <v>270000</v>
      </c>
      <c r="E110" s="14">
        <f t="shared" si="6"/>
        <v>15.866944444444437</v>
      </c>
      <c r="H110" s="75" t="s">
        <v>131</v>
      </c>
      <c r="I110">
        <f>_xlfn.T.INV.2T(1-I107,I109-2)</f>
        <v>1.2212553950039227</v>
      </c>
      <c r="L110" s="76"/>
    </row>
    <row r="111" spans="2:12">
      <c r="B111" s="65" t="s">
        <v>83</v>
      </c>
      <c r="C111" s="65">
        <v>2.2999999999999998</v>
      </c>
      <c r="D111" s="14">
        <v>15000</v>
      </c>
      <c r="E111" s="14">
        <f t="shared" si="6"/>
        <v>6.7253777777777755</v>
      </c>
      <c r="H111" s="75" t="s">
        <v>132</v>
      </c>
      <c r="I111">
        <f>C129</f>
        <v>2823835.7692717207</v>
      </c>
      <c r="L111" s="76"/>
    </row>
    <row r="112" spans="2:12">
      <c r="B112" s="65" t="s">
        <v>82</v>
      </c>
      <c r="C112" s="65">
        <v>0.8</v>
      </c>
      <c r="D112" s="14">
        <v>58000</v>
      </c>
      <c r="E112" s="14">
        <f t="shared" si="6"/>
        <v>16.755377777777774</v>
      </c>
      <c r="H112" s="77" t="s">
        <v>133</v>
      </c>
      <c r="I112">
        <f>(I106-C120)^2</f>
        <v>4.9432111111111086</v>
      </c>
      <c r="L112" s="76"/>
    </row>
    <row r="113" spans="2:16" ht="15" thickBot="1">
      <c r="B113" s="68" t="s">
        <v>84</v>
      </c>
      <c r="C113" s="65">
        <v>5</v>
      </c>
      <c r="D113" s="14">
        <v>31000</v>
      </c>
      <c r="E113" s="14">
        <f t="shared" si="6"/>
        <v>1.1377777777777924E-2</v>
      </c>
      <c r="H113" s="78" t="s">
        <v>134</v>
      </c>
      <c r="I113" s="18">
        <f>E118</f>
        <v>337.19406666666669</v>
      </c>
      <c r="J113" s="18"/>
      <c r="K113" s="18"/>
      <c r="L113" s="79"/>
    </row>
    <row r="114" spans="2:16">
      <c r="B114" s="68" t="s">
        <v>86</v>
      </c>
      <c r="C114" s="65">
        <v>5</v>
      </c>
      <c r="D114" s="14">
        <v>100000</v>
      </c>
      <c r="E114" s="14">
        <f t="shared" si="6"/>
        <v>1.1377777777777924E-2</v>
      </c>
    </row>
    <row r="115" spans="2:16">
      <c r="B115" s="66" t="s">
        <v>85</v>
      </c>
      <c r="C115" s="65">
        <v>3</v>
      </c>
      <c r="D115" s="14">
        <v>100000</v>
      </c>
      <c r="E115" s="14">
        <f t="shared" si="6"/>
        <v>3.5847111111111083</v>
      </c>
      <c r="O115" s="2" t="s">
        <v>135</v>
      </c>
    </row>
    <row r="116" spans="2:16">
      <c r="B116" s="66" t="s">
        <v>88</v>
      </c>
      <c r="C116" s="66">
        <v>2</v>
      </c>
      <c r="D116" s="14">
        <v>2600</v>
      </c>
      <c r="E116" s="14">
        <f t="shared" si="6"/>
        <v>8.3713777777777736</v>
      </c>
      <c r="O116" t="s">
        <v>136</v>
      </c>
      <c r="P116" t="s">
        <v>137</v>
      </c>
    </row>
    <row r="117" spans="2:16">
      <c r="O117" t="s">
        <v>124</v>
      </c>
      <c r="P117" t="s">
        <v>138</v>
      </c>
    </row>
    <row r="118" spans="2:16">
      <c r="C118" s="69" t="s">
        <v>87</v>
      </c>
      <c r="D118" s="70"/>
      <c r="E118" s="14">
        <f>SUM(E105:E116)</f>
        <v>337.19406666666669</v>
      </c>
      <c r="O118" t="s">
        <v>126</v>
      </c>
      <c r="P118" t="s">
        <v>139</v>
      </c>
    </row>
    <row r="119" spans="2:16">
      <c r="O119" t="s">
        <v>128</v>
      </c>
      <c r="P119" t="s">
        <v>140</v>
      </c>
    </row>
    <row r="120" spans="2:16">
      <c r="B120" s="67" t="s">
        <v>89</v>
      </c>
      <c r="C120" s="14">
        <f>AVERAGE(C105:C116)</f>
        <v>4.8933333333333326</v>
      </c>
      <c r="O120" t="s">
        <v>130</v>
      </c>
      <c r="P120" t="s">
        <v>141</v>
      </c>
    </row>
    <row r="121" spans="2:16">
      <c r="O121" t="s">
        <v>131</v>
      </c>
      <c r="P121" t="s">
        <v>142</v>
      </c>
    </row>
    <row r="122" spans="2:16">
      <c r="O122" t="s">
        <v>132</v>
      </c>
      <c r="P122" t="s">
        <v>143</v>
      </c>
    </row>
    <row r="123" spans="2:16">
      <c r="B123" t="s">
        <v>91</v>
      </c>
      <c r="O123" t="s">
        <v>89</v>
      </c>
      <c r="P123" t="s">
        <v>144</v>
      </c>
    </row>
    <row r="124" spans="2:16" ht="15" thickBot="1">
      <c r="O124" t="s">
        <v>134</v>
      </c>
      <c r="P124" t="s">
        <v>145</v>
      </c>
    </row>
    <row r="125" spans="2:16">
      <c r="B125" s="20" t="s">
        <v>92</v>
      </c>
      <c r="C125" s="20"/>
    </row>
    <row r="126" spans="2:16">
      <c r="B126" t="s">
        <v>93</v>
      </c>
      <c r="C126">
        <v>0.96005047196093041</v>
      </c>
    </row>
    <row r="127" spans="2:16">
      <c r="B127" t="s">
        <v>94</v>
      </c>
      <c r="C127">
        <v>0.92169690871240528</v>
      </c>
    </row>
    <row r="128" spans="2:16">
      <c r="B128" t="s">
        <v>95</v>
      </c>
      <c r="C128">
        <v>0.9138665995836458</v>
      </c>
    </row>
    <row r="129" spans="2:10">
      <c r="B129" t="s">
        <v>96</v>
      </c>
      <c r="C129">
        <v>2823835.7692717207</v>
      </c>
    </row>
    <row r="130" spans="2:10" ht="15" thickBot="1">
      <c r="B130" s="18" t="s">
        <v>97</v>
      </c>
      <c r="C130" s="18">
        <v>12</v>
      </c>
    </row>
    <row r="132" spans="2:10" ht="15" thickBot="1">
      <c r="B132" t="s">
        <v>98</v>
      </c>
    </row>
    <row r="133" spans="2:10">
      <c r="B133" s="19"/>
      <c r="C133" s="19" t="s">
        <v>99</v>
      </c>
      <c r="D133" s="19" t="s">
        <v>100</v>
      </c>
      <c r="E133" s="19" t="s">
        <v>101</v>
      </c>
      <c r="F133" s="19" t="s">
        <v>102</v>
      </c>
      <c r="G133" s="19" t="s">
        <v>103</v>
      </c>
    </row>
    <row r="134" spans="2:10">
      <c r="B134" t="s">
        <v>104</v>
      </c>
      <c r="C134">
        <v>1</v>
      </c>
      <c r="D134">
        <v>938616303278482.63</v>
      </c>
      <c r="E134">
        <v>938616303278482.63</v>
      </c>
      <c r="F134">
        <v>117.70887886496848</v>
      </c>
      <c r="G134">
        <v>7.4932531419276299E-7</v>
      </c>
    </row>
    <row r="135" spans="2:10">
      <c r="B135" t="s">
        <v>105</v>
      </c>
      <c r="C135">
        <v>10</v>
      </c>
      <c r="D135">
        <v>79740484518184.094</v>
      </c>
      <c r="E135">
        <v>7974048451818.4092</v>
      </c>
    </row>
    <row r="136" spans="2:10" ht="15" thickBot="1">
      <c r="B136" s="18" t="s">
        <v>106</v>
      </c>
      <c r="C136" s="18">
        <v>11</v>
      </c>
      <c r="D136" s="18">
        <v>1018356787796666.8</v>
      </c>
      <c r="E136" s="18"/>
      <c r="F136" s="18"/>
      <c r="G136" s="18"/>
    </row>
    <row r="137" spans="2:10" ht="15" thickBot="1"/>
    <row r="138" spans="2:10">
      <c r="B138" s="19"/>
      <c r="C138" s="19" t="s">
        <v>107</v>
      </c>
      <c r="D138" s="19" t="s">
        <v>96</v>
      </c>
      <c r="E138" s="19" t="s">
        <v>108</v>
      </c>
      <c r="F138" s="19" t="s">
        <v>109</v>
      </c>
      <c r="G138" s="19" t="s">
        <v>110</v>
      </c>
      <c r="H138" s="19" t="s">
        <v>111</v>
      </c>
      <c r="I138" s="19" t="s">
        <v>112</v>
      </c>
      <c r="J138" s="19" t="s">
        <v>113</v>
      </c>
    </row>
    <row r="139" spans="2:10">
      <c r="B139" t="s">
        <v>114</v>
      </c>
      <c r="C139">
        <v>-3674394.0462870914</v>
      </c>
      <c r="D139">
        <v>1109393.7405493981</v>
      </c>
      <c r="E139">
        <v>-3.3120738940418435</v>
      </c>
      <c r="F139">
        <v>7.8517873696214886E-3</v>
      </c>
      <c r="G139">
        <v>-6146277.3417555857</v>
      </c>
      <c r="H139">
        <v>-1202510.7508185967</v>
      </c>
      <c r="I139">
        <v>-6146277.3417555857</v>
      </c>
      <c r="J139">
        <v>-1202510.7508185967</v>
      </c>
    </row>
    <row r="140" spans="2:10" ht="15" thickBot="1">
      <c r="B140" s="18" t="s">
        <v>74</v>
      </c>
      <c r="C140" s="18">
        <v>1668414.995835237</v>
      </c>
      <c r="D140" s="18">
        <v>153779.86419976776</v>
      </c>
      <c r="E140" s="18">
        <v>10.849372279766628</v>
      </c>
      <c r="F140" s="18">
        <v>7.4932531419276151E-7</v>
      </c>
      <c r="G140" s="18">
        <v>1325772.1057585613</v>
      </c>
      <c r="H140" s="18">
        <v>2011057.8859119127</v>
      </c>
      <c r="I140" s="18">
        <v>1325772.1057585613</v>
      </c>
      <c r="J140" s="18">
        <v>2011057.8859119127</v>
      </c>
    </row>
    <row r="144" spans="2:10">
      <c r="B144" t="s">
        <v>115</v>
      </c>
      <c r="G144" t="s">
        <v>116</v>
      </c>
    </row>
    <row r="145" spans="2:8" ht="15" thickBot="1"/>
    <row r="146" spans="2:8">
      <c r="B146" s="19" t="s">
        <v>117</v>
      </c>
      <c r="C146" s="19" t="s">
        <v>118</v>
      </c>
      <c r="D146" s="19" t="s">
        <v>119</v>
      </c>
      <c r="E146" s="19" t="s">
        <v>120</v>
      </c>
      <c r="G146" s="19" t="s">
        <v>121</v>
      </c>
      <c r="H146" s="19" t="s">
        <v>72</v>
      </c>
    </row>
    <row r="147" spans="2:8">
      <c r="B147">
        <v>1</v>
      </c>
      <c r="C147">
        <v>479959.29334264901</v>
      </c>
      <c r="D147">
        <v>620040.70665735099</v>
      </c>
      <c r="E147">
        <v>0.23029107657192796</v>
      </c>
      <c r="G147">
        <v>4.166666666666667</v>
      </c>
      <c r="H147">
        <v>2600</v>
      </c>
    </row>
    <row r="148" spans="2:8">
      <c r="B148">
        <v>2</v>
      </c>
      <c r="C148">
        <v>29860747.370001175</v>
      </c>
      <c r="D148">
        <v>139252.62999882549</v>
      </c>
      <c r="E148">
        <v>5.1720214065918993E-2</v>
      </c>
      <c r="G148">
        <v>12.5</v>
      </c>
      <c r="H148">
        <v>15000</v>
      </c>
    </row>
    <row r="149" spans="2:8">
      <c r="B149">
        <v>3</v>
      </c>
      <c r="C149">
        <v>-1472086.2517845784</v>
      </c>
      <c r="D149">
        <v>1972086.2517845784</v>
      </c>
      <c r="E149">
        <v>0.73245814531197362</v>
      </c>
      <c r="G149">
        <v>20.833333333333336</v>
      </c>
      <c r="H149">
        <v>31000</v>
      </c>
    </row>
    <row r="150" spans="2:8">
      <c r="B150">
        <v>4</v>
      </c>
      <c r="C150">
        <v>14511329.40831699</v>
      </c>
      <c r="D150">
        <v>4188670.5916830096</v>
      </c>
      <c r="E150">
        <v>1.555726018641745</v>
      </c>
      <c r="G150">
        <v>29.166666666666668</v>
      </c>
      <c r="H150">
        <v>58000</v>
      </c>
    </row>
    <row r="151" spans="2:8">
      <c r="B151">
        <v>5</v>
      </c>
      <c r="C151">
        <v>4500839.4333055699</v>
      </c>
      <c r="D151">
        <v>-1500839.4333055699</v>
      </c>
      <c r="E151">
        <v>-0.55743102855429971</v>
      </c>
      <c r="G151">
        <v>37.5</v>
      </c>
      <c r="H151">
        <v>100000</v>
      </c>
    </row>
    <row r="152" spans="2:8">
      <c r="B152">
        <v>6</v>
      </c>
      <c r="C152">
        <v>-2156136.4000770254</v>
      </c>
      <c r="D152">
        <v>2426136.4000770254</v>
      </c>
      <c r="E152">
        <v>0.90109819804595559</v>
      </c>
      <c r="G152">
        <v>45.833333333333336</v>
      </c>
      <c r="H152">
        <v>100000</v>
      </c>
    </row>
    <row r="153" spans="2:8">
      <c r="B153">
        <v>7</v>
      </c>
      <c r="C153">
        <v>162960.44413395319</v>
      </c>
      <c r="D153">
        <v>-147960.44413395319</v>
      </c>
      <c r="E153">
        <v>-5.4954407999052164E-2</v>
      </c>
      <c r="G153">
        <v>54.166666666666664</v>
      </c>
      <c r="H153">
        <v>270000</v>
      </c>
    </row>
    <row r="154" spans="2:8">
      <c r="B154">
        <v>8</v>
      </c>
      <c r="C154">
        <v>-2339662.0496189017</v>
      </c>
      <c r="D154">
        <v>2397662.0496189017</v>
      </c>
      <c r="E154">
        <v>0.89052245882225423</v>
      </c>
      <c r="G154">
        <v>62.5</v>
      </c>
      <c r="H154">
        <v>500000</v>
      </c>
    </row>
    <row r="155" spans="2:8">
      <c r="B155">
        <v>9</v>
      </c>
      <c r="C155">
        <v>4667680.9328890936</v>
      </c>
      <c r="D155">
        <v>-4636680.9328890936</v>
      </c>
      <c r="E155">
        <v>-1.722122809503932</v>
      </c>
      <c r="G155">
        <v>70.833333333333343</v>
      </c>
      <c r="H155">
        <v>1100000</v>
      </c>
    </row>
    <row r="156" spans="2:8">
      <c r="B156">
        <v>10</v>
      </c>
      <c r="C156">
        <v>4667680.9328890936</v>
      </c>
      <c r="D156">
        <v>-4567680.9328890936</v>
      </c>
      <c r="E156">
        <v>-1.6964953239004033</v>
      </c>
      <c r="G156">
        <v>79.166666666666671</v>
      </c>
      <c r="H156">
        <v>3000000</v>
      </c>
    </row>
    <row r="157" spans="2:8">
      <c r="B157">
        <v>11</v>
      </c>
      <c r="C157">
        <v>1330850.9412186192</v>
      </c>
      <c r="D157">
        <v>-1230850.9412186192</v>
      </c>
      <c r="E157">
        <v>-0.45715383733579601</v>
      </c>
      <c r="G157">
        <v>87.500000000000014</v>
      </c>
      <c r="H157">
        <v>18700000</v>
      </c>
    </row>
    <row r="158" spans="2:8" ht="15" thickBot="1">
      <c r="B158" s="18">
        <v>12</v>
      </c>
      <c r="C158" s="18">
        <v>-337564.0546166175</v>
      </c>
      <c r="D158" s="18">
        <v>340164.0546166175</v>
      </c>
      <c r="E158" s="18">
        <v>0.12634129583370027</v>
      </c>
      <c r="G158" s="18">
        <v>95.833333333333343</v>
      </c>
      <c r="H158" s="18">
        <v>30000000</v>
      </c>
    </row>
  </sheetData>
  <sortState xmlns:xlrd2="http://schemas.microsoft.com/office/spreadsheetml/2017/richdata2" ref="H147:H158">
    <sortCondition ref="H147"/>
  </sortState>
  <mergeCells count="1">
    <mergeCell ref="C34:D34"/>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DF85E-34B0-4B47-8389-60388AA94670}">
  <dimension ref="A1:I34"/>
  <sheetViews>
    <sheetView topLeftCell="A18" workbookViewId="0">
      <selection activeCell="B36" sqref="B36"/>
    </sheetView>
  </sheetViews>
  <sheetFormatPr defaultRowHeight="14.45"/>
  <cols>
    <col min="2" max="2" width="28.140625" customWidth="1"/>
    <col min="3" max="3" width="30.28515625" bestFit="1" customWidth="1"/>
    <col min="4" max="4" width="25.85546875" bestFit="1" customWidth="1"/>
    <col min="5" max="5" width="25.28515625" bestFit="1" customWidth="1"/>
    <col min="6" max="6" width="26.85546875" bestFit="1" customWidth="1"/>
  </cols>
  <sheetData>
    <row r="1" spans="1:9" ht="21">
      <c r="A1" s="1" t="s">
        <v>146</v>
      </c>
    </row>
    <row r="4" spans="1:9">
      <c r="A4" t="s">
        <v>147</v>
      </c>
    </row>
    <row r="6" spans="1:9">
      <c r="A6" t="s">
        <v>148</v>
      </c>
      <c r="B6" t="s">
        <v>149</v>
      </c>
      <c r="I6" t="s">
        <v>150</v>
      </c>
    </row>
    <row r="7" spans="1:9">
      <c r="B7" t="s">
        <v>151</v>
      </c>
    </row>
    <row r="9" spans="1:9">
      <c r="A9" t="s">
        <v>152</v>
      </c>
    </row>
    <row r="12" spans="1:9">
      <c r="A12" t="s">
        <v>153</v>
      </c>
    </row>
    <row r="13" spans="1:9">
      <c r="A13" t="s">
        <v>154</v>
      </c>
    </row>
    <row r="14" spans="1:9">
      <c r="A14" t="s">
        <v>155</v>
      </c>
    </row>
    <row r="15" spans="1:9">
      <c r="A15" t="s">
        <v>156</v>
      </c>
    </row>
    <row r="18" spans="2:6">
      <c r="B18" s="2" t="s">
        <v>157</v>
      </c>
    </row>
    <row r="19" spans="2:6">
      <c r="B19" t="s">
        <v>158</v>
      </c>
    </row>
    <row r="20" spans="2:6">
      <c r="B20" t="s">
        <v>159</v>
      </c>
    </row>
    <row r="22" spans="2:6">
      <c r="B22" s="60" t="s">
        <v>160</v>
      </c>
      <c r="C22" s="60" t="s">
        <v>161</v>
      </c>
      <c r="D22" s="60" t="s">
        <v>162</v>
      </c>
      <c r="E22" s="60" t="s">
        <v>163</v>
      </c>
      <c r="F22" s="60" t="s">
        <v>164</v>
      </c>
    </row>
    <row r="27" spans="2:6">
      <c r="B27" t="s">
        <v>165</v>
      </c>
      <c r="E27" t="s">
        <v>166</v>
      </c>
    </row>
    <row r="29" spans="2:6">
      <c r="B29" s="60" t="s">
        <v>167</v>
      </c>
      <c r="C29" s="60" t="s">
        <v>168</v>
      </c>
      <c r="E29" s="60" t="s">
        <v>167</v>
      </c>
      <c r="F29" s="60" t="s">
        <v>168</v>
      </c>
    </row>
    <row r="30" spans="2:6">
      <c r="B30" s="14">
        <v>8.75</v>
      </c>
      <c r="C30" s="14">
        <f>B30/10.764</f>
        <v>0.81289483463396517</v>
      </c>
      <c r="E30" s="14">
        <v>4</v>
      </c>
      <c r="F30" s="14">
        <f>E30/10.764</f>
        <v>0.37160906726124121</v>
      </c>
    </row>
    <row r="34" spans="2:2">
      <c r="B34" t="s">
        <v>169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9768-30D9-4CD7-8973-43241D32A1AE}">
  <dimension ref="A1:AU97"/>
  <sheetViews>
    <sheetView zoomScale="70" zoomScaleNormal="70" workbookViewId="0">
      <selection activeCell="F11" sqref="F11"/>
    </sheetView>
  </sheetViews>
  <sheetFormatPr defaultRowHeight="14.45"/>
  <cols>
    <col min="1" max="1" width="94.28515625" bestFit="1" customWidth="1"/>
    <col min="2" max="2" width="13.7109375" bestFit="1" customWidth="1"/>
    <col min="3" max="3" width="10.140625" customWidth="1"/>
    <col min="4" max="4" width="15.28515625" bestFit="1" customWidth="1"/>
    <col min="5" max="5" width="12.7109375" customWidth="1"/>
    <col min="8" max="8" width="12" bestFit="1" customWidth="1"/>
    <col min="10" max="10" width="11" bestFit="1" customWidth="1"/>
    <col min="11" max="12" width="12" bestFit="1" customWidth="1"/>
    <col min="14" max="14" width="11" bestFit="1" customWidth="1"/>
  </cols>
  <sheetData>
    <row r="1" spans="1:6" ht="21">
      <c r="A1" s="1" t="s">
        <v>170</v>
      </c>
    </row>
    <row r="7" spans="1:6">
      <c r="A7" t="s">
        <v>171</v>
      </c>
    </row>
    <row r="9" spans="1:6">
      <c r="A9" s="4"/>
      <c r="B9" s="92" t="s">
        <v>172</v>
      </c>
      <c r="C9" s="93"/>
      <c r="D9" s="93"/>
    </row>
    <row r="10" spans="1:6">
      <c r="A10" s="6" t="s">
        <v>6</v>
      </c>
      <c r="B10" t="s">
        <v>173</v>
      </c>
      <c r="C10" t="s">
        <v>174</v>
      </c>
      <c r="D10" t="s">
        <v>175</v>
      </c>
      <c r="F10" t="s">
        <v>176</v>
      </c>
    </row>
    <row r="11" spans="1:6">
      <c r="A11" s="6">
        <v>2024</v>
      </c>
    </row>
    <row r="12" spans="1:6">
      <c r="A12" s="6">
        <v>2025</v>
      </c>
    </row>
    <row r="13" spans="1:6">
      <c r="A13" s="6">
        <v>2026</v>
      </c>
    </row>
    <row r="14" spans="1:6">
      <c r="A14" s="6">
        <v>2027</v>
      </c>
    </row>
    <row r="15" spans="1:6">
      <c r="A15" s="6">
        <v>2028</v>
      </c>
    </row>
    <row r="16" spans="1:6">
      <c r="A16" s="6">
        <v>2029</v>
      </c>
    </row>
    <row r="20" spans="1:5" ht="18">
      <c r="A20" s="37" t="s">
        <v>177</v>
      </c>
    </row>
    <row r="23" spans="1:5">
      <c r="A23" s="15" t="s">
        <v>178</v>
      </c>
      <c r="D23" t="s">
        <v>6</v>
      </c>
      <c r="E23" t="s">
        <v>106</v>
      </c>
    </row>
    <row r="24" spans="1:5" ht="28.9">
      <c r="A24" s="16" t="s">
        <v>179</v>
      </c>
      <c r="D24" s="17" t="s">
        <v>180</v>
      </c>
      <c r="E24">
        <v>3133.8</v>
      </c>
    </row>
    <row r="25" spans="1:5">
      <c r="A25" t="s">
        <v>181</v>
      </c>
      <c r="D25" s="17" t="s">
        <v>182</v>
      </c>
      <c r="E25">
        <v>2778.9</v>
      </c>
    </row>
    <row r="26" spans="1:5">
      <c r="A26" t="s">
        <v>183</v>
      </c>
      <c r="D26" s="17" t="s">
        <v>184</v>
      </c>
      <c r="E26">
        <v>2629.1</v>
      </c>
    </row>
    <row r="27" spans="1:5">
      <c r="D27" s="17" t="s">
        <v>185</v>
      </c>
      <c r="E27">
        <v>3506</v>
      </c>
    </row>
    <row r="28" spans="1:5">
      <c r="D28" s="17" t="s">
        <v>186</v>
      </c>
      <c r="E28">
        <v>3285.8</v>
      </c>
    </row>
    <row r="29" spans="1:5">
      <c r="D29" s="17" t="s">
        <v>187</v>
      </c>
      <c r="E29">
        <v>4075.4</v>
      </c>
    </row>
    <row r="30" spans="1:5">
      <c r="D30" s="17" t="s">
        <v>188</v>
      </c>
      <c r="E30">
        <v>5273.6</v>
      </c>
    </row>
    <row r="31" spans="1:5">
      <c r="D31" s="17" t="s">
        <v>189</v>
      </c>
      <c r="E31">
        <v>6374.7</v>
      </c>
    </row>
    <row r="32" spans="1:5">
      <c r="D32" s="17" t="s">
        <v>190</v>
      </c>
      <c r="E32">
        <v>7493.6</v>
      </c>
    </row>
    <row r="33" spans="1:17">
      <c r="D33" s="17" t="s">
        <v>191</v>
      </c>
      <c r="E33">
        <v>8076.4</v>
      </c>
    </row>
    <row r="35" spans="1:17">
      <c r="A35" s="15" t="s">
        <v>192</v>
      </c>
      <c r="D35" t="s">
        <v>6</v>
      </c>
      <c r="E35" t="s">
        <v>193</v>
      </c>
    </row>
    <row r="36" spans="1:17" ht="28.9">
      <c r="A36" s="16" t="s">
        <v>194</v>
      </c>
      <c r="D36" s="17" t="s">
        <v>182</v>
      </c>
      <c r="E36">
        <v>1886</v>
      </c>
    </row>
    <row r="37" spans="1:17">
      <c r="A37" t="s">
        <v>181</v>
      </c>
      <c r="D37" s="17" t="s">
        <v>184</v>
      </c>
      <c r="E37">
        <v>2355</v>
      </c>
    </row>
    <row r="38" spans="1:17">
      <c r="A38" t="s">
        <v>195</v>
      </c>
      <c r="D38" s="17" t="s">
        <v>185</v>
      </c>
      <c r="E38">
        <v>2276</v>
      </c>
    </row>
    <row r="39" spans="1:17">
      <c r="D39" s="17" t="s">
        <v>186</v>
      </c>
      <c r="E39">
        <v>2572</v>
      </c>
    </row>
    <row r="40" spans="1:17">
      <c r="D40" s="17" t="s">
        <v>187</v>
      </c>
      <c r="E40">
        <v>2902</v>
      </c>
    </row>
    <row r="41" spans="1:17">
      <c r="D41" s="17" t="s">
        <v>188</v>
      </c>
      <c r="E41">
        <v>3262</v>
      </c>
    </row>
    <row r="42" spans="1:17">
      <c r="D42" s="17" t="s">
        <v>189</v>
      </c>
      <c r="E42">
        <v>3920</v>
      </c>
    </row>
    <row r="43" spans="1:17">
      <c r="D43" s="17" t="s">
        <v>190</v>
      </c>
      <c r="E43">
        <v>3870</v>
      </c>
    </row>
    <row r="44" spans="1:17">
      <c r="D44" s="17" t="s">
        <v>191</v>
      </c>
      <c r="E44">
        <v>3778</v>
      </c>
    </row>
    <row r="45" spans="1:17">
      <c r="D45" s="17" t="s">
        <v>196</v>
      </c>
      <c r="E45">
        <v>3966</v>
      </c>
    </row>
    <row r="48" spans="1:17">
      <c r="A48" s="2" t="s">
        <v>197</v>
      </c>
      <c r="B48" t="s">
        <v>198</v>
      </c>
      <c r="D48" s="17" t="s">
        <v>6</v>
      </c>
      <c r="E48" t="s">
        <v>199</v>
      </c>
      <c r="G48" t="s">
        <v>200</v>
      </c>
      <c r="I48" s="4"/>
      <c r="J48" s="92" t="s">
        <v>199</v>
      </c>
      <c r="K48" s="93"/>
      <c r="L48" s="93"/>
      <c r="N48" s="4" t="s">
        <v>6</v>
      </c>
      <c r="O48" s="5" t="s">
        <v>201</v>
      </c>
      <c r="P48" s="5" t="s">
        <v>202</v>
      </c>
      <c r="Q48" s="5" t="s">
        <v>19</v>
      </c>
    </row>
    <row r="49" spans="4:17">
      <c r="D49" s="23">
        <v>2014</v>
      </c>
      <c r="E49">
        <f>(E36/E25)*100</f>
        <v>67.868581093238333</v>
      </c>
      <c r="I49" t="s">
        <v>6</v>
      </c>
      <c r="J49" t="s">
        <v>203</v>
      </c>
      <c r="K49" t="s">
        <v>202</v>
      </c>
      <c r="L49" t="s">
        <v>19</v>
      </c>
      <c r="N49" s="36">
        <v>2014</v>
      </c>
      <c r="O49" s="35">
        <f>E49</f>
        <v>67.868581093238333</v>
      </c>
      <c r="P49" s="34" t="s">
        <v>204</v>
      </c>
      <c r="Q49" s="34" t="s">
        <v>204</v>
      </c>
    </row>
    <row r="50" spans="4:17">
      <c r="D50" s="23">
        <v>2015</v>
      </c>
      <c r="E50">
        <f t="shared" ref="E50:E57" si="0">(E37/E26)*100</f>
        <v>89.574379065079313</v>
      </c>
      <c r="I50" s="23">
        <v>2023</v>
      </c>
      <c r="J50">
        <f>H72</f>
        <v>47.505418903642749</v>
      </c>
      <c r="K50">
        <f>K72</f>
        <v>73.037038716365927</v>
      </c>
      <c r="L50">
        <f>K71</f>
        <v>21.973799090919567</v>
      </c>
      <c r="N50" s="36">
        <v>2015</v>
      </c>
      <c r="O50" s="35">
        <f>E50</f>
        <v>89.574379065079313</v>
      </c>
      <c r="P50" s="34" t="s">
        <v>204</v>
      </c>
      <c r="Q50" s="34" t="s">
        <v>204</v>
      </c>
    </row>
    <row r="51" spans="4:17">
      <c r="D51" s="23">
        <v>2016</v>
      </c>
      <c r="E51">
        <f t="shared" si="0"/>
        <v>64.917284654877349</v>
      </c>
      <c r="I51" s="23">
        <v>2024</v>
      </c>
      <c r="J51">
        <f>N72</f>
        <v>43.815060372089647</v>
      </c>
      <c r="K51">
        <f>Q72</f>
        <v>70.835187009335655</v>
      </c>
      <c r="L51">
        <f>Q71</f>
        <v>16.794933734843635</v>
      </c>
      <c r="N51" s="36">
        <v>2016</v>
      </c>
      <c r="O51" s="35">
        <f t="shared" ref="O51:O57" si="1">E51</f>
        <v>64.917284654877349</v>
      </c>
      <c r="P51" s="34" t="s">
        <v>204</v>
      </c>
      <c r="Q51" s="34" t="s">
        <v>204</v>
      </c>
    </row>
    <row r="52" spans="4:17">
      <c r="D52" s="23">
        <v>2017</v>
      </c>
      <c r="E52">
        <f t="shared" si="0"/>
        <v>78.276218881246578</v>
      </c>
      <c r="I52" s="23">
        <v>2025</v>
      </c>
      <c r="J52">
        <f>T72</f>
        <v>40.124701840535636</v>
      </c>
      <c r="K52">
        <f>W72</f>
        <v>68.804544160421642</v>
      </c>
      <c r="L52">
        <f>W71</f>
        <v>11.444859520649626</v>
      </c>
      <c r="N52" s="36">
        <v>2017</v>
      </c>
      <c r="O52" s="35">
        <f t="shared" si="1"/>
        <v>78.276218881246578</v>
      </c>
      <c r="P52" s="34" t="s">
        <v>204</v>
      </c>
      <c r="Q52" s="34" t="s">
        <v>204</v>
      </c>
    </row>
    <row r="53" spans="4:17">
      <c r="D53" s="23">
        <v>2018</v>
      </c>
      <c r="E53">
        <f t="shared" si="0"/>
        <v>71.207734210138881</v>
      </c>
      <c r="I53" s="23">
        <v>2026</v>
      </c>
      <c r="J53">
        <f>Z72</f>
        <v>36.434343308982534</v>
      </c>
      <c r="K53">
        <f>AC72</f>
        <v>66.917157258215923</v>
      </c>
      <c r="L53">
        <f>AC71</f>
        <v>5.9515293597491379</v>
      </c>
      <c r="N53" s="36">
        <v>2018</v>
      </c>
      <c r="O53" s="35">
        <f t="shared" si="1"/>
        <v>71.207734210138881</v>
      </c>
      <c r="P53" s="34" t="s">
        <v>204</v>
      </c>
      <c r="Q53" s="34" t="s">
        <v>204</v>
      </c>
    </row>
    <row r="54" spans="4:17">
      <c r="D54" s="23">
        <v>2019</v>
      </c>
      <c r="E54">
        <f t="shared" si="0"/>
        <v>61.855279126213588</v>
      </c>
      <c r="I54" s="23">
        <v>2027</v>
      </c>
      <c r="J54">
        <f>AF72</f>
        <v>32.743984777428523</v>
      </c>
      <c r="K54">
        <f>AI72</f>
        <v>65.14912350268277</v>
      </c>
      <c r="L54">
        <f>AI71</f>
        <v>0.33884605217427577</v>
      </c>
      <c r="N54" s="36">
        <v>2019</v>
      </c>
      <c r="O54" s="35">
        <f t="shared" si="1"/>
        <v>61.855279126213588</v>
      </c>
      <c r="P54" s="34" t="s">
        <v>204</v>
      </c>
      <c r="Q54" s="34" t="s">
        <v>204</v>
      </c>
    </row>
    <row r="55" spans="4:17">
      <c r="D55" s="23">
        <v>2020</v>
      </c>
      <c r="E55">
        <f t="shared" si="0"/>
        <v>61.493089870895886</v>
      </c>
      <c r="I55" s="23">
        <v>2028</v>
      </c>
      <c r="J55">
        <f>AL72</f>
        <v>29.053626245875421</v>
      </c>
      <c r="K55">
        <f>AO72</f>
        <v>63.480455378278926</v>
      </c>
      <c r="L55">
        <f>AO71</f>
        <v>-5.3732028865280839</v>
      </c>
      <c r="N55" s="36">
        <v>2020</v>
      </c>
      <c r="O55" s="35">
        <f t="shared" si="1"/>
        <v>61.493089870895886</v>
      </c>
      <c r="P55" s="34" t="s">
        <v>204</v>
      </c>
      <c r="Q55" s="34" t="s">
        <v>204</v>
      </c>
    </row>
    <row r="56" spans="4:17">
      <c r="D56" s="23">
        <v>2021</v>
      </c>
      <c r="E56">
        <f t="shared" si="0"/>
        <v>51.644069606063837</v>
      </c>
      <c r="I56" s="23">
        <v>2029</v>
      </c>
      <c r="J56">
        <f>AR72</f>
        <v>25.36326771432141</v>
      </c>
      <c r="K56">
        <f>AU72</f>
        <v>61.894659573786356</v>
      </c>
      <c r="L56">
        <f>AU71</f>
        <v>-11.168124145143537</v>
      </c>
      <c r="N56" s="36">
        <v>2021</v>
      </c>
      <c r="O56" s="35">
        <f t="shared" si="1"/>
        <v>51.644069606063837</v>
      </c>
      <c r="P56" s="34" t="s">
        <v>204</v>
      </c>
      <c r="Q56" s="34" t="s">
        <v>204</v>
      </c>
    </row>
    <row r="57" spans="4:17">
      <c r="D57" s="23">
        <v>2022</v>
      </c>
      <c r="E57">
        <f t="shared" si="0"/>
        <v>46.77826754494577</v>
      </c>
      <c r="N57" s="36">
        <v>2022</v>
      </c>
      <c r="O57" s="35">
        <f t="shared" si="1"/>
        <v>46.77826754494577</v>
      </c>
      <c r="P57" s="34" t="s">
        <v>204</v>
      </c>
      <c r="Q57" s="34" t="s">
        <v>204</v>
      </c>
    </row>
    <row r="58" spans="4:17">
      <c r="D58" s="23"/>
      <c r="N58" s="36">
        <v>2023</v>
      </c>
      <c r="O58" s="35">
        <f t="shared" ref="O58:Q64" si="2">J50</f>
        <v>47.505418903642749</v>
      </c>
      <c r="P58" s="33">
        <f t="shared" si="2"/>
        <v>73.037038716365927</v>
      </c>
      <c r="Q58" s="33">
        <f t="shared" si="2"/>
        <v>21.973799090919567</v>
      </c>
    </row>
    <row r="59" spans="4:17">
      <c r="D59" s="23"/>
      <c r="N59" s="36">
        <v>2024</v>
      </c>
      <c r="O59" s="35">
        <f t="shared" si="2"/>
        <v>43.815060372089647</v>
      </c>
      <c r="P59" s="33">
        <f t="shared" si="2"/>
        <v>70.835187009335655</v>
      </c>
      <c r="Q59" s="33">
        <f t="shared" si="2"/>
        <v>16.794933734843635</v>
      </c>
    </row>
    <row r="60" spans="4:17">
      <c r="D60" s="23"/>
      <c r="N60" s="36">
        <v>2025</v>
      </c>
      <c r="O60" s="35">
        <f t="shared" si="2"/>
        <v>40.124701840535636</v>
      </c>
      <c r="P60" s="33">
        <f t="shared" si="2"/>
        <v>68.804544160421642</v>
      </c>
      <c r="Q60" s="33">
        <f t="shared" si="2"/>
        <v>11.444859520649626</v>
      </c>
    </row>
    <row r="61" spans="4:17">
      <c r="D61" s="23"/>
      <c r="N61" s="36">
        <v>2026</v>
      </c>
      <c r="O61" s="35">
        <f t="shared" si="2"/>
        <v>36.434343308982534</v>
      </c>
      <c r="P61" s="33">
        <f t="shared" si="2"/>
        <v>66.917157258215923</v>
      </c>
      <c r="Q61" s="33">
        <f t="shared" si="2"/>
        <v>5.9515293597491379</v>
      </c>
    </row>
    <row r="62" spans="4:17">
      <c r="D62" s="23"/>
      <c r="N62" s="36">
        <v>2027</v>
      </c>
      <c r="O62" s="35">
        <f t="shared" si="2"/>
        <v>32.743984777428523</v>
      </c>
      <c r="P62" s="33">
        <f t="shared" si="2"/>
        <v>65.14912350268277</v>
      </c>
      <c r="Q62" s="33">
        <f t="shared" si="2"/>
        <v>0.33884605217427577</v>
      </c>
    </row>
    <row r="63" spans="4:17">
      <c r="D63" s="23"/>
      <c r="N63" s="36">
        <v>2028</v>
      </c>
      <c r="O63" s="35">
        <f t="shared" si="2"/>
        <v>29.053626245875421</v>
      </c>
      <c r="P63" s="33">
        <f t="shared" si="2"/>
        <v>63.480455378278926</v>
      </c>
      <c r="Q63" s="33">
        <f t="shared" si="2"/>
        <v>-5.3732028865280839</v>
      </c>
    </row>
    <row r="64" spans="4:17">
      <c r="D64" s="23"/>
      <c r="N64" s="36">
        <v>2029</v>
      </c>
      <c r="O64" s="35">
        <f t="shared" si="2"/>
        <v>25.36326771432141</v>
      </c>
      <c r="P64" s="33">
        <f t="shared" si="2"/>
        <v>61.894659573786356</v>
      </c>
      <c r="Q64" s="33">
        <f t="shared" si="2"/>
        <v>-11.168124145143537</v>
      </c>
    </row>
    <row r="67" spans="1:47">
      <c r="A67" t="s">
        <v>205</v>
      </c>
      <c r="C67" s="21" t="s">
        <v>89</v>
      </c>
      <c r="D67" s="22">
        <f>AVERAGE(D49:D57)</f>
        <v>2018</v>
      </c>
      <c r="G67" s="2" t="s">
        <v>206</v>
      </c>
    </row>
    <row r="68" spans="1:47" ht="15" thickBot="1">
      <c r="A68" t="s">
        <v>207</v>
      </c>
      <c r="C68" s="21" t="s">
        <v>208</v>
      </c>
      <c r="D68" s="22">
        <f>(D49-$D$67)^2</f>
        <v>16</v>
      </c>
    </row>
    <row r="69" spans="1:47">
      <c r="C69" s="21"/>
      <c r="D69" s="22">
        <f t="shared" ref="D69:D76" si="3">(D50-$D$67)^2</f>
        <v>9</v>
      </c>
      <c r="G69" s="24">
        <v>2023</v>
      </c>
      <c r="H69" s="25"/>
      <c r="I69" s="25"/>
      <c r="J69" s="25"/>
      <c r="K69" s="26"/>
      <c r="M69" s="24">
        <v>2024</v>
      </c>
      <c r="N69" s="25"/>
      <c r="O69" s="25"/>
      <c r="P69" s="25"/>
      <c r="Q69" s="26"/>
      <c r="S69" s="24">
        <v>2025</v>
      </c>
      <c r="T69" s="25"/>
      <c r="U69" s="25"/>
      <c r="V69" s="25"/>
      <c r="W69" s="26"/>
      <c r="Y69" s="24">
        <v>2026</v>
      </c>
      <c r="Z69" s="25"/>
      <c r="AA69" s="25"/>
      <c r="AB69" s="25"/>
      <c r="AC69" s="26"/>
      <c r="AE69" s="24">
        <v>2027</v>
      </c>
      <c r="AF69" s="25"/>
      <c r="AG69" s="25"/>
      <c r="AH69" s="25"/>
      <c r="AI69" s="26"/>
      <c r="AK69" s="24">
        <v>2028</v>
      </c>
      <c r="AL69" s="25"/>
      <c r="AM69" s="25"/>
      <c r="AN69" s="25"/>
      <c r="AO69" s="26"/>
      <c r="AQ69" s="24">
        <v>2029</v>
      </c>
      <c r="AR69" s="25"/>
      <c r="AS69" s="25"/>
      <c r="AT69" s="25"/>
      <c r="AU69" s="26"/>
    </row>
    <row r="70" spans="1:47">
      <c r="C70" s="21"/>
      <c r="D70" s="22">
        <f t="shared" si="3"/>
        <v>4</v>
      </c>
      <c r="G70" s="27" t="s">
        <v>124</v>
      </c>
      <c r="H70">
        <v>2023</v>
      </c>
      <c r="J70" t="s">
        <v>125</v>
      </c>
      <c r="K70" s="28">
        <f>H74*(H75*SQRT(1+1/H73+H76/H77))</f>
        <v>25.531619812723182</v>
      </c>
      <c r="M70" s="27" t="s">
        <v>124</v>
      </c>
      <c r="N70">
        <v>2024</v>
      </c>
      <c r="P70" t="s">
        <v>125</v>
      </c>
      <c r="Q70" s="28">
        <f>N74*(N75*SQRT(1+1/N73+N76/N77))</f>
        <v>27.020126637246012</v>
      </c>
      <c r="S70" s="27" t="s">
        <v>124</v>
      </c>
      <c r="T70">
        <v>2025</v>
      </c>
      <c r="V70" t="s">
        <v>125</v>
      </c>
      <c r="W70" s="28">
        <f>T74*(T75*SQRT(1+1/T73+T76/T77))</f>
        <v>28.67984231988601</v>
      </c>
      <c r="Y70" s="27" t="s">
        <v>124</v>
      </c>
      <c r="Z70">
        <v>2026</v>
      </c>
      <c r="AB70" t="s">
        <v>125</v>
      </c>
      <c r="AC70" s="28">
        <f>Z74*(Z75*SQRT(1+1/Z73+Z76/Z77))</f>
        <v>30.482813949233396</v>
      </c>
      <c r="AE70" s="27" t="s">
        <v>124</v>
      </c>
      <c r="AF70">
        <v>2027</v>
      </c>
      <c r="AH70" t="s">
        <v>125</v>
      </c>
      <c r="AI70" s="28">
        <f>AF74*(AF75*SQRT(1+1/AF73+AF76/AF77))</f>
        <v>32.405138725254247</v>
      </c>
      <c r="AK70" s="27" t="s">
        <v>124</v>
      </c>
      <c r="AL70">
        <v>2028</v>
      </c>
      <c r="AN70" t="s">
        <v>125</v>
      </c>
      <c r="AO70" s="28">
        <f>AL74*(AL75*SQRT(1+1/AL73+AL76/AL77))</f>
        <v>34.426829132403505</v>
      </c>
      <c r="AQ70" s="27" t="s">
        <v>124</v>
      </c>
      <c r="AR70">
        <v>2029</v>
      </c>
      <c r="AT70" t="s">
        <v>125</v>
      </c>
      <c r="AU70" s="28">
        <f>AR74*(AR75*SQRT(1+1/AR73+AR76/AR77))</f>
        <v>36.531391859464946</v>
      </c>
    </row>
    <row r="71" spans="1:47">
      <c r="C71" s="21"/>
      <c r="D71" s="22">
        <f t="shared" si="3"/>
        <v>1</v>
      </c>
      <c r="G71" s="27" t="s">
        <v>126</v>
      </c>
      <c r="H71">
        <v>0.95</v>
      </c>
      <c r="J71" t="s">
        <v>127</v>
      </c>
      <c r="K71" s="28">
        <f>H72-K70</f>
        <v>21.973799090919567</v>
      </c>
      <c r="M71" s="27" t="s">
        <v>126</v>
      </c>
      <c r="N71">
        <v>0.95</v>
      </c>
      <c r="P71" t="s">
        <v>127</v>
      </c>
      <c r="Q71" s="28">
        <f>N72-Q70</f>
        <v>16.794933734843635</v>
      </c>
      <c r="S71" s="27" t="s">
        <v>126</v>
      </c>
      <c r="T71">
        <v>0.95</v>
      </c>
      <c r="V71" t="s">
        <v>127</v>
      </c>
      <c r="W71" s="28">
        <f>T72-W70</f>
        <v>11.444859520649626</v>
      </c>
      <c r="Y71" s="27" t="s">
        <v>126</v>
      </c>
      <c r="Z71">
        <v>0.95</v>
      </c>
      <c r="AB71" t="s">
        <v>127</v>
      </c>
      <c r="AC71" s="28">
        <f>Z72-AC70</f>
        <v>5.9515293597491379</v>
      </c>
      <c r="AE71" s="27" t="s">
        <v>126</v>
      </c>
      <c r="AF71">
        <v>0.95</v>
      </c>
      <c r="AH71" t="s">
        <v>127</v>
      </c>
      <c r="AI71" s="28">
        <f>AF72-AI70</f>
        <v>0.33884605217427577</v>
      </c>
      <c r="AK71" s="27" t="s">
        <v>126</v>
      </c>
      <c r="AL71">
        <v>0.95</v>
      </c>
      <c r="AN71" t="s">
        <v>127</v>
      </c>
      <c r="AO71" s="28">
        <f>AL72-AO70</f>
        <v>-5.3732028865280839</v>
      </c>
      <c r="AQ71" s="27" t="s">
        <v>126</v>
      </c>
      <c r="AR71">
        <v>0.95</v>
      </c>
      <c r="AT71" t="s">
        <v>127</v>
      </c>
      <c r="AU71" s="28">
        <f>AR72-AU70</f>
        <v>-11.168124145143537</v>
      </c>
    </row>
    <row r="72" spans="1:47">
      <c r="C72" s="21"/>
      <c r="D72" s="22">
        <f t="shared" si="3"/>
        <v>0</v>
      </c>
      <c r="G72" s="27" t="s">
        <v>128</v>
      </c>
      <c r="H72">
        <f>$B$94+$B$95*H70</f>
        <v>47.505418903642749</v>
      </c>
      <c r="J72" t="s">
        <v>129</v>
      </c>
      <c r="K72" s="28">
        <f>H72+K70</f>
        <v>73.037038716365927</v>
      </c>
      <c r="M72" s="27" t="s">
        <v>128</v>
      </c>
      <c r="N72">
        <f>$B$94+$B$95*N70</f>
        <v>43.815060372089647</v>
      </c>
      <c r="P72" t="s">
        <v>129</v>
      </c>
      <c r="Q72" s="28">
        <f>N72+Q70</f>
        <v>70.835187009335655</v>
      </c>
      <c r="S72" s="27" t="s">
        <v>128</v>
      </c>
      <c r="T72">
        <f>$B$94+$B$95*T70</f>
        <v>40.124701840535636</v>
      </c>
      <c r="V72" t="s">
        <v>129</v>
      </c>
      <c r="W72" s="28">
        <f>T72+W70</f>
        <v>68.804544160421642</v>
      </c>
      <c r="Y72" s="27" t="s">
        <v>128</v>
      </c>
      <c r="Z72">
        <f>$B$94+$B$95*Z70</f>
        <v>36.434343308982534</v>
      </c>
      <c r="AB72" t="s">
        <v>129</v>
      </c>
      <c r="AC72" s="28">
        <f>Z72+AC70</f>
        <v>66.917157258215923</v>
      </c>
      <c r="AE72" s="27" t="s">
        <v>128</v>
      </c>
      <c r="AF72">
        <f>$B$94+$B$95*AF70</f>
        <v>32.743984777428523</v>
      </c>
      <c r="AH72" t="s">
        <v>129</v>
      </c>
      <c r="AI72" s="28">
        <f>AF72+AI70</f>
        <v>65.14912350268277</v>
      </c>
      <c r="AK72" s="27" t="s">
        <v>128</v>
      </c>
      <c r="AL72">
        <f>$B$94+$B$95*AL70</f>
        <v>29.053626245875421</v>
      </c>
      <c r="AN72" t="s">
        <v>129</v>
      </c>
      <c r="AO72" s="28">
        <f>AL72+AO70</f>
        <v>63.480455378278926</v>
      </c>
      <c r="AQ72" s="27" t="s">
        <v>128</v>
      </c>
      <c r="AR72">
        <f>$B$94+$B$95*AR70</f>
        <v>25.36326771432141</v>
      </c>
      <c r="AT72" t="s">
        <v>129</v>
      </c>
      <c r="AU72" s="28">
        <f>AR72+AU70</f>
        <v>61.894659573786356</v>
      </c>
    </row>
    <row r="73" spans="1:47">
      <c r="C73" s="21"/>
      <c r="D73" s="22">
        <f t="shared" si="3"/>
        <v>1</v>
      </c>
      <c r="G73" s="27" t="s">
        <v>130</v>
      </c>
      <c r="H73">
        <f>$B$85</f>
        <v>9</v>
      </c>
      <c r="K73" s="28"/>
      <c r="M73" s="27" t="s">
        <v>130</v>
      </c>
      <c r="N73">
        <f>$B$85</f>
        <v>9</v>
      </c>
      <c r="Q73" s="28"/>
      <c r="S73" s="27" t="s">
        <v>130</v>
      </c>
      <c r="T73">
        <f>$B$85</f>
        <v>9</v>
      </c>
      <c r="W73" s="28"/>
      <c r="Y73" s="27" t="s">
        <v>130</v>
      </c>
      <c r="Z73">
        <f>$B$85</f>
        <v>9</v>
      </c>
      <c r="AC73" s="28"/>
      <c r="AE73" s="27" t="s">
        <v>130</v>
      </c>
      <c r="AF73">
        <f>$B$85</f>
        <v>9</v>
      </c>
      <c r="AI73" s="28"/>
      <c r="AK73" s="27" t="s">
        <v>130</v>
      </c>
      <c r="AL73">
        <f>$B$85</f>
        <v>9</v>
      </c>
      <c r="AO73" s="28"/>
      <c r="AQ73" s="27" t="s">
        <v>130</v>
      </c>
      <c r="AR73">
        <f>$B$85</f>
        <v>9</v>
      </c>
      <c r="AU73" s="28"/>
    </row>
    <row r="74" spans="1:47">
      <c r="C74" s="21"/>
      <c r="D74" s="22">
        <f t="shared" si="3"/>
        <v>4</v>
      </c>
      <c r="G74" s="27" t="s">
        <v>131</v>
      </c>
      <c r="H74">
        <f>_xlfn.T.INV.2T(1-H71,H73-2)</f>
        <v>2.3646242515927849</v>
      </c>
      <c r="K74" s="28"/>
      <c r="M74" s="27" t="s">
        <v>131</v>
      </c>
      <c r="N74">
        <f>_xlfn.T.INV.2T(1-N71,N73-2)</f>
        <v>2.3646242515927849</v>
      </c>
      <c r="Q74" s="28"/>
      <c r="S74" s="27" t="s">
        <v>131</v>
      </c>
      <c r="T74">
        <f>_xlfn.T.INV.2T(1-T71,T73-2)</f>
        <v>2.3646242515927849</v>
      </c>
      <c r="W74" s="28"/>
      <c r="Y74" s="27" t="s">
        <v>131</v>
      </c>
      <c r="Z74">
        <f>_xlfn.T.INV.2T(1-Z71,Z73-2)</f>
        <v>2.3646242515927849</v>
      </c>
      <c r="AC74" s="28"/>
      <c r="AE74" s="27" t="s">
        <v>131</v>
      </c>
      <c r="AF74">
        <f>_xlfn.T.INV.2T(1-AF71,AF73-2)</f>
        <v>2.3646242515927849</v>
      </c>
      <c r="AI74" s="28"/>
      <c r="AK74" s="27" t="s">
        <v>131</v>
      </c>
      <c r="AL74">
        <f>_xlfn.T.INV.2T(1-AL71,AL73-2)</f>
        <v>2.3646242515927849</v>
      </c>
      <c r="AO74" s="28"/>
      <c r="AQ74" s="27" t="s">
        <v>131</v>
      </c>
      <c r="AR74">
        <f>_xlfn.T.INV.2T(1-AR71,AR73-2)</f>
        <v>2.3646242515927849</v>
      </c>
      <c r="AU74" s="28"/>
    </row>
    <row r="75" spans="1:47">
      <c r="C75" s="21"/>
      <c r="D75" s="22">
        <f t="shared" si="3"/>
        <v>9</v>
      </c>
      <c r="G75" s="27" t="s">
        <v>132</v>
      </c>
      <c r="H75">
        <f>$B$84</f>
        <v>8.7354671531971242</v>
      </c>
      <c r="K75" s="28"/>
      <c r="M75" s="27" t="s">
        <v>132</v>
      </c>
      <c r="N75">
        <f>$B$84</f>
        <v>8.7354671531971242</v>
      </c>
      <c r="Q75" s="28"/>
      <c r="S75" s="27" t="s">
        <v>132</v>
      </c>
      <c r="T75">
        <f>$B$84</f>
        <v>8.7354671531971242</v>
      </c>
      <c r="W75" s="28"/>
      <c r="Y75" s="27" t="s">
        <v>132</v>
      </c>
      <c r="Z75">
        <f>$B$84</f>
        <v>8.7354671531971242</v>
      </c>
      <c r="AC75" s="28"/>
      <c r="AE75" s="27" t="s">
        <v>132</v>
      </c>
      <c r="AF75">
        <f>$B$84</f>
        <v>8.7354671531971242</v>
      </c>
      <c r="AI75" s="28"/>
      <c r="AK75" s="27" t="s">
        <v>132</v>
      </c>
      <c r="AL75">
        <f>$B$84</f>
        <v>8.7354671531971242</v>
      </c>
      <c r="AO75" s="28"/>
      <c r="AQ75" s="27" t="s">
        <v>132</v>
      </c>
      <c r="AR75">
        <f>$B$84</f>
        <v>8.7354671531971242</v>
      </c>
      <c r="AU75" s="28"/>
    </row>
    <row r="76" spans="1:47">
      <c r="C76" s="21"/>
      <c r="D76" s="22">
        <f t="shared" si="3"/>
        <v>16</v>
      </c>
      <c r="G76" s="29" t="s">
        <v>133</v>
      </c>
      <c r="H76">
        <f>(H70-$D$67)^2</f>
        <v>25</v>
      </c>
      <c r="K76" s="28"/>
      <c r="M76" s="29" t="s">
        <v>133</v>
      </c>
      <c r="N76">
        <f>(N70-$D$67)^2</f>
        <v>36</v>
      </c>
      <c r="Q76" s="28"/>
      <c r="S76" s="29" t="s">
        <v>133</v>
      </c>
      <c r="T76">
        <f>(T70-$D$67)^2</f>
        <v>49</v>
      </c>
      <c r="W76" s="28"/>
      <c r="Y76" s="29" t="s">
        <v>133</v>
      </c>
      <c r="Z76">
        <f>(Z70-$D$67)^2</f>
        <v>64</v>
      </c>
      <c r="AC76" s="28"/>
      <c r="AE76" s="29" t="s">
        <v>133</v>
      </c>
      <c r="AF76">
        <f>(AF70-$D$67)^2</f>
        <v>81</v>
      </c>
      <c r="AI76" s="28"/>
      <c r="AK76" s="29" t="s">
        <v>133</v>
      </c>
      <c r="AL76">
        <f>(AL70-$D$67)^2</f>
        <v>100</v>
      </c>
      <c r="AO76" s="28"/>
      <c r="AQ76" s="29" t="s">
        <v>133</v>
      </c>
      <c r="AR76">
        <f>(AR70-$D$67)^2</f>
        <v>121</v>
      </c>
      <c r="AU76" s="28"/>
    </row>
    <row r="77" spans="1:47" ht="15" thickBot="1">
      <c r="C77" s="21" t="s">
        <v>87</v>
      </c>
      <c r="D77" s="22">
        <f>SUM(D68:D76)</f>
        <v>60</v>
      </c>
      <c r="G77" s="30" t="s">
        <v>134</v>
      </c>
      <c r="H77" s="31">
        <f>$D$77</f>
        <v>60</v>
      </c>
      <c r="I77" s="31"/>
      <c r="J77" s="31"/>
      <c r="K77" s="32"/>
      <c r="M77" s="30" t="s">
        <v>134</v>
      </c>
      <c r="N77" s="31">
        <f>$D$77</f>
        <v>60</v>
      </c>
      <c r="O77" s="31"/>
      <c r="P77" s="31"/>
      <c r="Q77" s="32"/>
      <c r="S77" s="30" t="s">
        <v>134</v>
      </c>
      <c r="T77" s="31">
        <f>$D$77</f>
        <v>60</v>
      </c>
      <c r="U77" s="31"/>
      <c r="V77" s="31"/>
      <c r="W77" s="32"/>
      <c r="Y77" s="30" t="s">
        <v>134</v>
      </c>
      <c r="Z77" s="31">
        <f>$D$77</f>
        <v>60</v>
      </c>
      <c r="AA77" s="31"/>
      <c r="AB77" s="31"/>
      <c r="AC77" s="32"/>
      <c r="AE77" s="30" t="s">
        <v>134</v>
      </c>
      <c r="AF77" s="31">
        <f>$D$77</f>
        <v>60</v>
      </c>
      <c r="AG77" s="31"/>
      <c r="AH77" s="31"/>
      <c r="AI77" s="32"/>
      <c r="AK77" s="30" t="s">
        <v>134</v>
      </c>
      <c r="AL77" s="31">
        <f>$D$77</f>
        <v>60</v>
      </c>
      <c r="AM77" s="31"/>
      <c r="AN77" s="31"/>
      <c r="AO77" s="32"/>
      <c r="AQ77" s="30" t="s">
        <v>134</v>
      </c>
      <c r="AR77" s="31">
        <f>$D$77</f>
        <v>60</v>
      </c>
      <c r="AS77" s="31"/>
      <c r="AT77" s="31"/>
      <c r="AU77" s="32"/>
    </row>
    <row r="78" spans="1:47">
      <c r="A78" t="s">
        <v>91</v>
      </c>
    </row>
    <row r="79" spans="1:47" ht="15" thickBot="1"/>
    <row r="80" spans="1:47">
      <c r="A80" s="20" t="s">
        <v>92</v>
      </c>
      <c r="B80" s="20"/>
    </row>
    <row r="81" spans="1:13">
      <c r="A81" t="s">
        <v>93</v>
      </c>
      <c r="B81">
        <v>0.77762632538166954</v>
      </c>
      <c r="L81" t="s">
        <v>209</v>
      </c>
    </row>
    <row r="82" spans="1:13">
      <c r="A82" t="s">
        <v>94</v>
      </c>
      <c r="B82">
        <v>0.60470270192659814</v>
      </c>
    </row>
    <row r="83" spans="1:13">
      <c r="A83" t="s">
        <v>95</v>
      </c>
      <c r="B83">
        <v>0.54823165934468354</v>
      </c>
    </row>
    <row r="84" spans="1:13">
      <c r="A84" t="s">
        <v>96</v>
      </c>
      <c r="B84">
        <v>8.7354671531971242</v>
      </c>
    </row>
    <row r="85" spans="1:13" ht="15" thickBot="1">
      <c r="A85" s="18" t="s">
        <v>97</v>
      </c>
      <c r="B85" s="18">
        <v>9</v>
      </c>
    </row>
    <row r="87" spans="1:13" ht="15" thickBot="1">
      <c r="A87" t="s">
        <v>98</v>
      </c>
    </row>
    <row r="88" spans="1:13">
      <c r="A88" s="19"/>
      <c r="B88" s="19" t="s">
        <v>99</v>
      </c>
      <c r="C88" s="19" t="s">
        <v>100</v>
      </c>
      <c r="D88" s="19" t="s">
        <v>101</v>
      </c>
      <c r="E88" s="19" t="s">
        <v>102</v>
      </c>
      <c r="F88" s="19" t="s">
        <v>103</v>
      </c>
      <c r="L88" s="2" t="s">
        <v>135</v>
      </c>
    </row>
    <row r="89" spans="1:13">
      <c r="A89" t="s">
        <v>104</v>
      </c>
      <c r="B89">
        <v>1</v>
      </c>
      <c r="C89">
        <v>817.12476548460188</v>
      </c>
      <c r="D89">
        <v>817.12476548460188</v>
      </c>
      <c r="E89">
        <v>10.708190858163126</v>
      </c>
      <c r="F89">
        <v>1.3630312806562619E-2</v>
      </c>
      <c r="L89" t="s">
        <v>136</v>
      </c>
      <c r="M89" t="s">
        <v>210</v>
      </c>
    </row>
    <row r="90" spans="1:13">
      <c r="A90" t="s">
        <v>105</v>
      </c>
      <c r="B90">
        <v>7</v>
      </c>
      <c r="C90">
        <v>534.15870469210097</v>
      </c>
      <c r="D90">
        <v>76.308386384585859</v>
      </c>
      <c r="L90" t="s">
        <v>124</v>
      </c>
      <c r="M90" t="s">
        <v>211</v>
      </c>
    </row>
    <row r="91" spans="1:13" ht="15" thickBot="1">
      <c r="A91" s="18" t="s">
        <v>106</v>
      </c>
      <c r="B91" s="18">
        <v>8</v>
      </c>
      <c r="C91" s="18">
        <v>1351.2834701767028</v>
      </c>
      <c r="D91" s="18"/>
      <c r="E91" s="18"/>
      <c r="F91" s="18"/>
      <c r="L91" t="s">
        <v>126</v>
      </c>
      <c r="M91" t="s">
        <v>139</v>
      </c>
    </row>
    <row r="92" spans="1:13" ht="15" thickBot="1">
      <c r="L92" t="s">
        <v>128</v>
      </c>
      <c r="M92" t="s">
        <v>212</v>
      </c>
    </row>
    <row r="93" spans="1:13">
      <c r="A93" s="19"/>
      <c r="B93" s="19" t="s">
        <v>107</v>
      </c>
      <c r="C93" s="19" t="s">
        <v>96</v>
      </c>
      <c r="D93" s="19" t="s">
        <v>108</v>
      </c>
      <c r="E93" s="19" t="s">
        <v>109</v>
      </c>
      <c r="F93" s="19" t="s">
        <v>110</v>
      </c>
      <c r="G93" s="19" t="s">
        <v>111</v>
      </c>
      <c r="H93" s="19" t="s">
        <v>112</v>
      </c>
      <c r="I93" s="19" t="s">
        <v>113</v>
      </c>
      <c r="L93" t="s">
        <v>130</v>
      </c>
      <c r="M93" t="s">
        <v>141</v>
      </c>
    </row>
    <row r="94" spans="1:13">
      <c r="A94" t="s">
        <v>114</v>
      </c>
      <c r="B94">
        <v>7513.1007282364581</v>
      </c>
      <c r="C94">
        <v>2275.7891744689282</v>
      </c>
      <c r="D94">
        <v>3.3013166652353436</v>
      </c>
      <c r="E94">
        <v>1.3096974681496749E-2</v>
      </c>
      <c r="F94">
        <v>2131.7144547749067</v>
      </c>
      <c r="G94">
        <v>12894.487001698009</v>
      </c>
      <c r="H94">
        <v>2131.7144547749067</v>
      </c>
      <c r="I94">
        <v>12894.487001698009</v>
      </c>
      <c r="L94" t="s">
        <v>131</v>
      </c>
      <c r="M94" t="s">
        <v>142</v>
      </c>
    </row>
    <row r="95" spans="1:13" ht="15" thickBot="1">
      <c r="A95" s="18" t="s">
        <v>6</v>
      </c>
      <c r="B95" s="18">
        <v>-3.6903585315535419</v>
      </c>
      <c r="C95" s="18">
        <v>1.1277439601891457</v>
      </c>
      <c r="D95" s="18">
        <v>-3.2723372164499054</v>
      </c>
      <c r="E95" s="18">
        <v>1.3630312806562664E-2</v>
      </c>
      <c r="F95" s="18">
        <v>-6.357049249404084</v>
      </c>
      <c r="G95" s="18">
        <v>-1.0236678137029998</v>
      </c>
      <c r="H95" s="18">
        <v>-6.357049249404084</v>
      </c>
      <c r="I95" s="18">
        <v>-1.0236678137029998</v>
      </c>
      <c r="L95" t="s">
        <v>132</v>
      </c>
      <c r="M95" t="s">
        <v>143</v>
      </c>
    </row>
    <row r="96" spans="1:13">
      <c r="L96" t="s">
        <v>89</v>
      </c>
      <c r="M96" t="s">
        <v>213</v>
      </c>
    </row>
    <row r="97" spans="12:13">
      <c r="L97" t="s">
        <v>134</v>
      </c>
      <c r="M97" t="s">
        <v>145</v>
      </c>
    </row>
  </sheetData>
  <mergeCells count="2">
    <mergeCell ref="J48:L48"/>
    <mergeCell ref="B9:D9"/>
  </mergeCells>
  <pageMargins left="0.7" right="0.7" top="0.75" bottom="0.75" header="0.3" footer="0.3"/>
  <drawing r:id="rId1"/>
  <legacyDrawing r:id="rId2"/>
  <tableParts count="5">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E9B7D-44BF-4512-9B13-30473AE9FC9C}">
  <dimension ref="A1:M88"/>
  <sheetViews>
    <sheetView topLeftCell="A39" zoomScale="80" zoomScaleNormal="80" workbookViewId="0">
      <selection activeCell="C58" sqref="C58"/>
    </sheetView>
  </sheetViews>
  <sheetFormatPr defaultRowHeight="14.45"/>
  <cols>
    <col min="1" max="1" width="14.7109375" customWidth="1"/>
    <col min="2" max="2" width="38.85546875" customWidth="1"/>
    <col min="3" max="3" width="34.140625" customWidth="1"/>
    <col min="4" max="4" width="38" customWidth="1"/>
    <col min="5" max="5" width="29.140625" customWidth="1"/>
    <col min="6" max="6" width="30.28515625" customWidth="1"/>
    <col min="7" max="7" width="35.85546875" customWidth="1"/>
    <col min="8" max="8" width="37.7109375" bestFit="1" customWidth="1"/>
    <col min="9" max="9" width="21.5703125" customWidth="1"/>
    <col min="10" max="10" width="30.85546875" customWidth="1"/>
    <col min="11" max="11" width="11.28515625" customWidth="1"/>
    <col min="12" max="12" width="28.42578125" customWidth="1"/>
    <col min="13" max="13" width="53.42578125" bestFit="1" customWidth="1"/>
  </cols>
  <sheetData>
    <row r="1" spans="1:6" ht="21">
      <c r="A1" s="1" t="s">
        <v>214</v>
      </c>
    </row>
    <row r="9" spans="1:6">
      <c r="B9" t="s">
        <v>215</v>
      </c>
      <c r="C9" s="3"/>
    </row>
    <row r="11" spans="1:6">
      <c r="A11" s="2" t="s">
        <v>216</v>
      </c>
    </row>
    <row r="13" spans="1:6">
      <c r="B13" s="60" t="s">
        <v>217</v>
      </c>
      <c r="C13" s="60" t="s">
        <v>218</v>
      </c>
      <c r="D13" s="60" t="s">
        <v>219</v>
      </c>
    </row>
    <row r="14" spans="1:6">
      <c r="B14" s="14"/>
      <c r="C14" s="14"/>
      <c r="D14" s="14"/>
    </row>
    <row r="15" spans="1:6">
      <c r="B15" s="14"/>
      <c r="C15" s="14"/>
      <c r="D15" s="14"/>
      <c r="F15" t="s">
        <v>220</v>
      </c>
    </row>
    <row r="16" spans="1:6">
      <c r="B16" s="14"/>
      <c r="C16" s="14"/>
      <c r="D16" s="14"/>
    </row>
    <row r="17" spans="1:8">
      <c r="B17" s="14"/>
      <c r="C17" s="14"/>
      <c r="D17" s="14"/>
    </row>
    <row r="18" spans="1:8">
      <c r="B18" s="14"/>
      <c r="C18" s="14"/>
      <c r="D18" s="14"/>
    </row>
    <row r="19" spans="1:8">
      <c r="B19" s="14"/>
      <c r="C19" s="14"/>
      <c r="D19" s="14"/>
    </row>
    <row r="20" spans="1:8">
      <c r="B20" s="14"/>
      <c r="C20" s="14"/>
      <c r="D20" s="14"/>
    </row>
    <row r="22" spans="1:8">
      <c r="B22" s="60" t="s">
        <v>106</v>
      </c>
      <c r="C22" s="14">
        <f>SUM(C14:C20)</f>
        <v>0</v>
      </c>
      <c r="D22" s="14">
        <f>SUM(D14:D20)</f>
        <v>0</v>
      </c>
    </row>
    <row r="25" spans="1:8">
      <c r="A25" s="2" t="s">
        <v>221</v>
      </c>
    </row>
    <row r="26" spans="1:8">
      <c r="C26" t="s">
        <v>222</v>
      </c>
      <c r="D26" t="s">
        <v>223</v>
      </c>
    </row>
    <row r="27" spans="1:8">
      <c r="B27" s="94" t="s">
        <v>224</v>
      </c>
      <c r="C27" s="96" t="s">
        <v>225</v>
      </c>
      <c r="D27" s="97"/>
      <c r="E27" s="97"/>
      <c r="F27" s="97"/>
      <c r="G27" s="98"/>
      <c r="H27" s="94" t="s">
        <v>219</v>
      </c>
    </row>
    <row r="28" spans="1:8">
      <c r="B28" s="95"/>
      <c r="C28" s="60" t="s">
        <v>49</v>
      </c>
      <c r="D28" s="60" t="s">
        <v>50</v>
      </c>
      <c r="E28" s="60" t="s">
        <v>51</v>
      </c>
      <c r="F28" s="60" t="s">
        <v>52</v>
      </c>
      <c r="G28" s="60" t="s">
        <v>53</v>
      </c>
      <c r="H28" s="95"/>
    </row>
    <row r="29" spans="1:8">
      <c r="B29" s="14"/>
      <c r="C29" s="14"/>
      <c r="D29" s="14"/>
      <c r="E29" s="14"/>
      <c r="F29" s="14"/>
      <c r="G29" s="14"/>
      <c r="H29" s="14"/>
    </row>
    <row r="30" spans="1:8">
      <c r="B30" s="14"/>
      <c r="C30" s="14"/>
      <c r="D30" s="14"/>
      <c r="E30" s="14"/>
      <c r="F30" s="14"/>
      <c r="G30" s="14"/>
      <c r="H30" s="14"/>
    </row>
    <row r="31" spans="1:8">
      <c r="B31" s="14"/>
      <c r="C31" s="14"/>
      <c r="D31" s="14"/>
      <c r="E31" s="14"/>
      <c r="F31" s="14"/>
      <c r="G31" s="14"/>
      <c r="H31" s="14"/>
    </row>
    <row r="32" spans="1:8">
      <c r="B32" s="14"/>
      <c r="C32" s="14"/>
      <c r="D32" s="14"/>
      <c r="E32" s="14"/>
      <c r="F32" s="14"/>
      <c r="G32" s="14"/>
      <c r="H32" s="14"/>
    </row>
    <row r="33" spans="2:8">
      <c r="B33" s="14"/>
      <c r="C33" s="14"/>
      <c r="D33" s="14"/>
      <c r="E33" s="14"/>
      <c r="F33" s="14"/>
      <c r="G33" s="14"/>
      <c r="H33" s="14"/>
    </row>
    <row r="34" spans="2:8">
      <c r="B34" s="14"/>
      <c r="C34" s="14"/>
      <c r="D34" s="14"/>
      <c r="E34" s="14"/>
      <c r="F34" s="14"/>
      <c r="G34" s="14"/>
      <c r="H34" s="14"/>
    </row>
    <row r="35" spans="2:8">
      <c r="B35" s="14"/>
      <c r="C35" s="14"/>
      <c r="D35" s="14"/>
      <c r="E35" s="14"/>
      <c r="F35" s="14"/>
      <c r="G35" s="14"/>
      <c r="H35" s="14"/>
    </row>
    <row r="36" spans="2:8">
      <c r="B36" s="14"/>
      <c r="C36" s="14"/>
      <c r="D36" s="14"/>
      <c r="E36" s="14"/>
      <c r="F36" s="14"/>
      <c r="G36" s="14"/>
      <c r="H36" s="14"/>
    </row>
    <row r="37" spans="2:8">
      <c r="B37" s="14"/>
      <c r="C37" s="14"/>
      <c r="D37" s="14"/>
      <c r="E37" s="14"/>
      <c r="F37" s="14"/>
      <c r="G37" s="14"/>
      <c r="H37" s="14"/>
    </row>
    <row r="38" spans="2:8">
      <c r="B38" s="14"/>
      <c r="C38" s="14"/>
      <c r="D38" s="14"/>
      <c r="E38" s="14"/>
      <c r="F38" s="14"/>
      <c r="G38" s="14"/>
      <c r="H38" s="14"/>
    </row>
    <row r="39" spans="2:8">
      <c r="B39" s="14"/>
      <c r="C39" s="14"/>
      <c r="D39" s="14"/>
      <c r="E39" s="14"/>
      <c r="F39" s="14"/>
      <c r="G39" s="14"/>
      <c r="H39" s="14"/>
    </row>
    <row r="40" spans="2:8">
      <c r="B40" s="14"/>
      <c r="C40" s="14"/>
      <c r="D40" s="14"/>
      <c r="E40" s="14"/>
      <c r="F40" s="14"/>
      <c r="G40" s="14"/>
      <c r="H40" s="14"/>
    </row>
    <row r="41" spans="2:8">
      <c r="B41" s="14"/>
      <c r="C41" s="14"/>
      <c r="D41" s="14"/>
      <c r="E41" s="14"/>
      <c r="F41" s="14"/>
      <c r="G41" s="14"/>
      <c r="H41" s="14"/>
    </row>
    <row r="42" spans="2:8">
      <c r="B42" s="14"/>
      <c r="C42" s="14"/>
      <c r="D42" s="14"/>
      <c r="E42" s="14"/>
      <c r="F42" s="14"/>
      <c r="G42" s="14"/>
      <c r="H42" s="14"/>
    </row>
    <row r="43" spans="2:8">
      <c r="B43" s="14"/>
      <c r="C43" s="14"/>
      <c r="D43" s="14"/>
      <c r="E43" s="14"/>
      <c r="F43" s="14"/>
      <c r="G43" s="14"/>
      <c r="H43" s="14"/>
    </row>
    <row r="44" spans="2:8">
      <c r="B44" s="14"/>
      <c r="C44" s="14"/>
      <c r="D44" s="14"/>
      <c r="E44" s="14"/>
      <c r="F44" s="14"/>
      <c r="G44" s="14"/>
      <c r="H44" s="14"/>
    </row>
    <row r="46" spans="2:8">
      <c r="B46" s="60" t="s">
        <v>106</v>
      </c>
      <c r="C46" s="14">
        <f>SUM(C28:C44)</f>
        <v>0</v>
      </c>
      <c r="D46" s="14">
        <f t="shared" ref="D46:G46" si="0">SUM(D28:D44)</f>
        <v>0</v>
      </c>
      <c r="E46" s="14">
        <f t="shared" si="0"/>
        <v>0</v>
      </c>
      <c r="F46" s="14">
        <f t="shared" si="0"/>
        <v>0</v>
      </c>
      <c r="G46" s="14">
        <f t="shared" si="0"/>
        <v>0</v>
      </c>
      <c r="H46" s="14">
        <f>SUM(H28:H44)</f>
        <v>0</v>
      </c>
    </row>
    <row r="49" spans="1:13">
      <c r="A49" s="2" t="s">
        <v>226</v>
      </c>
    </row>
    <row r="51" spans="1:13">
      <c r="B51" s="60" t="s">
        <v>227</v>
      </c>
      <c r="C51" s="60" t="s">
        <v>228</v>
      </c>
      <c r="D51" s="60" t="s">
        <v>229</v>
      </c>
    </row>
    <row r="52" spans="1:13">
      <c r="B52" s="14"/>
      <c r="C52" s="14"/>
      <c r="D52" s="14"/>
    </row>
    <row r="55" spans="1:13">
      <c r="A55" s="2" t="s">
        <v>230</v>
      </c>
      <c r="I55" t="s">
        <v>231</v>
      </c>
      <c r="L55" t="s">
        <v>232</v>
      </c>
    </row>
    <row r="57" spans="1:13">
      <c r="B57" s="60" t="s">
        <v>233</v>
      </c>
      <c r="D57" s="60" t="s">
        <v>234</v>
      </c>
      <c r="E57" s="60" t="s">
        <v>235</v>
      </c>
      <c r="F57" s="60" t="s">
        <v>236</v>
      </c>
      <c r="G57" s="60" t="s">
        <v>237</v>
      </c>
      <c r="I57" s="61" t="s">
        <v>234</v>
      </c>
      <c r="J57" s="61" t="s">
        <v>238</v>
      </c>
      <c r="L57" s="61" t="s">
        <v>234</v>
      </c>
      <c r="M57" s="61" t="s">
        <v>239</v>
      </c>
    </row>
    <row r="58" spans="1:13">
      <c r="B58" s="14"/>
      <c r="D58" s="14" t="s">
        <v>240</v>
      </c>
      <c r="E58" s="14">
        <f>M58</f>
        <v>23</v>
      </c>
      <c r="F58" s="14">
        <f>B58</f>
        <v>0</v>
      </c>
      <c r="G58" s="14">
        <f>F58*J58</f>
        <v>0</v>
      </c>
      <c r="I58" s="14" t="s">
        <v>240</v>
      </c>
      <c r="J58" s="14">
        <v>172.01</v>
      </c>
      <c r="L58" s="14" t="s">
        <v>240</v>
      </c>
      <c r="M58" s="14">
        <v>23</v>
      </c>
    </row>
    <row r="59" spans="1:13">
      <c r="D59" s="14" t="s">
        <v>241</v>
      </c>
      <c r="E59" s="14">
        <f t="shared" ref="E59:E64" si="1">M59</f>
        <v>17</v>
      </c>
      <c r="F59" s="14">
        <f>($F$58/($E$58/100))*(E59/100)</f>
        <v>0</v>
      </c>
      <c r="G59" s="14">
        <f t="shared" ref="G59:G64" si="2">F59*J59</f>
        <v>0</v>
      </c>
      <c r="I59" s="14" t="s">
        <v>241</v>
      </c>
      <c r="J59" s="14">
        <v>172.01</v>
      </c>
      <c r="L59" s="14" t="s">
        <v>241</v>
      </c>
      <c r="M59" s="14">
        <v>17</v>
      </c>
    </row>
    <row r="60" spans="1:13">
      <c r="D60" s="14" t="s">
        <v>242</v>
      </c>
      <c r="E60" s="14">
        <f t="shared" si="1"/>
        <v>20</v>
      </c>
      <c r="F60" s="14">
        <f t="shared" ref="F60:F64" si="3">($F$58/($E$58/100))*(E60/100)</f>
        <v>0</v>
      </c>
      <c r="G60" s="14">
        <f t="shared" si="2"/>
        <v>0</v>
      </c>
      <c r="I60" s="14" t="s">
        <v>242</v>
      </c>
      <c r="J60" s="14">
        <v>172.01</v>
      </c>
      <c r="L60" s="14" t="s">
        <v>242</v>
      </c>
      <c r="M60" s="14">
        <v>20</v>
      </c>
    </row>
    <row r="61" spans="1:13">
      <c r="D61" s="14" t="s">
        <v>243</v>
      </c>
      <c r="E61" s="14">
        <f t="shared" si="1"/>
        <v>9</v>
      </c>
      <c r="F61" s="14">
        <f t="shared" si="3"/>
        <v>0</v>
      </c>
      <c r="G61" s="14">
        <f t="shared" si="2"/>
        <v>0</v>
      </c>
      <c r="I61" s="14" t="s">
        <v>243</v>
      </c>
      <c r="J61" s="14">
        <v>172.01</v>
      </c>
      <c r="L61" s="14" t="s">
        <v>243</v>
      </c>
      <c r="M61" s="14">
        <v>9</v>
      </c>
    </row>
    <row r="62" spans="1:13">
      <c r="D62" s="14" t="s">
        <v>244</v>
      </c>
      <c r="E62" s="14">
        <f t="shared" si="1"/>
        <v>14</v>
      </c>
      <c r="F62" s="14">
        <f t="shared" si="3"/>
        <v>0</v>
      </c>
      <c r="G62" s="14">
        <f t="shared" si="2"/>
        <v>0</v>
      </c>
      <c r="I62" s="14" t="s">
        <v>244</v>
      </c>
      <c r="J62" s="14">
        <v>172.01</v>
      </c>
      <c r="L62" s="14" t="s">
        <v>244</v>
      </c>
      <c r="M62" s="14">
        <v>14</v>
      </c>
    </row>
    <row r="63" spans="1:13">
      <c r="D63" s="14" t="s">
        <v>245</v>
      </c>
      <c r="E63" s="14">
        <f t="shared" si="1"/>
        <v>7</v>
      </c>
      <c r="F63" s="14">
        <f t="shared" si="3"/>
        <v>0</v>
      </c>
      <c r="G63" s="14">
        <f t="shared" si="2"/>
        <v>0</v>
      </c>
      <c r="I63" s="14" t="s">
        <v>245</v>
      </c>
      <c r="J63" s="14">
        <v>172.01</v>
      </c>
      <c r="L63" s="14" t="s">
        <v>245</v>
      </c>
      <c r="M63" s="14">
        <v>7</v>
      </c>
    </row>
    <row r="64" spans="1:13">
      <c r="D64" s="14" t="s">
        <v>246</v>
      </c>
      <c r="E64" s="14">
        <f t="shared" si="1"/>
        <v>10</v>
      </c>
      <c r="F64" s="14">
        <f t="shared" si="3"/>
        <v>0</v>
      </c>
      <c r="G64" s="14">
        <f t="shared" si="2"/>
        <v>0</v>
      </c>
      <c r="I64" s="14" t="s">
        <v>246</v>
      </c>
      <c r="J64" s="14">
        <v>172.01</v>
      </c>
      <c r="L64" s="14" t="s">
        <v>246</v>
      </c>
      <c r="M64" s="14">
        <v>10</v>
      </c>
    </row>
    <row r="66" spans="1:12">
      <c r="I66" t="s">
        <v>247</v>
      </c>
      <c r="L66" t="s">
        <v>248</v>
      </c>
    </row>
    <row r="67" spans="1:12">
      <c r="A67" s="2" t="s">
        <v>29</v>
      </c>
    </row>
    <row r="69" spans="1:12">
      <c r="A69" s="2" t="s">
        <v>249</v>
      </c>
      <c r="B69" t="s">
        <v>250</v>
      </c>
    </row>
    <row r="71" spans="1:12">
      <c r="B71" s="61" t="s">
        <v>251</v>
      </c>
      <c r="C71" s="61" t="s">
        <v>252</v>
      </c>
      <c r="D71" s="61" t="s">
        <v>253</v>
      </c>
    </row>
    <row r="72" spans="1:12" ht="28.9">
      <c r="B72" s="14" t="s">
        <v>254</v>
      </c>
      <c r="C72" s="13" t="s">
        <v>255</v>
      </c>
      <c r="D72" s="14">
        <v>4298</v>
      </c>
    </row>
    <row r="73" spans="1:12" ht="28.9">
      <c r="B73" s="14" t="s">
        <v>256</v>
      </c>
      <c r="C73" s="13" t="s">
        <v>257</v>
      </c>
      <c r="D73" s="14">
        <v>6900</v>
      </c>
    </row>
    <row r="74" spans="1:12" ht="43.15">
      <c r="B74" s="14" t="s">
        <v>258</v>
      </c>
      <c r="C74" s="13" t="s">
        <v>259</v>
      </c>
      <c r="D74" s="14">
        <v>10000</v>
      </c>
      <c r="E74" t="s">
        <v>260</v>
      </c>
    </row>
    <row r="75" spans="1:12">
      <c r="B75" s="14" t="s">
        <v>261</v>
      </c>
      <c r="C75" s="13" t="s">
        <v>262</v>
      </c>
      <c r="D75" s="14">
        <v>13436.28</v>
      </c>
      <c r="E75" t="s">
        <v>263</v>
      </c>
    </row>
    <row r="76" spans="1:12" ht="15" thickBot="1">
      <c r="B76" s="52"/>
      <c r="C76" s="52"/>
      <c r="D76" s="52"/>
    </row>
    <row r="77" spans="1:12" ht="15" thickTop="1">
      <c r="B77" s="54"/>
      <c r="C77" s="54" t="s">
        <v>106</v>
      </c>
      <c r="D77" s="54">
        <f>SUM(D72:D75)</f>
        <v>34634.28</v>
      </c>
    </row>
    <row r="80" spans="1:12">
      <c r="A80" s="2" t="s">
        <v>264</v>
      </c>
    </row>
    <row r="82" spans="2:4">
      <c r="B82" s="61" t="s">
        <v>251</v>
      </c>
      <c r="C82" s="61" t="s">
        <v>252</v>
      </c>
      <c r="D82" s="61" t="s">
        <v>253</v>
      </c>
    </row>
    <row r="83" spans="2:4">
      <c r="B83" s="14"/>
      <c r="C83" s="13"/>
      <c r="D83" s="14"/>
    </row>
    <row r="84" spans="2:4">
      <c r="B84" s="14"/>
      <c r="C84" s="13"/>
      <c r="D84" s="14"/>
    </row>
    <row r="85" spans="2:4">
      <c r="B85" s="14"/>
      <c r="C85" s="13"/>
      <c r="D85" s="14"/>
    </row>
    <row r="86" spans="2:4">
      <c r="B86" s="14"/>
      <c r="C86" s="13"/>
      <c r="D86" s="14"/>
    </row>
    <row r="87" spans="2:4" ht="15" thickBot="1">
      <c r="B87" s="52"/>
      <c r="C87" s="52"/>
      <c r="D87" s="52"/>
    </row>
    <row r="88" spans="2:4" ht="15" thickTop="1">
      <c r="B88" s="54"/>
      <c r="C88" s="54" t="s">
        <v>106</v>
      </c>
      <c r="D88" s="54">
        <f>SUM(D83:D86)</f>
        <v>0</v>
      </c>
    </row>
  </sheetData>
  <mergeCells count="3">
    <mergeCell ref="B27:B28"/>
    <mergeCell ref="C27:G27"/>
    <mergeCell ref="H27:H28"/>
  </mergeCells>
  <phoneticPr fontId="23"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0EBA-A240-41C6-9C91-51939CA847D8}">
  <dimension ref="A3:Y86"/>
  <sheetViews>
    <sheetView tabSelected="1" topLeftCell="D68" zoomScale="80" zoomScaleNormal="60" workbookViewId="0">
      <selection activeCell="K76" sqref="K76"/>
    </sheetView>
  </sheetViews>
  <sheetFormatPr defaultRowHeight="14.45"/>
  <cols>
    <col min="2" max="2" width="9.42578125" customWidth="1"/>
    <col min="3" max="3" width="26" customWidth="1"/>
    <col min="4" max="4" width="20" customWidth="1"/>
    <col min="5" max="5" width="33.28515625" bestFit="1" customWidth="1"/>
    <col min="6" max="6" width="35.42578125" bestFit="1" customWidth="1"/>
    <col min="7" max="7" width="33.28515625" bestFit="1" customWidth="1"/>
    <col min="8" max="8" width="29.140625" customWidth="1"/>
    <col min="9" max="9" width="28.140625" bestFit="1" customWidth="1"/>
    <col min="10" max="10" width="33.42578125" bestFit="1" customWidth="1"/>
    <col min="11" max="11" width="33.85546875" bestFit="1" customWidth="1"/>
    <col min="12" max="12" width="41" customWidth="1"/>
    <col min="13" max="13" width="37.7109375" bestFit="1" customWidth="1"/>
    <col min="14" max="14" width="40.5703125" bestFit="1" customWidth="1"/>
    <col min="15" max="15" width="40.85546875" bestFit="1" customWidth="1"/>
    <col min="16" max="16" width="32.7109375" bestFit="1" customWidth="1"/>
    <col min="17" max="17" width="33" bestFit="1" customWidth="1"/>
    <col min="18" max="18" width="39.85546875" bestFit="1" customWidth="1"/>
    <col min="19" max="19" width="40.140625" bestFit="1" customWidth="1"/>
    <col min="20" max="22" width="33" bestFit="1" customWidth="1"/>
  </cols>
  <sheetData>
    <row r="3" spans="2:11" ht="17.45">
      <c r="B3" s="99" t="s">
        <v>265</v>
      </c>
      <c r="C3" s="99"/>
      <c r="D3" s="99"/>
      <c r="E3" s="99"/>
      <c r="F3" s="99"/>
      <c r="G3" s="99"/>
      <c r="H3" s="99"/>
      <c r="I3" s="99"/>
    </row>
    <row r="4" spans="2:11">
      <c r="B4" t="s">
        <v>266</v>
      </c>
      <c r="C4" t="s">
        <v>251</v>
      </c>
      <c r="D4" t="s">
        <v>267</v>
      </c>
      <c r="E4" t="s">
        <v>217</v>
      </c>
      <c r="F4" t="s">
        <v>268</v>
      </c>
      <c r="G4" t="s">
        <v>269</v>
      </c>
      <c r="H4" t="s">
        <v>270</v>
      </c>
      <c r="I4" t="s">
        <v>271</v>
      </c>
      <c r="J4" t="s">
        <v>236</v>
      </c>
      <c r="K4" t="s">
        <v>272</v>
      </c>
    </row>
    <row r="5" spans="2:11">
      <c r="B5">
        <v>1</v>
      </c>
      <c r="C5" t="s">
        <v>273</v>
      </c>
      <c r="D5">
        <v>1</v>
      </c>
      <c r="F5" t="s">
        <v>274</v>
      </c>
      <c r="H5" t="s">
        <v>275</v>
      </c>
      <c r="I5" t="s">
        <v>276</v>
      </c>
    </row>
    <row r="6" spans="2:11">
      <c r="B6">
        <v>2</v>
      </c>
      <c r="C6" t="s">
        <v>277</v>
      </c>
      <c r="D6">
        <v>1</v>
      </c>
      <c r="F6" t="s">
        <v>278</v>
      </c>
      <c r="H6" t="s">
        <v>279</v>
      </c>
      <c r="I6" t="s">
        <v>280</v>
      </c>
    </row>
    <row r="7" spans="2:11">
      <c r="B7">
        <v>3</v>
      </c>
      <c r="C7" t="s">
        <v>281</v>
      </c>
      <c r="D7">
        <v>1</v>
      </c>
      <c r="F7" t="s">
        <v>278</v>
      </c>
      <c r="H7" t="s">
        <v>279</v>
      </c>
      <c r="I7" t="s">
        <v>280</v>
      </c>
    </row>
    <row r="8" spans="2:11">
      <c r="B8">
        <v>4</v>
      </c>
      <c r="C8" t="s">
        <v>282</v>
      </c>
      <c r="D8">
        <v>1</v>
      </c>
      <c r="F8" t="s">
        <v>278</v>
      </c>
      <c r="H8" t="s">
        <v>279</v>
      </c>
      <c r="I8" t="s">
        <v>280</v>
      </c>
    </row>
    <row r="9" spans="2:11">
      <c r="B9">
        <v>5</v>
      </c>
      <c r="C9" t="s">
        <v>283</v>
      </c>
      <c r="D9">
        <v>1</v>
      </c>
      <c r="F9" t="s">
        <v>278</v>
      </c>
      <c r="H9" t="s">
        <v>279</v>
      </c>
      <c r="I9" t="s">
        <v>280</v>
      </c>
    </row>
    <row r="10" spans="2:11">
      <c r="B10">
        <v>6</v>
      </c>
      <c r="C10" t="s">
        <v>284</v>
      </c>
      <c r="D10">
        <v>1</v>
      </c>
      <c r="F10" t="s">
        <v>278</v>
      </c>
      <c r="H10" t="s">
        <v>279</v>
      </c>
      <c r="I10" t="s">
        <v>280</v>
      </c>
    </row>
    <row r="11" spans="2:11">
      <c r="B11">
        <v>7</v>
      </c>
      <c r="C11" t="s">
        <v>285</v>
      </c>
      <c r="D11">
        <v>1</v>
      </c>
      <c r="F11" t="s">
        <v>278</v>
      </c>
      <c r="H11" t="s">
        <v>279</v>
      </c>
      <c r="I11" t="s">
        <v>280</v>
      </c>
    </row>
    <row r="12" spans="2:11">
      <c r="B12">
        <v>8</v>
      </c>
      <c r="C12" t="s">
        <v>286</v>
      </c>
      <c r="D12">
        <v>1</v>
      </c>
      <c r="F12" t="s">
        <v>287</v>
      </c>
      <c r="H12" t="s">
        <v>288</v>
      </c>
      <c r="I12" t="s">
        <v>280</v>
      </c>
    </row>
    <row r="13" spans="2:11">
      <c r="B13">
        <v>9</v>
      </c>
      <c r="C13" t="s">
        <v>289</v>
      </c>
      <c r="D13">
        <v>1</v>
      </c>
      <c r="F13" t="s">
        <v>274</v>
      </c>
      <c r="H13" t="s">
        <v>275</v>
      </c>
      <c r="I13" t="s">
        <v>276</v>
      </c>
    </row>
    <row r="14" spans="2:11">
      <c r="B14">
        <v>10</v>
      </c>
      <c r="C14" t="s">
        <v>290</v>
      </c>
      <c r="D14">
        <v>2</v>
      </c>
      <c r="F14" t="s">
        <v>278</v>
      </c>
      <c r="H14" t="s">
        <v>279</v>
      </c>
      <c r="I14" t="s">
        <v>280</v>
      </c>
    </row>
    <row r="15" spans="2:11">
      <c r="B15">
        <v>11</v>
      </c>
      <c r="C15" t="s">
        <v>291</v>
      </c>
      <c r="D15">
        <v>2</v>
      </c>
      <c r="F15" t="s">
        <v>278</v>
      </c>
      <c r="H15" t="s">
        <v>279</v>
      </c>
      <c r="I15" t="s">
        <v>280</v>
      </c>
    </row>
    <row r="16" spans="2:11">
      <c r="B16">
        <v>12</v>
      </c>
      <c r="C16" t="s">
        <v>292</v>
      </c>
      <c r="D16">
        <v>1</v>
      </c>
      <c r="F16" t="s">
        <v>274</v>
      </c>
      <c r="H16" t="s">
        <v>275</v>
      </c>
      <c r="I16" t="s">
        <v>276</v>
      </c>
    </row>
    <row r="17" spans="2:9">
      <c r="B17">
        <v>13</v>
      </c>
      <c r="C17" t="s">
        <v>293</v>
      </c>
      <c r="D17">
        <v>1</v>
      </c>
      <c r="F17" t="s">
        <v>278</v>
      </c>
      <c r="H17" t="s">
        <v>279</v>
      </c>
      <c r="I17" t="s">
        <v>280</v>
      </c>
    </row>
    <row r="18" spans="2:9">
      <c r="B18">
        <v>14</v>
      </c>
      <c r="C18" t="s">
        <v>294</v>
      </c>
      <c r="D18">
        <v>1</v>
      </c>
      <c r="F18" t="s">
        <v>278</v>
      </c>
      <c r="H18" t="s">
        <v>279</v>
      </c>
      <c r="I18" t="s">
        <v>280</v>
      </c>
    </row>
    <row r="19" spans="2:9">
      <c r="B19">
        <v>15</v>
      </c>
      <c r="C19" t="s">
        <v>295</v>
      </c>
      <c r="D19">
        <v>1</v>
      </c>
      <c r="F19" t="s">
        <v>278</v>
      </c>
      <c r="H19" t="s">
        <v>279</v>
      </c>
      <c r="I19" t="s">
        <v>280</v>
      </c>
    </row>
    <row r="20" spans="2:9">
      <c r="B20">
        <v>16</v>
      </c>
      <c r="C20" t="s">
        <v>296</v>
      </c>
      <c r="D20">
        <v>1</v>
      </c>
      <c r="F20" t="s">
        <v>274</v>
      </c>
      <c r="H20" t="s">
        <v>275</v>
      </c>
      <c r="I20" t="s">
        <v>276</v>
      </c>
    </row>
    <row r="21" spans="2:9">
      <c r="B21">
        <v>17</v>
      </c>
      <c r="C21" t="s">
        <v>297</v>
      </c>
      <c r="D21">
        <v>2</v>
      </c>
      <c r="F21" t="s">
        <v>278</v>
      </c>
      <c r="H21" t="s">
        <v>279</v>
      </c>
      <c r="I21" t="s">
        <v>280</v>
      </c>
    </row>
    <row r="22" spans="2:9">
      <c r="B22">
        <v>18</v>
      </c>
      <c r="C22" t="s">
        <v>298</v>
      </c>
      <c r="D22">
        <v>1</v>
      </c>
      <c r="F22" t="s">
        <v>278</v>
      </c>
      <c r="H22" t="s">
        <v>279</v>
      </c>
      <c r="I22" t="s">
        <v>280</v>
      </c>
    </row>
    <row r="23" spans="2:9">
      <c r="B23">
        <v>19</v>
      </c>
      <c r="C23" t="s">
        <v>299</v>
      </c>
      <c r="D23">
        <v>1</v>
      </c>
      <c r="F23" t="s">
        <v>278</v>
      </c>
      <c r="H23" t="s">
        <v>279</v>
      </c>
      <c r="I23" t="s">
        <v>280</v>
      </c>
    </row>
    <row r="24" spans="2:9">
      <c r="B24">
        <v>20</v>
      </c>
      <c r="C24" t="s">
        <v>300</v>
      </c>
      <c r="D24">
        <v>1</v>
      </c>
      <c r="F24" t="s">
        <v>274</v>
      </c>
      <c r="H24" t="s">
        <v>275</v>
      </c>
      <c r="I24" t="s">
        <v>276</v>
      </c>
    </row>
    <row r="25" spans="2:9">
      <c r="B25">
        <v>21</v>
      </c>
      <c r="C25" t="s">
        <v>301</v>
      </c>
      <c r="D25">
        <v>1</v>
      </c>
      <c r="F25" t="s">
        <v>278</v>
      </c>
      <c r="H25" t="s">
        <v>279</v>
      </c>
      <c r="I25" t="s">
        <v>280</v>
      </c>
    </row>
    <row r="26" spans="2:9">
      <c r="B26">
        <v>22</v>
      </c>
      <c r="C26" t="s">
        <v>302</v>
      </c>
      <c r="D26">
        <v>1</v>
      </c>
      <c r="F26" t="s">
        <v>274</v>
      </c>
      <c r="H26" t="s">
        <v>275</v>
      </c>
      <c r="I26" t="s">
        <v>276</v>
      </c>
    </row>
    <row r="27" spans="2:9">
      <c r="B27">
        <v>23</v>
      </c>
      <c r="C27" t="s">
        <v>303</v>
      </c>
      <c r="D27">
        <v>1</v>
      </c>
      <c r="F27" t="s">
        <v>274</v>
      </c>
      <c r="H27" t="s">
        <v>275</v>
      </c>
      <c r="I27" t="s">
        <v>276</v>
      </c>
    </row>
    <row r="29" spans="2:9" ht="17.45">
      <c r="B29" s="99" t="s">
        <v>304</v>
      </c>
      <c r="C29" s="99"/>
      <c r="D29" s="99"/>
      <c r="E29" s="99"/>
      <c r="F29" s="99"/>
      <c r="G29" s="99"/>
      <c r="H29" s="99"/>
      <c r="I29" s="99"/>
    </row>
    <row r="30" spans="2:9">
      <c r="B30" s="2" t="s">
        <v>305</v>
      </c>
      <c r="D30">
        <v>26.96</v>
      </c>
      <c r="E30" t="s">
        <v>306</v>
      </c>
    </row>
    <row r="33" spans="2:22">
      <c r="B33" s="60" t="s">
        <v>266</v>
      </c>
      <c r="C33" s="60" t="s">
        <v>251</v>
      </c>
      <c r="D33" s="60" t="s">
        <v>307</v>
      </c>
      <c r="E33" s="60" t="s">
        <v>267</v>
      </c>
      <c r="F33" s="60" t="s">
        <v>308</v>
      </c>
      <c r="G33" s="60" t="s">
        <v>217</v>
      </c>
      <c r="H33" s="60" t="s">
        <v>309</v>
      </c>
      <c r="I33" s="60" t="s">
        <v>310</v>
      </c>
      <c r="J33" s="60" t="s">
        <v>311</v>
      </c>
      <c r="K33" s="60" t="s">
        <v>268</v>
      </c>
      <c r="L33" s="60" t="s">
        <v>269</v>
      </c>
      <c r="M33" s="60" t="s">
        <v>312</v>
      </c>
      <c r="N33" s="60" t="s">
        <v>313</v>
      </c>
      <c r="O33" s="60" t="s">
        <v>314</v>
      </c>
      <c r="P33" s="60" t="s">
        <v>315</v>
      </c>
      <c r="Q33" s="60" t="s">
        <v>271</v>
      </c>
      <c r="R33" s="60" t="s">
        <v>316</v>
      </c>
      <c r="S33" s="60" t="s">
        <v>317</v>
      </c>
      <c r="T33" s="60" t="s">
        <v>318</v>
      </c>
      <c r="U33" s="60" t="s">
        <v>319</v>
      </c>
      <c r="V33" s="60" t="s">
        <v>320</v>
      </c>
    </row>
    <row r="34" spans="2:22">
      <c r="B34">
        <v>2.1</v>
      </c>
      <c r="C34" t="s">
        <v>321</v>
      </c>
      <c r="D34">
        <f>178971.069*0.000000001</f>
        <v>1.7897106899999999E-4</v>
      </c>
      <c r="E34">
        <v>2</v>
      </c>
      <c r="F34">
        <f>Table57[[#This Row],[Part volume (m^3)]]*Table57[[#This Row],[Quantity]]</f>
        <v>3.5794213799999997E-4</v>
      </c>
      <c r="G34" t="s">
        <v>322</v>
      </c>
      <c r="H34">
        <f>((0.83*((225000*0.75)+((3930+7290)/2)))+(0.17*((4890+6230)/2)))</f>
        <v>145664</v>
      </c>
      <c r="I34">
        <f>Table57[[#This Row],[Material Cost per m^3]]*Table57[[#This Row],[Total volume (m^3)]]</f>
        <v>52.139283589631994</v>
      </c>
      <c r="J34">
        <f>4.64*1325*Table57[[#This Row],[Total volume (m^3)]]</f>
        <v>2.2006282644239996</v>
      </c>
      <c r="K34" t="s">
        <v>323</v>
      </c>
      <c r="L34" s="39" t="s">
        <v>324</v>
      </c>
      <c r="M34" t="s">
        <v>325</v>
      </c>
      <c r="N34">
        <f>(776/60000)*Table57[[#This Row],[Quantity]]</f>
        <v>2.5866666666666666E-2</v>
      </c>
      <c r="O34">
        <f>(3100/60000)*Table57[[#This Row],[Quantity]]</f>
        <v>0.10333333333333333</v>
      </c>
      <c r="P34">
        <f>0.28*1325*Table57[[#This Row],[Total volume (m^3)]]</f>
        <v>0.132796533198</v>
      </c>
      <c r="Q34" t="s">
        <v>276</v>
      </c>
      <c r="R34">
        <f>30-Table57[[#This Row],[Press time per unit (mins) - lower]]-Table57[[#This Row],[Oven adjusted time per unit (mins)]]</f>
        <v>28.999203392867951</v>
      </c>
      <c r="S34">
        <f>60-Table57[[#This Row],[Press time per unit (mins) - upper]]-Table57[[#This Row],[Oven adjusted time per unit (mins)]]</f>
        <v>54.999203392867955</v>
      </c>
      <c r="T34">
        <v>1</v>
      </c>
      <c r="U34">
        <v>5</v>
      </c>
      <c r="V34">
        <f>60*(Table57[[#This Row],[Total volume (m^3)]]/$D$30)</f>
        <v>7.9660713204747773E-4</v>
      </c>
    </row>
    <row r="35" spans="2:22">
      <c r="B35">
        <v>2.2000000000000002</v>
      </c>
      <c r="C35" t="s">
        <v>326</v>
      </c>
      <c r="D35">
        <f>22371.421*0.000000001</f>
        <v>2.2371421000000001E-5</v>
      </c>
      <c r="E35">
        <v>1</v>
      </c>
      <c r="F35">
        <f>Table57[[#This Row],[Part volume (m^3)]]*Table57[[#This Row],[Quantity]]</f>
        <v>2.2371421000000001E-5</v>
      </c>
      <c r="G35" t="s">
        <v>322</v>
      </c>
      <c r="H35">
        <f t="shared" ref="H35:H44" si="0">((0.83*((225000*0.75)+((3930+7290)/2)))+(0.17*((4890+6230)/2)))</f>
        <v>145664</v>
      </c>
      <c r="I35">
        <f>Table57[[#This Row],[Material Cost per m^3]]*Table57[[#This Row],[Total volume (m^3)]]</f>
        <v>3.2587106685440004</v>
      </c>
      <c r="J35">
        <f>4.64*1325*Table57[[#This Row],[Total volume (m^3)]]</f>
        <v>0.137539496308</v>
      </c>
      <c r="K35" t="s">
        <v>323</v>
      </c>
      <c r="L35" s="39" t="s">
        <v>324</v>
      </c>
      <c r="N35">
        <f>(776/60000)*Table57[[#This Row],[Quantity]]</f>
        <v>1.2933333333333333E-2</v>
      </c>
      <c r="O35">
        <f>(3100/60000)*Table57[[#This Row],[Quantity]]</f>
        <v>5.1666666666666666E-2</v>
      </c>
      <c r="P35">
        <f>0.28*1325*Table57[[#This Row],[Total volume (m^3)]]</f>
        <v>8.2997971910000017E-3</v>
      </c>
      <c r="Q35" t="s">
        <v>276</v>
      </c>
      <c r="R35">
        <f>30-Table57[[#This Row],[Press time per unit (mins) - lower]]-Table57[[#This Row],[Oven adjusted time per unit (mins)]]</f>
        <v>28.999950211971068</v>
      </c>
      <c r="S35">
        <f>60-Table57[[#This Row],[Press time per unit (mins) - upper]]-Table57[[#This Row],[Oven adjusted time per unit (mins)]]</f>
        <v>54.999950211971068</v>
      </c>
      <c r="T35">
        <v>1</v>
      </c>
      <c r="U35">
        <v>5</v>
      </c>
      <c r="V35">
        <f>60*(Table57[[#This Row],[Total volume (m^3)]]/$D$30)</f>
        <v>4.9788028931750745E-5</v>
      </c>
    </row>
    <row r="36" spans="2:22">
      <c r="B36">
        <v>2.2999999999999998</v>
      </c>
      <c r="C36" t="s">
        <v>327</v>
      </c>
      <c r="D36">
        <f>37290.317*0.000000001</f>
        <v>3.7290317000000004E-5</v>
      </c>
      <c r="E36">
        <v>1</v>
      </c>
      <c r="F36">
        <f>Table57[[#This Row],[Part volume (m^3)]]*Table57[[#This Row],[Quantity]]</f>
        <v>3.7290317000000004E-5</v>
      </c>
      <c r="G36" t="s">
        <v>322</v>
      </c>
      <c r="H36">
        <f t="shared" si="0"/>
        <v>145664</v>
      </c>
      <c r="I36">
        <f>Table57[[#This Row],[Material Cost per m^3]]*Table57[[#This Row],[Total volume (m^3)]]</f>
        <v>5.431856735488001</v>
      </c>
      <c r="J36">
        <f>4.64*1325*Table57[[#This Row],[Total volume (m^3)]]</f>
        <v>0.22926086891600003</v>
      </c>
      <c r="K36" t="s">
        <v>323</v>
      </c>
      <c r="L36" s="39" t="s">
        <v>324</v>
      </c>
      <c r="N36">
        <f>(776/60000)*Table57[[#This Row],[Quantity]]</f>
        <v>1.2933333333333333E-2</v>
      </c>
      <c r="O36">
        <f>(3100/60000)*Table57[[#This Row],[Quantity]]</f>
        <v>5.1666666666666666E-2</v>
      </c>
      <c r="P36">
        <f>0.28*1325*Table57[[#This Row],[Total volume (m^3)]]</f>
        <v>1.3834707607000004E-2</v>
      </c>
      <c r="Q36" t="s">
        <v>276</v>
      </c>
      <c r="R36">
        <f>30-Table57[[#This Row],[Press time per unit (mins) - lower]]-Table57[[#This Row],[Oven adjusted time per unit (mins)]]</f>
        <v>28.999917009680267</v>
      </c>
      <c r="S36">
        <f>60-Table57[[#This Row],[Press time per unit (mins) - upper]]-Table57[[#This Row],[Oven adjusted time per unit (mins)]]</f>
        <v>54.999917009680267</v>
      </c>
      <c r="T36">
        <v>1</v>
      </c>
      <c r="U36">
        <v>5</v>
      </c>
      <c r="V36">
        <f>60*(Table57[[#This Row],[Total volume (m^3)]]/$D$30)</f>
        <v>8.2990319732937693E-5</v>
      </c>
    </row>
    <row r="37" spans="2:22">
      <c r="B37">
        <v>2.4</v>
      </c>
      <c r="C37" t="s">
        <v>328</v>
      </c>
      <c r="D37">
        <f>1674.967*0.000000001</f>
        <v>1.6749670000000002E-6</v>
      </c>
      <c r="E37">
        <v>1</v>
      </c>
      <c r="F37">
        <f>Table57[[#This Row],[Part volume (m^3)]]*Table57[[#This Row],[Quantity]]</f>
        <v>1.6749670000000002E-6</v>
      </c>
      <c r="G37" t="s">
        <v>322</v>
      </c>
      <c r="H37">
        <f t="shared" si="0"/>
        <v>145664</v>
      </c>
      <c r="I37">
        <f>Table57[[#This Row],[Material Cost per m^3]]*Table57[[#This Row],[Total volume (m^3)]]</f>
        <v>0.24398239308800004</v>
      </c>
      <c r="J37">
        <f>4.64*1325*Table57[[#This Row],[Total volume (m^3)]]</f>
        <v>1.0297697116000001E-2</v>
      </c>
      <c r="K37" t="s">
        <v>323</v>
      </c>
      <c r="L37" s="39" t="s">
        <v>324</v>
      </c>
      <c r="N37">
        <f>(776/60000)*Table57[[#This Row],[Quantity]]</f>
        <v>1.2933333333333333E-2</v>
      </c>
      <c r="O37">
        <f>(3100/60000)*Table57[[#This Row],[Quantity]]</f>
        <v>5.1666666666666666E-2</v>
      </c>
      <c r="P37">
        <f>0.28*1325*Table57[[#This Row],[Total volume (m^3)]]</f>
        <v>6.2141275700000013E-4</v>
      </c>
      <c r="Q37" t="s">
        <v>276</v>
      </c>
      <c r="R37">
        <f>30-Table57[[#This Row],[Press time per unit (mins) - lower]]-Table57[[#This Row],[Oven adjusted time per unit (mins)]]</f>
        <v>28.999996272328634</v>
      </c>
      <c r="S37">
        <f>60-Table57[[#This Row],[Press time per unit (mins) - upper]]-Table57[[#This Row],[Oven adjusted time per unit (mins)]]</f>
        <v>54.999996272328637</v>
      </c>
      <c r="T37">
        <v>1</v>
      </c>
      <c r="U37">
        <v>5</v>
      </c>
      <c r="V37">
        <f>60*(Table57[[#This Row],[Total volume (m^3)]]/$D$30)</f>
        <v>3.7276713649851639E-6</v>
      </c>
    </row>
    <row r="38" spans="2:22">
      <c r="B38">
        <v>2.5</v>
      </c>
      <c r="C38" t="s">
        <v>329</v>
      </c>
      <c r="D38">
        <f>2137.158*0.000000001</f>
        <v>2.1371580000000002E-6</v>
      </c>
      <c r="E38">
        <v>1</v>
      </c>
      <c r="F38">
        <f>Table57[[#This Row],[Part volume (m^3)]]*Table57[[#This Row],[Quantity]]</f>
        <v>2.1371580000000002E-6</v>
      </c>
      <c r="G38" t="s">
        <v>322</v>
      </c>
      <c r="H38">
        <f t="shared" si="0"/>
        <v>145664</v>
      </c>
      <c r="I38">
        <f>Table57[[#This Row],[Material Cost per m^3]]*Table57[[#This Row],[Total volume (m^3)]]</f>
        <v>0.31130698291200004</v>
      </c>
      <c r="J38">
        <f>4.64*1325*Table57[[#This Row],[Total volume (m^3)]]</f>
        <v>1.3139247384000002E-2</v>
      </c>
      <c r="K38" t="s">
        <v>323</v>
      </c>
      <c r="L38" s="39" t="s">
        <v>324</v>
      </c>
      <c r="N38">
        <f>(776/60000)*Table57[[#This Row],[Quantity]]</f>
        <v>1.2933333333333333E-2</v>
      </c>
      <c r="O38">
        <f>(3100/60000)*Table57[[#This Row],[Quantity]]</f>
        <v>5.1666666666666666E-2</v>
      </c>
      <c r="P38">
        <f>0.28*1325*Table57[[#This Row],[Total volume (m^3)]]</f>
        <v>7.9288561800000014E-4</v>
      </c>
      <c r="Q38" t="s">
        <v>276</v>
      </c>
      <c r="R38">
        <f>30-Table57[[#This Row],[Press time per unit (mins) - lower]]-Table57[[#This Row],[Oven adjusted time per unit (mins)]]</f>
        <v>28.999995243713649</v>
      </c>
      <c r="S38">
        <f>60-Table57[[#This Row],[Press time per unit (mins) - upper]]-Table57[[#This Row],[Oven adjusted time per unit (mins)]]</f>
        <v>54.999995243713649</v>
      </c>
      <c r="T38">
        <v>1</v>
      </c>
      <c r="U38">
        <v>5</v>
      </c>
      <c r="V38">
        <f>60*(Table57[[#This Row],[Total volume (m^3)]]/$D$30)</f>
        <v>4.7562863501483683E-6</v>
      </c>
    </row>
    <row r="39" spans="2:22">
      <c r="B39">
        <v>2.6</v>
      </c>
      <c r="C39" t="s">
        <v>330</v>
      </c>
      <c r="D39">
        <f>30606.443*0.000000001</f>
        <v>3.0606443000000003E-5</v>
      </c>
      <c r="E39">
        <v>1</v>
      </c>
      <c r="F39">
        <f>Table57[[#This Row],[Part volume (m^3)]]*Table57[[#This Row],[Quantity]]</f>
        <v>3.0606443000000003E-5</v>
      </c>
      <c r="G39" t="s">
        <v>322</v>
      </c>
      <c r="H39">
        <f t="shared" si="0"/>
        <v>145664</v>
      </c>
      <c r="I39">
        <f>Table57[[#This Row],[Material Cost per m^3]]*Table57[[#This Row],[Total volume (m^3)]]</f>
        <v>4.4582569131520007</v>
      </c>
      <c r="J39">
        <f>4.64*1325*Table57[[#This Row],[Total volume (m^3)]]</f>
        <v>0.18816841156400002</v>
      </c>
      <c r="K39" t="s">
        <v>323</v>
      </c>
      <c r="L39" s="39" t="s">
        <v>324</v>
      </c>
      <c r="N39">
        <f>(776/60000)*Table57[[#This Row],[Quantity]]</f>
        <v>1.2933333333333333E-2</v>
      </c>
      <c r="O39">
        <f>(3100/60000)*Table57[[#This Row],[Quantity]]</f>
        <v>5.1666666666666666E-2</v>
      </c>
      <c r="P39">
        <f>0.28*1325*Table57[[#This Row],[Total volume (m^3)]]</f>
        <v>1.1354990353000003E-2</v>
      </c>
      <c r="Q39" t="s">
        <v>276</v>
      </c>
      <c r="R39">
        <f>30-Table57[[#This Row],[Press time per unit (mins) - lower]]-Table57[[#This Row],[Oven adjusted time per unit (mins)]]</f>
        <v>28.999931884770771</v>
      </c>
      <c r="S39">
        <f>60-Table57[[#This Row],[Press time per unit (mins) - upper]]-Table57[[#This Row],[Oven adjusted time per unit (mins)]]</f>
        <v>54.999931884770774</v>
      </c>
      <c r="T39">
        <v>1</v>
      </c>
      <c r="U39">
        <v>5</v>
      </c>
      <c r="V39">
        <f>60*(Table57[[#This Row],[Total volume (m^3)]]/$D$30)</f>
        <v>6.811522922848665E-5</v>
      </c>
    </row>
    <row r="40" spans="2:22">
      <c r="B40">
        <v>2.7</v>
      </c>
      <c r="C40" t="s">
        <v>331</v>
      </c>
      <c r="D40">
        <f>89638.539*0.000000001</f>
        <v>8.9638539000000013E-5</v>
      </c>
      <c r="E40">
        <v>4</v>
      </c>
      <c r="F40">
        <f>Table57[[#This Row],[Part volume (m^3)]]*Table57[[#This Row],[Quantity]]</f>
        <v>3.5855415600000005E-4</v>
      </c>
      <c r="G40" t="s">
        <v>322</v>
      </c>
      <c r="H40">
        <f t="shared" si="0"/>
        <v>145664</v>
      </c>
      <c r="I40">
        <f>Table57[[#This Row],[Material Cost per m^3]]*Table57[[#This Row],[Total volume (m^3)]]</f>
        <v>52.228432579584009</v>
      </c>
      <c r="J40">
        <f>4.64*1325*Table57[[#This Row],[Total volume (m^3)]]</f>
        <v>2.2043909510880004</v>
      </c>
      <c r="K40" t="s">
        <v>323</v>
      </c>
      <c r="L40" s="39" t="s">
        <v>324</v>
      </c>
      <c r="N40">
        <f>(776/60000)*Table57[[#This Row],[Quantity]]</f>
        <v>5.1733333333333333E-2</v>
      </c>
      <c r="O40">
        <f>(3100/60000)*Table57[[#This Row],[Quantity]]</f>
        <v>0.20666666666666667</v>
      </c>
      <c r="P40">
        <f>0.28*1325*Table57[[#This Row],[Total volume (m^3)]]</f>
        <v>0.13302359187600005</v>
      </c>
      <c r="Q40" t="s">
        <v>276</v>
      </c>
      <c r="R40">
        <f>30-Table57[[#This Row],[Press time per unit (mins) - lower]]-Table57[[#This Row],[Oven adjusted time per unit (mins)]]</f>
        <v>28.999202030810089</v>
      </c>
      <c r="S40">
        <f>60-Table57[[#This Row],[Press time per unit (mins) - upper]]-Table57[[#This Row],[Oven adjusted time per unit (mins)]]</f>
        <v>54.999202030810089</v>
      </c>
      <c r="T40">
        <v>1</v>
      </c>
      <c r="U40">
        <v>5</v>
      </c>
      <c r="V40">
        <f>60*(Table57[[#This Row],[Total volume (m^3)]]/$D$30)</f>
        <v>7.9796918991097935E-4</v>
      </c>
    </row>
    <row r="41" spans="2:22">
      <c r="B41">
        <v>2.8</v>
      </c>
      <c r="C41" t="s">
        <v>332</v>
      </c>
      <c r="D41">
        <f>2513.428*0.000000001</f>
        <v>2.5134279999999999E-6</v>
      </c>
      <c r="E41">
        <v>2</v>
      </c>
      <c r="F41">
        <f>Table57[[#This Row],[Part volume (m^3)]]*Table57[[#This Row],[Quantity]]</f>
        <v>5.0268559999999997E-6</v>
      </c>
      <c r="G41" t="s">
        <v>322</v>
      </c>
      <c r="H41">
        <f t="shared" si="0"/>
        <v>145664</v>
      </c>
      <c r="I41">
        <f>Table57[[#This Row],[Material Cost per m^3]]*Table57[[#This Row],[Total volume (m^3)]]</f>
        <v>0.73223195238399996</v>
      </c>
      <c r="J41">
        <f>4.64*1325*Table57[[#This Row],[Total volume (m^3)]]</f>
        <v>3.0905110687999997E-2</v>
      </c>
      <c r="K41" t="s">
        <v>323</v>
      </c>
      <c r="L41" s="39" t="s">
        <v>324</v>
      </c>
      <c r="N41">
        <f>(776/60000)*Table57[[#This Row],[Quantity]]</f>
        <v>2.5866666666666666E-2</v>
      </c>
      <c r="O41">
        <f>(3100/60000)*Table57[[#This Row],[Quantity]]</f>
        <v>0.10333333333333333</v>
      </c>
      <c r="P41">
        <f>0.28*1325*Table57[[#This Row],[Total volume (m^3)]]</f>
        <v>1.8649635760000002E-3</v>
      </c>
      <c r="Q41" t="s">
        <v>276</v>
      </c>
      <c r="R41">
        <f>30-Table57[[#This Row],[Press time per unit (mins) - lower]]-Table57[[#This Row],[Oven adjusted time per unit (mins)]]</f>
        <v>28.999988812635014</v>
      </c>
      <c r="S41">
        <f>60-Table57[[#This Row],[Press time per unit (mins) - upper]]-Table57[[#This Row],[Oven adjusted time per unit (mins)]]</f>
        <v>54.999988812635017</v>
      </c>
      <c r="T41">
        <v>1</v>
      </c>
      <c r="U41">
        <v>5</v>
      </c>
      <c r="V41">
        <f>60*(Table57[[#This Row],[Total volume (m^3)]]/$D$30)</f>
        <v>1.1187364985163205E-5</v>
      </c>
    </row>
    <row r="42" spans="2:22">
      <c r="B42">
        <v>2.9</v>
      </c>
      <c r="C42" t="s">
        <v>333</v>
      </c>
      <c r="D42">
        <f>28877.566*0.000000001</f>
        <v>2.8877566E-5</v>
      </c>
      <c r="E42">
        <v>2</v>
      </c>
      <c r="F42">
        <f>Table57[[#This Row],[Part volume (m^3)]]*Table57[[#This Row],[Quantity]]</f>
        <v>5.7755132E-5</v>
      </c>
      <c r="G42" t="s">
        <v>322</v>
      </c>
      <c r="H42">
        <f t="shared" si="0"/>
        <v>145664</v>
      </c>
      <c r="I42">
        <f>Table57[[#This Row],[Material Cost per m^3]]*Table57[[#This Row],[Total volume (m^3)]]</f>
        <v>8.4128435476480004</v>
      </c>
      <c r="J42">
        <f>4.64*1325*Table57[[#This Row],[Total volume (m^3)]]</f>
        <v>0.35507855153599999</v>
      </c>
      <c r="K42" t="s">
        <v>323</v>
      </c>
      <c r="L42" s="39" t="s">
        <v>324</v>
      </c>
      <c r="N42">
        <f>(776/60000)*Table57[[#This Row],[Quantity]]</f>
        <v>2.5866666666666666E-2</v>
      </c>
      <c r="O42">
        <f>(3100/60000)*Table57[[#This Row],[Quantity]]</f>
        <v>0.10333333333333333</v>
      </c>
      <c r="P42">
        <f>0.28*1325*Table57[[#This Row],[Total volume (m^3)]]</f>
        <v>2.1427153972000002E-2</v>
      </c>
      <c r="Q42" t="s">
        <v>276</v>
      </c>
      <c r="R42">
        <f>30-Table57[[#This Row],[Press time per unit (mins) - lower]]-Table57[[#This Row],[Oven adjusted time per unit (mins)]]</f>
        <v>28.999871464839764</v>
      </c>
      <c r="S42">
        <f>60-Table57[[#This Row],[Press time per unit (mins) - upper]]-Table57[[#This Row],[Oven adjusted time per unit (mins)]]</f>
        <v>54.999871464839764</v>
      </c>
      <c r="T42">
        <v>1</v>
      </c>
      <c r="U42">
        <v>5</v>
      </c>
      <c r="V42">
        <f>60*(Table57[[#This Row],[Total volume (m^3)]]/$D$30)</f>
        <v>1.2853516023738872E-4</v>
      </c>
    </row>
    <row r="43" spans="2:22">
      <c r="B43" s="38">
        <v>2.1</v>
      </c>
      <c r="C43" t="s">
        <v>334</v>
      </c>
      <c r="D43">
        <f>10109.259*0.000000001</f>
        <v>1.0109259000000001E-5</v>
      </c>
      <c r="E43">
        <v>2</v>
      </c>
      <c r="F43">
        <f>Table57[[#This Row],[Part volume (m^3)]]*Table57[[#This Row],[Quantity]]</f>
        <v>2.0218518000000002E-5</v>
      </c>
      <c r="G43" t="s">
        <v>322</v>
      </c>
      <c r="H43">
        <f t="shared" si="0"/>
        <v>145664</v>
      </c>
      <c r="I43">
        <f>Table57[[#This Row],[Material Cost per m^3]]*Table57[[#This Row],[Total volume (m^3)]]</f>
        <v>2.9451102059520005</v>
      </c>
      <c r="J43">
        <f>4.64*1325*Table57[[#This Row],[Total volume (m^3)]]</f>
        <v>0.12430344866400002</v>
      </c>
      <c r="K43" t="s">
        <v>323</v>
      </c>
      <c r="L43" s="39" t="s">
        <v>324</v>
      </c>
      <c r="N43">
        <f>(776/60000)*Table57[[#This Row],[Quantity]]</f>
        <v>2.5866666666666666E-2</v>
      </c>
      <c r="O43">
        <f>(3100/60000)*Table57[[#This Row],[Quantity]]</f>
        <v>0.10333333333333333</v>
      </c>
      <c r="P43">
        <f>0.28*1325*Table57[[#This Row],[Total volume (m^3)]]</f>
        <v>7.5010701780000022E-3</v>
      </c>
      <c r="Q43" t="s">
        <v>276</v>
      </c>
      <c r="R43">
        <f>30-Table57[[#This Row],[Press time per unit (mins) - lower]]-Table57[[#This Row],[Oven adjusted time per unit (mins)]]</f>
        <v>28.999955003298219</v>
      </c>
      <c r="S43">
        <f>60-Table57[[#This Row],[Press time per unit (mins) - upper]]-Table57[[#This Row],[Oven adjusted time per unit (mins)]]</f>
        <v>54.999955003298219</v>
      </c>
      <c r="T43">
        <v>1</v>
      </c>
      <c r="U43">
        <v>5</v>
      </c>
      <c r="V43">
        <f>60*(Table57[[#This Row],[Total volume (m^3)]]/$D$30)</f>
        <v>4.4996701780415431E-5</v>
      </c>
    </row>
    <row r="44" spans="2:22">
      <c r="B44">
        <v>2.11</v>
      </c>
      <c r="C44" t="s">
        <v>335</v>
      </c>
      <c r="D44">
        <f>3538.199*0.000000001</f>
        <v>3.5381990000000005E-6</v>
      </c>
      <c r="E44">
        <v>2</v>
      </c>
      <c r="F44">
        <f>Table57[[#This Row],[Part volume (m^3)]]*Table57[[#This Row],[Quantity]]</f>
        <v>7.0763980000000009E-6</v>
      </c>
      <c r="G44" t="s">
        <v>322</v>
      </c>
      <c r="H44">
        <f t="shared" si="0"/>
        <v>145664</v>
      </c>
      <c r="I44">
        <f>Table57[[#This Row],[Material Cost per m^3]]*Table57[[#This Row],[Total volume (m^3)]]</f>
        <v>1.0307764382720002</v>
      </c>
      <c r="J44">
        <f>4.64*1325*Table57[[#This Row],[Total volume (m^3)]]</f>
        <v>4.3505694904000004E-2</v>
      </c>
      <c r="K44" t="s">
        <v>323</v>
      </c>
      <c r="L44" s="39" t="s">
        <v>324</v>
      </c>
      <c r="N44">
        <f>(776/60000)*Table57[[#This Row],[Quantity]]</f>
        <v>2.5866666666666666E-2</v>
      </c>
      <c r="O44">
        <f>(3100/60000)*Table57[[#This Row],[Quantity]]</f>
        <v>0.10333333333333333</v>
      </c>
      <c r="P44">
        <f>0.28*1325*Table57[[#This Row],[Total volume (m^3)]]</f>
        <v>2.6253436580000009E-3</v>
      </c>
      <c r="Q44" t="s">
        <v>276</v>
      </c>
      <c r="R44">
        <f>30-Table57[[#This Row],[Press time per unit (mins) - lower]]-Table57[[#This Row],[Oven adjusted time per unit (mins)]]</f>
        <v>28.999984251339761</v>
      </c>
      <c r="S44">
        <f>60-Table57[[#This Row],[Press time per unit (mins) - upper]]-Table57[[#This Row],[Oven adjusted time per unit (mins)]]</f>
        <v>54.999984251339761</v>
      </c>
      <c r="T44">
        <v>1</v>
      </c>
      <c r="U44">
        <v>5</v>
      </c>
      <c r="V44">
        <f>60*(Table57[[#This Row],[Total volume (m^3)]]/$D$30)</f>
        <v>1.5748660237388726E-5</v>
      </c>
    </row>
    <row r="45" spans="2:22" ht="17.45">
      <c r="B45" s="99" t="s">
        <v>336</v>
      </c>
      <c r="C45" s="99"/>
      <c r="D45" s="99"/>
      <c r="E45" s="99"/>
      <c r="F45" s="99"/>
      <c r="G45" s="99"/>
      <c r="H45" s="99"/>
      <c r="I45" s="99"/>
    </row>
    <row r="46" spans="2:22">
      <c r="B46" t="s">
        <v>266</v>
      </c>
      <c r="C46" t="s">
        <v>251</v>
      </c>
      <c r="D46" t="s">
        <v>307</v>
      </c>
      <c r="E46" t="s">
        <v>267</v>
      </c>
      <c r="F46" t="s">
        <v>308</v>
      </c>
      <c r="G46" t="s">
        <v>217</v>
      </c>
      <c r="H46" t="s">
        <v>309</v>
      </c>
      <c r="I46" t="s">
        <v>310</v>
      </c>
      <c r="J46" t="s">
        <v>311</v>
      </c>
      <c r="K46" t="s">
        <v>268</v>
      </c>
      <c r="L46" t="s">
        <v>269</v>
      </c>
      <c r="M46" t="s">
        <v>312</v>
      </c>
      <c r="N46" t="s">
        <v>313</v>
      </c>
      <c r="O46" t="s">
        <v>314</v>
      </c>
      <c r="P46" t="s">
        <v>315</v>
      </c>
      <c r="Q46" t="s">
        <v>271</v>
      </c>
      <c r="R46" t="s">
        <v>316</v>
      </c>
      <c r="S46" t="s">
        <v>317</v>
      </c>
      <c r="T46" t="s">
        <v>318</v>
      </c>
      <c r="U46" t="s">
        <v>319</v>
      </c>
      <c r="V46" t="s">
        <v>320</v>
      </c>
    </row>
    <row r="47" spans="2:22">
      <c r="B47">
        <v>1.1000000000000001</v>
      </c>
      <c r="C47" t="s">
        <v>337</v>
      </c>
      <c r="D47">
        <f>0.002513425102/2</f>
        <v>1.2567125510000001E-3</v>
      </c>
      <c r="E47">
        <v>4</v>
      </c>
      <c r="F47">
        <f>Table58[[#This Row],[Part volume (m^3)]]*Table58[[#This Row],[Quantity]]</f>
        <v>5.0268502040000003E-3</v>
      </c>
      <c r="G47" t="s">
        <v>338</v>
      </c>
      <c r="H47">
        <v>144500</v>
      </c>
      <c r="I47">
        <f>Table58[[#This Row],[Material Cost per m^3]]*Table58[[#This Row],[Total volume (m^3)]]</f>
        <v>726.37985447800008</v>
      </c>
      <c r="K47" t="s">
        <v>274</v>
      </c>
      <c r="L47" s="39" t="s">
        <v>324</v>
      </c>
      <c r="N47">
        <f>(776/60000)*Table58[[#This Row],[Quantity]]</f>
        <v>5.1733333333333333E-2</v>
      </c>
      <c r="O47">
        <f>(3100/60000)*Table58[[#This Row],[Quantity]]</f>
        <v>0.20666666666666667</v>
      </c>
      <c r="P47">
        <f>Table58[[#This Row],[Part volume (m^3)]]*0.28*1560</f>
        <v>0.54893204227680015</v>
      </c>
      <c r="Q47" t="s">
        <v>276</v>
      </c>
      <c r="T47">
        <v>150</v>
      </c>
      <c r="U47">
        <v>180</v>
      </c>
      <c r="V47">
        <f>60*(Table58[[#This Row],[Total volume (m^3)]]/D30)</f>
        <v>1.1187352086053414E-2</v>
      </c>
    </row>
    <row r="48" spans="2:22">
      <c r="B48">
        <v>1.2</v>
      </c>
      <c r="C48" t="s">
        <v>339</v>
      </c>
      <c r="D48">
        <v>2.4844005699999999E-4</v>
      </c>
      <c r="E48">
        <v>2</v>
      </c>
      <c r="F48">
        <f>Table58[[#This Row],[Part volume (m^3)]]*Table58[[#This Row],[Quantity]]</f>
        <v>4.9688011399999998E-4</v>
      </c>
      <c r="G48" t="s">
        <v>338</v>
      </c>
      <c r="H48">
        <v>144500</v>
      </c>
      <c r="I48">
        <f>Table58[[#This Row],[Material Cost per m^3]]*Table58[[#This Row],[Total volume (m^3)]]</f>
        <v>71.799176473000003</v>
      </c>
      <c r="K48" t="s">
        <v>274</v>
      </c>
      <c r="L48" s="39" t="s">
        <v>324</v>
      </c>
      <c r="N48">
        <f>(776/60000)*Table58[[#This Row],[Quantity]]</f>
        <v>2.5866666666666666E-2</v>
      </c>
      <c r="O48">
        <f>(3100/60000)*Table58[[#This Row],[Quantity]]</f>
        <v>0.10333333333333333</v>
      </c>
      <c r="P48">
        <f>Table58[[#This Row],[Part volume (m^3)]]*0.28*1560</f>
        <v>0.10851861689760001</v>
      </c>
      <c r="Q48" t="s">
        <v>276</v>
      </c>
      <c r="T48">
        <v>150</v>
      </c>
      <c r="U48">
        <v>180</v>
      </c>
      <c r="V48">
        <f>60*(Table58[[#This Row],[Total volume (m^3)]]/D30)</f>
        <v>1.1058162774480712E-3</v>
      </c>
    </row>
    <row r="49" spans="2:25">
      <c r="B49">
        <v>1.3</v>
      </c>
      <c r="C49" t="s">
        <v>340</v>
      </c>
      <c r="D49">
        <v>1.5416100699999999E-4</v>
      </c>
      <c r="E49">
        <v>2</v>
      </c>
      <c r="F49">
        <f>Table58[[#This Row],[Part volume (m^3)]]*Table58[[#This Row],[Quantity]]</f>
        <v>3.0832201399999998E-4</v>
      </c>
      <c r="G49" t="s">
        <v>338</v>
      </c>
      <c r="H49">
        <v>144500</v>
      </c>
      <c r="I49">
        <f>Table58[[#This Row],[Material Cost per m^3]]*Table58[[#This Row],[Total volume (m^3)]]</f>
        <v>44.552531023</v>
      </c>
      <c r="K49" t="s">
        <v>274</v>
      </c>
      <c r="L49" s="39" t="s">
        <v>324</v>
      </c>
      <c r="N49">
        <f>(776/60000)*Table58[[#This Row],[Quantity]]</f>
        <v>2.5866666666666666E-2</v>
      </c>
      <c r="O49">
        <f>(3100/60000)*Table58[[#This Row],[Quantity]]</f>
        <v>0.10333333333333333</v>
      </c>
      <c r="P49">
        <f>Table58[[#This Row],[Part volume (m^3)]]*0.28*1560</f>
        <v>6.7337527857599999E-2</v>
      </c>
      <c r="Q49" t="s">
        <v>276</v>
      </c>
      <c r="T49">
        <v>150</v>
      </c>
      <c r="U49">
        <v>180</v>
      </c>
      <c r="V49">
        <f>60*(Table58[[#This Row],[Total volume (m^3)]]/D30)</f>
        <v>6.8617658902077143E-4</v>
      </c>
    </row>
    <row r="50" spans="2:25">
      <c r="B50">
        <v>1.4</v>
      </c>
      <c r="C50" t="s">
        <v>341</v>
      </c>
      <c r="D50" s="40">
        <v>1.3764227E-5</v>
      </c>
      <c r="E50">
        <v>2</v>
      </c>
      <c r="F50">
        <f>Table58[[#This Row],[Part volume (m^3)]]*Table58[[#This Row],[Quantity]]</f>
        <v>2.7528454E-5</v>
      </c>
      <c r="G50" t="s">
        <v>338</v>
      </c>
      <c r="H50">
        <v>144500</v>
      </c>
      <c r="I50">
        <f>Table58[[#This Row],[Material Cost per m^3]]*Table58[[#This Row],[Total volume (m^3)]]</f>
        <v>3.977861603</v>
      </c>
      <c r="K50" t="s">
        <v>274</v>
      </c>
      <c r="L50" s="39" t="s">
        <v>324</v>
      </c>
      <c r="N50">
        <f>(776/60000)*Table58[[#This Row],[Quantity]]</f>
        <v>2.5866666666666666E-2</v>
      </c>
      <c r="O50">
        <f>(3100/60000)*Table58[[#This Row],[Quantity]]</f>
        <v>0.10333333333333333</v>
      </c>
      <c r="P50">
        <f>Table58[[#This Row],[Part volume (m^3)]]*0.28*1560</f>
        <v>6.0122143536000009E-3</v>
      </c>
      <c r="Q50" t="s">
        <v>276</v>
      </c>
      <c r="T50">
        <v>150</v>
      </c>
      <c r="U50">
        <v>180</v>
      </c>
      <c r="V50">
        <f>60*(Table58[[#This Row],[Total volume (m^3)]]/D30)</f>
        <v>6.1265105341246282E-5</v>
      </c>
    </row>
    <row r="51" spans="2:25">
      <c r="B51">
        <v>1.5</v>
      </c>
      <c r="C51" t="s">
        <v>342</v>
      </c>
      <c r="D51" s="40">
        <v>5.5860119999999999E-6</v>
      </c>
      <c r="E51">
        <v>2</v>
      </c>
      <c r="F51">
        <f>Table58[[#This Row],[Part volume (m^3)]]*Table58[[#This Row],[Quantity]]</f>
        <v>1.1172024E-5</v>
      </c>
      <c r="G51" t="s">
        <v>338</v>
      </c>
      <c r="H51">
        <v>144500</v>
      </c>
      <c r="I51">
        <f>Table58[[#This Row],[Material Cost per m^3]]*Table58[[#This Row],[Total volume (m^3)]]</f>
        <v>1.6143574679999999</v>
      </c>
      <c r="K51" t="s">
        <v>274</v>
      </c>
      <c r="L51" s="39" t="s">
        <v>324</v>
      </c>
      <c r="N51">
        <f>(776/60000)*Table58[[#This Row],[Quantity]]</f>
        <v>2.5866666666666666E-2</v>
      </c>
      <c r="O51">
        <f>(3100/60000)*Table58[[#This Row],[Quantity]]</f>
        <v>0.10333333333333333</v>
      </c>
      <c r="P51">
        <f>Table58[[#This Row],[Part volume (m^3)]]*0.28*1560</f>
        <v>2.4399700416000004E-3</v>
      </c>
      <c r="Q51" t="s">
        <v>276</v>
      </c>
      <c r="T51">
        <v>150</v>
      </c>
      <c r="U51">
        <v>180</v>
      </c>
      <c r="V51">
        <f>60*(Table58[[#This Row],[Total volume (m^3)]]/D30)</f>
        <v>2.4863554896142431E-5</v>
      </c>
    </row>
    <row r="52" spans="2:25">
      <c r="B52">
        <v>1.6</v>
      </c>
      <c r="C52" t="s">
        <v>343</v>
      </c>
      <c r="D52" s="40">
        <v>1.2394109999999999E-5</v>
      </c>
      <c r="E52">
        <v>2</v>
      </c>
      <c r="F52">
        <f>Table58[[#This Row],[Part volume (m^3)]]*Table58[[#This Row],[Quantity]]</f>
        <v>2.4788219999999999E-5</v>
      </c>
      <c r="G52" t="s">
        <v>338</v>
      </c>
      <c r="H52">
        <v>144500</v>
      </c>
      <c r="I52">
        <f>Table58[[#This Row],[Material Cost per m^3]]*Table58[[#This Row],[Total volume (m^3)]]</f>
        <v>3.5818977899999997</v>
      </c>
      <c r="K52" t="s">
        <v>274</v>
      </c>
      <c r="L52" s="39" t="s">
        <v>324</v>
      </c>
      <c r="N52">
        <f>(776/60000)*Table58[[#This Row],[Quantity]]</f>
        <v>2.5866666666666666E-2</v>
      </c>
      <c r="O52">
        <f>(3100/60000)*Table58[[#This Row],[Quantity]]</f>
        <v>0.10333333333333333</v>
      </c>
      <c r="P52">
        <f>Table58[[#This Row],[Part volume (m^3)]]*0.28*1560</f>
        <v>5.4137472479999999E-3</v>
      </c>
      <c r="Q52" t="s">
        <v>276</v>
      </c>
      <c r="T52">
        <v>150</v>
      </c>
      <c r="U52">
        <v>180</v>
      </c>
      <c r="V52">
        <f>60*(Table58[[#This Row],[Total volume (m^3)]]/D30)</f>
        <v>5.5166661721068247E-5</v>
      </c>
    </row>
    <row r="53" spans="2:25">
      <c r="B53">
        <v>1.7</v>
      </c>
      <c r="C53" t="s">
        <v>344</v>
      </c>
      <c r="D53" s="40">
        <v>6.8335303999999994E-5</v>
      </c>
      <c r="E53">
        <v>2</v>
      </c>
      <c r="F53">
        <f>Table58[[#This Row],[Part volume (m^3)]]*Table58[[#This Row],[Quantity]]</f>
        <v>1.3667060799999999E-4</v>
      </c>
      <c r="G53" t="s">
        <v>338</v>
      </c>
      <c r="H53">
        <v>144500</v>
      </c>
      <c r="I53">
        <f>Table58[[#This Row],[Material Cost per m^3]]*Table58[[#This Row],[Total volume (m^3)]]</f>
        <v>19.748902855999997</v>
      </c>
      <c r="K53" t="s">
        <v>274</v>
      </c>
      <c r="L53" s="39" t="s">
        <v>324</v>
      </c>
      <c r="N53">
        <f>(776/60000)*Table58[[#This Row],[Quantity]]</f>
        <v>2.5866666666666666E-2</v>
      </c>
      <c r="O53">
        <f>(3100/60000)*Table58[[#This Row],[Quantity]]</f>
        <v>0.10333333333333333</v>
      </c>
      <c r="P53">
        <f>Table58[[#This Row],[Part volume (m^3)]]*0.28*1560</f>
        <v>2.9848860787200001E-2</v>
      </c>
      <c r="Q53" t="s">
        <v>276</v>
      </c>
      <c r="T53">
        <v>150</v>
      </c>
      <c r="U53">
        <v>180</v>
      </c>
      <c r="V53">
        <f>60*(Table58[[#This Row],[Total volume (m^3)]]/D30)</f>
        <v>3.0416307418397622E-4</v>
      </c>
    </row>
    <row r="56" spans="2:25" ht="17.45">
      <c r="B56" s="99" t="s">
        <v>345</v>
      </c>
      <c r="C56" s="99"/>
      <c r="D56" s="99"/>
      <c r="E56" s="99"/>
      <c r="F56" s="99"/>
      <c r="G56" s="99"/>
      <c r="H56" s="99"/>
      <c r="I56" s="99"/>
    </row>
    <row r="57" spans="2:25">
      <c r="B57" t="s">
        <v>266</v>
      </c>
      <c r="C57" t="s">
        <v>251</v>
      </c>
      <c r="D57" t="s">
        <v>346</v>
      </c>
      <c r="E57" t="s">
        <v>347</v>
      </c>
      <c r="F57" t="s">
        <v>267</v>
      </c>
      <c r="G57" t="s">
        <v>308</v>
      </c>
      <c r="H57" t="s">
        <v>217</v>
      </c>
      <c r="I57" t="s">
        <v>348</v>
      </c>
      <c r="J57" t="s">
        <v>349</v>
      </c>
      <c r="K57" t="s">
        <v>311</v>
      </c>
      <c r="L57" t="s">
        <v>268</v>
      </c>
      <c r="M57" t="s">
        <v>269</v>
      </c>
      <c r="N57" t="s">
        <v>350</v>
      </c>
      <c r="O57" t="s">
        <v>351</v>
      </c>
      <c r="P57" t="s">
        <v>315</v>
      </c>
      <c r="Q57" t="s">
        <v>271</v>
      </c>
      <c r="R57" t="s">
        <v>236</v>
      </c>
      <c r="S57" t="s">
        <v>272</v>
      </c>
    </row>
    <row r="58" spans="2:25">
      <c r="B58">
        <v>1</v>
      </c>
      <c r="C58" s="39" t="s">
        <v>352</v>
      </c>
      <c r="D58" s="40">
        <f>Table579[[#This Row],[Part volume (m^3)2]]*(10^9)</f>
        <v>170657.628</v>
      </c>
      <c r="E58" s="40">
        <v>1.7065762799999999E-4</v>
      </c>
      <c r="F58" s="42">
        <v>2</v>
      </c>
      <c r="G58" s="40">
        <f>Table579[[#This Row],[Part volume (m^3)2]]*Table579[[#This Row],[Quantity]]</f>
        <v>3.4131525599999997E-4</v>
      </c>
      <c r="H58" s="39" t="s">
        <v>353</v>
      </c>
      <c r="I58" s="39"/>
      <c r="J58" s="45">
        <f>Table579[[#This Row],[Material Cost (GBP per m^3 )]]*Table579[[#This Row],[Total volume (m^3)]]</f>
        <v>0</v>
      </c>
      <c r="K58" s="44"/>
      <c r="L58" s="39" t="s">
        <v>354</v>
      </c>
      <c r="M58" s="39" t="s">
        <v>324</v>
      </c>
      <c r="P58" s="40"/>
      <c r="Q58" t="s">
        <v>276</v>
      </c>
    </row>
    <row r="59" spans="2:25" ht="29.25" customHeight="1">
      <c r="B59">
        <v>2</v>
      </c>
      <c r="C59" s="39" t="s">
        <v>355</v>
      </c>
      <c r="D59" s="40">
        <f>Table579[[#This Row],[Part volume (m^3)2]]*(10^9)</f>
        <v>64072.224000000002</v>
      </c>
      <c r="E59" s="40">
        <v>6.4072224000000005E-5</v>
      </c>
      <c r="F59" s="42">
        <v>1</v>
      </c>
      <c r="G59" s="40">
        <f>Table579[[#This Row],[Part volume (m^3)2]]*Table579[[#This Row],[Quantity]]</f>
        <v>6.4072224000000005E-5</v>
      </c>
      <c r="H59" s="39" t="s">
        <v>356</v>
      </c>
      <c r="I59" s="43">
        <v>9060</v>
      </c>
      <c r="J59" s="45">
        <f>Table579[[#This Row],[Material Cost (GBP per m^3 )]]*Table579[[#This Row],[Total volume (m^3)]]</f>
        <v>0.58049434944</v>
      </c>
      <c r="K59" s="44">
        <f>2730*Table579[[#This Row],[Total volume (m^3)]]*13.3</f>
        <v>2.3263983812160003</v>
      </c>
      <c r="L59" s="39" t="s">
        <v>357</v>
      </c>
      <c r="M59" s="39" t="s">
        <v>358</v>
      </c>
      <c r="N59">
        <f>776000+23300</f>
        <v>799300</v>
      </c>
      <c r="O59">
        <f>15500+1550</f>
        <v>17050</v>
      </c>
      <c r="P59" s="40">
        <f>2730*Table579[[#This Row],[Total volume (m^3)]]*0.5</f>
        <v>8.7458585760000013E-2</v>
      </c>
      <c r="Q59" t="s">
        <v>276</v>
      </c>
    </row>
    <row r="60" spans="2:25" ht="29.25" customHeight="1">
      <c r="B60">
        <v>3</v>
      </c>
      <c r="C60" s="39" t="s">
        <v>359</v>
      </c>
      <c r="D60" s="40">
        <f>Table579[[#This Row],[Part volume (m^3)2]]*(10^9)</f>
        <v>64072.224000000002</v>
      </c>
      <c r="E60" s="40">
        <v>6.4072224000000005E-5</v>
      </c>
      <c r="F60" s="42">
        <v>1</v>
      </c>
      <c r="G60" s="40">
        <f>Table579[[#This Row],[Part volume (m^3)2]]*Table579[[#This Row],[Quantity]]</f>
        <v>6.4072224000000005E-5</v>
      </c>
      <c r="H60" s="39" t="s">
        <v>356</v>
      </c>
      <c r="I60" s="43">
        <v>9060</v>
      </c>
      <c r="J60" s="45">
        <f>Table579[[#This Row],[Material Cost (GBP per m^3 )]]*Table579[[#This Row],[Total volume (m^3)]]</f>
        <v>0.58049434944</v>
      </c>
      <c r="K60" s="44">
        <f>2730*Table579[[#This Row],[Total volume (m^3)]]*13.3</f>
        <v>2.3263983812160003</v>
      </c>
      <c r="L60" s="39" t="s">
        <v>357</v>
      </c>
      <c r="M60" s="39" t="s">
        <v>358</v>
      </c>
      <c r="N60">
        <f>776000+23300</f>
        <v>799300</v>
      </c>
      <c r="O60">
        <f>15500+1550</f>
        <v>17050</v>
      </c>
      <c r="P60" s="40">
        <f>2730*Table579[[#This Row],[Total volume (m^3)]]*0.5</f>
        <v>8.7458585760000013E-2</v>
      </c>
      <c r="Q60" t="s">
        <v>276</v>
      </c>
    </row>
    <row r="61" spans="2:25" ht="29.25" customHeight="1">
      <c r="B61">
        <v>4</v>
      </c>
      <c r="C61" s="39" t="s">
        <v>360</v>
      </c>
      <c r="D61" s="40">
        <f>Table579[[#This Row],[Part volume (m^3)2]]*(10^9)</f>
        <v>64072.224000000002</v>
      </c>
      <c r="E61" s="40">
        <v>6.4072224000000005E-5</v>
      </c>
      <c r="F61" s="42">
        <v>1</v>
      </c>
      <c r="G61" s="40">
        <f>Table579[[#This Row],[Part volume (m^3)2]]*Table579[[#This Row],[Quantity]]</f>
        <v>6.4072224000000005E-5</v>
      </c>
      <c r="H61" s="39" t="s">
        <v>356</v>
      </c>
      <c r="I61" s="43">
        <v>9060</v>
      </c>
      <c r="J61" s="45">
        <f>Table579[[#This Row],[Material Cost (GBP per m^3 )]]*Table579[[#This Row],[Total volume (m^3)]]</f>
        <v>0.58049434944</v>
      </c>
      <c r="K61" s="44">
        <f>2730*Table579[[#This Row],[Total volume (m^3)]]*13.3</f>
        <v>2.3263983812160003</v>
      </c>
      <c r="L61" s="39" t="s">
        <v>357</v>
      </c>
      <c r="M61" s="39" t="s">
        <v>358</v>
      </c>
      <c r="N61">
        <f>776000+23300</f>
        <v>799300</v>
      </c>
      <c r="O61">
        <f>15500+1550</f>
        <v>17050</v>
      </c>
      <c r="P61" s="40">
        <f>2730*Table579[[#This Row],[Total volume (m^3)]]*0.5</f>
        <v>8.7458585760000013E-2</v>
      </c>
      <c r="Q61" t="s">
        <v>276</v>
      </c>
    </row>
    <row r="62" spans="2:25" ht="29.25" customHeight="1">
      <c r="B62">
        <v>5</v>
      </c>
      <c r="C62" s="39" t="s">
        <v>361</v>
      </c>
      <c r="D62" s="40">
        <f>Table579[[#This Row],[Part volume (m^3)2]]*(10^9)</f>
        <v>64072.224000000002</v>
      </c>
      <c r="E62" s="40">
        <v>6.4072224000000005E-5</v>
      </c>
      <c r="F62" s="42">
        <v>1</v>
      </c>
      <c r="G62" s="40">
        <f>Table579[[#This Row],[Part volume (m^3)2]]*Table579[[#This Row],[Quantity]]</f>
        <v>6.4072224000000005E-5</v>
      </c>
      <c r="H62" s="39" t="s">
        <v>356</v>
      </c>
      <c r="I62" s="43">
        <v>9060</v>
      </c>
      <c r="J62" s="45">
        <f>Table579[[#This Row],[Material Cost (GBP per m^3 )]]*Table579[[#This Row],[Total volume (m^3)]]</f>
        <v>0.58049434944</v>
      </c>
      <c r="K62" s="44">
        <f>2730*Table579[[#This Row],[Total volume (m^3)]]*13.3</f>
        <v>2.3263983812160003</v>
      </c>
      <c r="L62" s="39" t="s">
        <v>357</v>
      </c>
      <c r="M62" s="39" t="s">
        <v>358</v>
      </c>
      <c r="N62">
        <f>776000+23300</f>
        <v>799300</v>
      </c>
      <c r="O62">
        <f>15500+1550</f>
        <v>17050</v>
      </c>
      <c r="P62" s="40">
        <f>2730*Table579[[#This Row],[Total volume (m^3)]]*0.5</f>
        <v>8.7458585760000013E-2</v>
      </c>
      <c r="Q62" t="s">
        <v>276</v>
      </c>
      <c r="Y62" t="s">
        <v>362</v>
      </c>
    </row>
    <row r="63" spans="2:25">
      <c r="B63">
        <v>6</v>
      </c>
      <c r="C63" t="s">
        <v>363</v>
      </c>
      <c r="D63" s="40">
        <f>Table579[[#This Row],[Part volume (m^3)2]]*(10^9)</f>
        <v>21426.603999999999</v>
      </c>
      <c r="E63" s="40">
        <v>2.1426604E-5</v>
      </c>
      <c r="F63" s="42">
        <v>1</v>
      </c>
      <c r="G63" s="40">
        <f>Table579[[#This Row],[Part volume (m^3)2]]*Table579[[#This Row],[Quantity]]</f>
        <v>2.1426604E-5</v>
      </c>
      <c r="H63" s="39" t="s">
        <v>356</v>
      </c>
      <c r="I63" s="43">
        <v>9060</v>
      </c>
      <c r="J63" s="45">
        <f>Table579[[#This Row],[Material Cost (GBP per m^3 )]]*Table579[[#This Row],[Total volume (m^3)]]</f>
        <v>0.19412503224</v>
      </c>
      <c r="K63" s="44">
        <f>2730*Table579[[#This Row],[Total volume (m^3)]]*13.3</f>
        <v>0.77797856463600001</v>
      </c>
      <c r="L63" s="39" t="s">
        <v>364</v>
      </c>
      <c r="M63" s="39" t="s">
        <v>365</v>
      </c>
      <c r="N63">
        <f>80900+10100</f>
        <v>91000</v>
      </c>
      <c r="O63" s="63" t="s">
        <v>204</v>
      </c>
      <c r="P63" s="40">
        <f>2730*Table579[[#This Row],[Total volume (m^3)]]*0.754</f>
        <v>4.4104950205679998E-2</v>
      </c>
      <c r="Q63" t="s">
        <v>280</v>
      </c>
    </row>
    <row r="64" spans="2:25">
      <c r="B64">
        <v>7</v>
      </c>
      <c r="C64" s="39" t="s">
        <v>366</v>
      </c>
      <c r="D64" s="40">
        <v>24053.938999999998</v>
      </c>
      <c r="E64" s="40">
        <f>Table579[[#This Row],[Part volume (mm^3)]]*(10^-9)</f>
        <v>2.4053939E-5</v>
      </c>
      <c r="F64" s="42">
        <v>4</v>
      </c>
      <c r="G64" s="40">
        <f>Table579[[#This Row],[Part volume (m^3)2]]*Table579[[#This Row],[Quantity]]</f>
        <v>9.6215756000000001E-5</v>
      </c>
      <c r="H64" s="39" t="s">
        <v>356</v>
      </c>
      <c r="I64" s="43">
        <v>9060</v>
      </c>
      <c r="J64" s="45">
        <f>Table579[[#This Row],[Material Cost (GBP per m^3 )]]*Table579[[#This Row],[Total volume (m^3)]]</f>
        <v>0.87171474936000004</v>
      </c>
      <c r="K64" s="44">
        <f>2730*Table579[[#This Row],[Total volume (m^3)]]*13.3</f>
        <v>3.4934978846040003</v>
      </c>
      <c r="L64" s="39" t="s">
        <v>364</v>
      </c>
      <c r="M64" s="39" t="s">
        <v>365</v>
      </c>
      <c r="N64">
        <f>80900+10100</f>
        <v>91000</v>
      </c>
      <c r="O64" s="63" t="s">
        <v>204</v>
      </c>
      <c r="P64" s="40">
        <f>2730*Table579[[#This Row],[Total volume (m^3)]]*0.754</f>
        <v>0.19805243646552001</v>
      </c>
      <c r="Q64" t="s">
        <v>280</v>
      </c>
    </row>
    <row r="65" spans="1:23" ht="28.9">
      <c r="B65">
        <v>8</v>
      </c>
      <c r="C65" s="39" t="s">
        <v>367</v>
      </c>
      <c r="D65" s="40">
        <v>9564.652</v>
      </c>
      <c r="E65" s="40">
        <f>Table579[[#This Row],[Part volume (mm^3)]]*(10^-9)</f>
        <v>9.5646520000000005E-6</v>
      </c>
      <c r="F65" s="42">
        <v>2</v>
      </c>
      <c r="G65" s="40">
        <f>Table579[[#This Row],[Part volume (m^3)2]]*Table579[[#This Row],[Quantity]]</f>
        <v>1.9129304000000001E-5</v>
      </c>
      <c r="H65" s="39" t="s">
        <v>356</v>
      </c>
      <c r="I65" s="43">
        <v>9060</v>
      </c>
      <c r="J65" s="45">
        <f>Table579[[#This Row],[Material Cost (GBP per m^3 )]]*Table579[[#This Row],[Total volume (m^3)]]</f>
        <v>0.17331149424</v>
      </c>
      <c r="K65" s="44">
        <f>2730*Table579[[#This Row],[Total volume (m^3)]]*13.3</f>
        <v>0.69456589893600007</v>
      </c>
      <c r="L65" s="39" t="s">
        <v>364</v>
      </c>
      <c r="M65" s="39" t="s">
        <v>365</v>
      </c>
      <c r="N65">
        <f>80900+10100</f>
        <v>91000</v>
      </c>
      <c r="O65" s="63" t="s">
        <v>204</v>
      </c>
      <c r="P65" s="40">
        <f>2730*Table579[[#This Row],[Total volume (m^3)]]*0.754</f>
        <v>3.9376141939680004E-2</v>
      </c>
      <c r="Q65" t="s">
        <v>280</v>
      </c>
    </row>
    <row r="66" spans="1:23" ht="28.9">
      <c r="B66">
        <v>9</v>
      </c>
      <c r="C66" s="39" t="s">
        <v>368</v>
      </c>
      <c r="D66" s="40">
        <v>9564.652</v>
      </c>
      <c r="E66" s="40">
        <f>Table579[[#This Row],[Part volume (mm^3)]]*(10^-9)</f>
        <v>9.5646520000000005E-6</v>
      </c>
      <c r="F66" s="42">
        <v>2</v>
      </c>
      <c r="G66" s="40">
        <f>Table579[[#This Row],[Part volume (m^3)2]]*Table579[[#This Row],[Quantity]]</f>
        <v>1.9129304000000001E-5</v>
      </c>
      <c r="H66" s="39" t="s">
        <v>356</v>
      </c>
      <c r="I66" s="43">
        <v>9060</v>
      </c>
      <c r="J66" s="45">
        <f>Table579[[#This Row],[Material Cost (GBP per m^3 )]]*Table579[[#This Row],[Total volume (m^3)]]</f>
        <v>0.17331149424</v>
      </c>
      <c r="K66" s="44">
        <f>2730*Table579[[#This Row],[Total volume (m^3)]]*13.3</f>
        <v>0.69456589893600007</v>
      </c>
      <c r="L66" s="39" t="s">
        <v>364</v>
      </c>
      <c r="M66" s="39" t="s">
        <v>365</v>
      </c>
      <c r="N66">
        <f>80900+10100</f>
        <v>91000</v>
      </c>
      <c r="O66" s="63" t="s">
        <v>204</v>
      </c>
      <c r="P66" s="40">
        <f>2730*Table579[[#This Row],[Total volume (m^3)]]*0.754</f>
        <v>3.9376141939680004E-2</v>
      </c>
      <c r="Q66" t="s">
        <v>280</v>
      </c>
    </row>
    <row r="67" spans="1:23" ht="28.9">
      <c r="B67">
        <v>10</v>
      </c>
      <c r="C67" s="39" t="s">
        <v>369</v>
      </c>
      <c r="D67" s="40">
        <f>Table579[[#This Row],[Part volume (m^3)2]]*(10^9)</f>
        <v>12096.773000000001</v>
      </c>
      <c r="E67" s="40">
        <v>1.2096773E-5</v>
      </c>
      <c r="F67" s="42">
        <v>1</v>
      </c>
      <c r="G67" s="40">
        <f>Table579[[#This Row],[Part volume (m^3)2]]*Table579[[#This Row],[Quantity]]</f>
        <v>1.2096773E-5</v>
      </c>
      <c r="H67" s="39" t="s">
        <v>356</v>
      </c>
      <c r="I67" s="43">
        <v>9060</v>
      </c>
      <c r="J67" s="45">
        <f>Table579[[#This Row],[Material Cost (GBP per m^3 )]]*Table579[[#This Row],[Total volume (m^3)]]</f>
        <v>0.10959676338</v>
      </c>
      <c r="K67" s="44">
        <f>2730*Table579[[#This Row],[Total volume (m^3)]]*13.3</f>
        <v>0.439221730857</v>
      </c>
      <c r="L67" s="39" t="s">
        <v>370</v>
      </c>
      <c r="M67" s="39" t="s">
        <v>371</v>
      </c>
      <c r="N67">
        <f>776000+91000</f>
        <v>867000</v>
      </c>
      <c r="O67" s="64" t="s">
        <v>372</v>
      </c>
      <c r="P67" s="40">
        <f>2730*Table579[[#This Row],[Total volume (m^3)]]*1.254</f>
        <v>4.1412334623660001E-2</v>
      </c>
      <c r="Q67" t="s">
        <v>280</v>
      </c>
    </row>
    <row r="68" spans="1:23" ht="28.9">
      <c r="B68">
        <v>11</v>
      </c>
      <c r="C68" s="39" t="s">
        <v>373</v>
      </c>
      <c r="D68" s="40">
        <f>Table579[[#This Row],[Part volume (m^3)2]]*(10^9)</f>
        <v>15538.142000000002</v>
      </c>
      <c r="E68" s="40">
        <v>1.5538142000000001E-5</v>
      </c>
      <c r="F68" s="42">
        <v>2</v>
      </c>
      <c r="G68" s="40">
        <f>Table579[[#This Row],[Part volume (m^3)2]]*Table579[[#This Row],[Quantity]]</f>
        <v>3.1076284000000002E-5</v>
      </c>
      <c r="H68" s="39" t="s">
        <v>356</v>
      </c>
      <c r="I68" s="43">
        <v>9060</v>
      </c>
      <c r="J68" s="45">
        <f>Table579[[#This Row],[Material Cost (GBP per m^3 )]]*Table579[[#This Row],[Total volume (m^3)]]</f>
        <v>0.28155113304000001</v>
      </c>
      <c r="K68" s="44">
        <f>2730*Table579[[#This Row],[Total volume (m^3)]]*13.3</f>
        <v>1.1283487957560001</v>
      </c>
      <c r="L68" s="39" t="s">
        <v>370</v>
      </c>
      <c r="M68" s="39" t="s">
        <v>371</v>
      </c>
      <c r="N68">
        <f>776000+91000</f>
        <v>867000</v>
      </c>
      <c r="O68" s="64" t="s">
        <v>372</v>
      </c>
      <c r="P68" s="40">
        <f>2730*Table579[[#This Row],[Total volume (m^3)]]*1.254</f>
        <v>0.10638717217128001</v>
      </c>
      <c r="Q68" t="s">
        <v>280</v>
      </c>
    </row>
    <row r="69" spans="1:23">
      <c r="B69">
        <v>12</v>
      </c>
      <c r="C69" s="39" t="s">
        <v>374</v>
      </c>
      <c r="D69" s="40">
        <f>(144*210*315)-D70-D71</f>
        <v>5908800</v>
      </c>
      <c r="E69" s="40">
        <f>Table579[[#This Row],[Part volume (mm^3)]]*(10^-9)</f>
        <v>5.9088000000000005E-3</v>
      </c>
      <c r="F69" s="42">
        <v>1</v>
      </c>
      <c r="G69" s="40">
        <f>Table579[[#This Row],[Part volume (m^3)2]]*Table579[[#This Row],[Quantity]]</f>
        <v>5.9088000000000005E-3</v>
      </c>
      <c r="H69" s="39" t="s">
        <v>375</v>
      </c>
      <c r="I69" s="39">
        <v>68</v>
      </c>
      <c r="J69" s="45">
        <f>27*Table579[[#This Row],[Material Cost (GBP per m^3 )]]*Table579[[#This Row],[Total volume (m^3)]]</f>
        <v>10.848556800000001</v>
      </c>
      <c r="K69" s="44">
        <f>27*Table579[[#This Row],[Total volume (m^3)]]*3.14</f>
        <v>0.50094806400000003</v>
      </c>
      <c r="L69" s="62" t="s">
        <v>204</v>
      </c>
      <c r="M69" s="39" t="s">
        <v>376</v>
      </c>
      <c r="P69" s="40">
        <f>68*Table579[[#This Row],[Total volume (m^3)]]*1.76</f>
        <v>0.70716518400000006</v>
      </c>
      <c r="Q69" s="63" t="s">
        <v>204</v>
      </c>
    </row>
    <row r="70" spans="1:23" ht="28.9">
      <c r="B70">
        <v>13</v>
      </c>
      <c r="C70" s="39" t="s">
        <v>377</v>
      </c>
      <c r="D70" s="40">
        <v>1480050</v>
      </c>
      <c r="E70" s="40">
        <f>Table579[[#This Row],[Part volume (mm^3)]]*(10^-9)</f>
        <v>1.4800500000000001E-3</v>
      </c>
      <c r="F70" s="42">
        <v>1</v>
      </c>
      <c r="G70" s="40">
        <f>Table579[[#This Row],[Part volume (m^3)2]]*Table579[[#This Row],[Quantity]]</f>
        <v>1.4800500000000001E-3</v>
      </c>
      <c r="H70" s="39" t="s">
        <v>378</v>
      </c>
      <c r="I70" s="39">
        <v>1680</v>
      </c>
      <c r="J70" s="45">
        <f>Table579[[#This Row],[Material Cost (GBP per m^3 )]]*Table579[[#This Row],[Total volume (m^3)]]</f>
        <v>2.4864840000000004</v>
      </c>
      <c r="K70" s="44">
        <f>1060*Table579[[#This Row],[Total volume (m^3)]]*3.17</f>
        <v>4.9732640100000003</v>
      </c>
      <c r="L70" s="39" t="s">
        <v>379</v>
      </c>
      <c r="M70" s="39" t="s">
        <v>380</v>
      </c>
      <c r="N70">
        <f>698000</f>
        <v>698000</v>
      </c>
      <c r="O70">
        <v>77600</v>
      </c>
      <c r="P70" s="40">
        <f>1060*Table579[[#This Row],[Total volume (m^3)]]*1.49</f>
        <v>2.3375909699999999</v>
      </c>
      <c r="Q70" t="s">
        <v>276</v>
      </c>
    </row>
    <row r="71" spans="1:23" ht="28.9">
      <c r="B71">
        <v>14</v>
      </c>
      <c r="C71" s="39" t="s">
        <v>381</v>
      </c>
      <c r="D71" s="40">
        <v>2136750</v>
      </c>
      <c r="E71" s="40">
        <f>Table579[[#This Row],[Part volume (mm^3)]]*(10^-9)</f>
        <v>2.1367500000000002E-3</v>
      </c>
      <c r="F71" s="42">
        <v>1</v>
      </c>
      <c r="G71" s="40">
        <f>Table579[[#This Row],[Part volume (m^3)2]]*Table579[[#This Row],[Quantity]]</f>
        <v>2.1367500000000002E-3</v>
      </c>
      <c r="H71" s="39" t="s">
        <v>378</v>
      </c>
      <c r="I71" s="39">
        <v>1680</v>
      </c>
      <c r="J71" s="45">
        <f>Table579[[#This Row],[Material Cost (GBP per m^3 )]]*Table579[[#This Row],[Total volume (m^3)]]</f>
        <v>3.5897400000000004</v>
      </c>
      <c r="K71" s="44">
        <f>1060*Table579[[#This Row],[Total volume (m^3)]]*3.17</f>
        <v>7.1799073499999997</v>
      </c>
      <c r="L71" s="39" t="s">
        <v>379</v>
      </c>
      <c r="M71" s="39" t="s">
        <v>380</v>
      </c>
      <c r="N71">
        <f>698000</f>
        <v>698000</v>
      </c>
      <c r="O71">
        <v>77600</v>
      </c>
      <c r="P71" s="40">
        <f>1060*Table579[[#This Row],[Total volume (m^3)]]*1.49</f>
        <v>3.3747829500000002</v>
      </c>
      <c r="Q71" t="s">
        <v>276</v>
      </c>
    </row>
    <row r="72" spans="1:23" ht="17.45">
      <c r="B72" s="99" t="s">
        <v>382</v>
      </c>
      <c r="C72" s="99"/>
      <c r="D72" s="99"/>
      <c r="E72" s="99"/>
      <c r="F72" s="99"/>
      <c r="G72" s="99"/>
      <c r="H72" s="99"/>
      <c r="I72" s="99"/>
    </row>
    <row r="73" spans="1:23">
      <c r="B73" s="60" t="s">
        <v>266</v>
      </c>
      <c r="C73" s="60" t="s">
        <v>251</v>
      </c>
      <c r="D73" s="60" t="s">
        <v>307</v>
      </c>
      <c r="E73" s="60" t="s">
        <v>267</v>
      </c>
      <c r="F73" s="60" t="s">
        <v>308</v>
      </c>
      <c r="G73" s="60" t="s">
        <v>217</v>
      </c>
      <c r="H73" s="60" t="s">
        <v>383</v>
      </c>
      <c r="I73" s="60" t="s">
        <v>309</v>
      </c>
      <c r="J73" s="60" t="s">
        <v>310</v>
      </c>
      <c r="K73" s="60" t="s">
        <v>311</v>
      </c>
      <c r="L73" s="60" t="s">
        <v>268</v>
      </c>
      <c r="M73" s="60" t="s">
        <v>269</v>
      </c>
      <c r="N73" s="60" t="s">
        <v>312</v>
      </c>
      <c r="O73" s="60" t="s">
        <v>313</v>
      </c>
      <c r="P73" s="60" t="s">
        <v>314</v>
      </c>
      <c r="Q73" s="60" t="s">
        <v>315</v>
      </c>
      <c r="R73" s="60" t="s">
        <v>271</v>
      </c>
      <c r="S73" s="60" t="s">
        <v>316</v>
      </c>
      <c r="T73" s="60" t="s">
        <v>317</v>
      </c>
      <c r="U73" s="60" t="s">
        <v>318</v>
      </c>
      <c r="V73" s="60" t="s">
        <v>319</v>
      </c>
      <c r="W73" s="60" t="s">
        <v>320</v>
      </c>
    </row>
    <row r="74" spans="1:23" ht="28.9">
      <c r="A74" t="s">
        <v>384</v>
      </c>
      <c r="B74">
        <v>1.1000000000000001</v>
      </c>
      <c r="C74" t="s">
        <v>385</v>
      </c>
      <c r="D74">
        <f t="shared" ref="D74:D78" si="1">88385.061*0.000000001</f>
        <v>8.8385061000000002E-5</v>
      </c>
      <c r="E74">
        <v>1</v>
      </c>
      <c r="F74">
        <f>Table572[[#This Row],[Part volume (m^3)]]*Table572[[#This Row],[Quantity]]</f>
        <v>8.8385061000000002E-5</v>
      </c>
      <c r="G74" s="39" t="s">
        <v>386</v>
      </c>
      <c r="H74" s="39">
        <v>1570</v>
      </c>
      <c r="I74">
        <v>155000</v>
      </c>
      <c r="J74">
        <f>Table572[[#This Row],[Part volume (m^3)]]*Table572[[#This Row],[Material Cost per m^3]]</f>
        <v>13.699684455</v>
      </c>
      <c r="K74">
        <f>34.1*Table572[[#This Row],[Density Kg/m^3]]*Table572[[#This Row],[Total volume (m^3)]]</f>
        <v>4.7318710107569997</v>
      </c>
      <c r="L74" t="s">
        <v>387</v>
      </c>
      <c r="M74" s="39" t="s">
        <v>324</v>
      </c>
    </row>
    <row r="75" spans="1:23" ht="28.9">
      <c r="B75">
        <v>1.2</v>
      </c>
      <c r="C75" t="s">
        <v>388</v>
      </c>
      <c r="D75">
        <f>87873.743*0.000000001</f>
        <v>8.7873743000000003E-5</v>
      </c>
      <c r="E75">
        <v>1</v>
      </c>
      <c r="F75">
        <f>Table572[[#This Row],[Part volume (m^3)]]*Table572[[#This Row],[Quantity]]</f>
        <v>8.7873743000000003E-5</v>
      </c>
      <c r="G75" s="39" t="s">
        <v>386</v>
      </c>
      <c r="H75" s="39">
        <v>1570</v>
      </c>
      <c r="I75">
        <v>155000</v>
      </c>
      <c r="J75">
        <f>Table572[[#This Row],[Part volume (m^3)]]*Table572[[#This Row],[Material Cost per m^3]]</f>
        <v>13.620430165</v>
      </c>
      <c r="K75">
        <f>57*Table572[[#This Row],[Density Kg/m^3]]*Table572[[#This Row],[Total volume (m^3)]]</f>
        <v>7.86382126107</v>
      </c>
      <c r="L75" t="s">
        <v>387</v>
      </c>
      <c r="M75" s="39" t="s">
        <v>324</v>
      </c>
    </row>
    <row r="76" spans="1:23" ht="43.15">
      <c r="B76">
        <v>1.3</v>
      </c>
      <c r="C76" t="s">
        <v>389</v>
      </c>
      <c r="D76">
        <f>4038.467*0.000000001</f>
        <v>4.0384670000000001E-6</v>
      </c>
      <c r="E76">
        <v>1</v>
      </c>
      <c r="F76">
        <f>Table572[[#This Row],[Part volume (m^3)]]*Table572[[#This Row],[Quantity]]</f>
        <v>4.0384670000000001E-6</v>
      </c>
      <c r="G76" s="39" t="s">
        <v>390</v>
      </c>
      <c r="H76" s="39">
        <v>1440</v>
      </c>
      <c r="I76">
        <v>93000</v>
      </c>
      <c r="J76">
        <f>Table572[[#This Row],[Part volume (m^3)]]*Table572[[#This Row],[Material Cost per m^3]]</f>
        <v>0.37557743100000002</v>
      </c>
      <c r="K76">
        <f>34.1*Table572[[#This Row],[Density Kg/m^3]]*Table572[[#This Row],[Total volume (m^3)]]</f>
        <v>0.198304883568</v>
      </c>
      <c r="L76" t="s">
        <v>391</v>
      </c>
      <c r="M76" s="39" t="s">
        <v>392</v>
      </c>
    </row>
    <row r="77" spans="1:23" ht="43.15">
      <c r="B77">
        <v>1.4</v>
      </c>
      <c r="C77" t="s">
        <v>393</v>
      </c>
      <c r="D77">
        <f>32481.251*0.000000001</f>
        <v>3.2481251000000003E-5</v>
      </c>
      <c r="E77">
        <v>1</v>
      </c>
      <c r="F77">
        <f>Table572[[#This Row],[Part volume (m^3)]]*Table572[[#This Row],[Quantity]]</f>
        <v>3.2481251000000003E-5</v>
      </c>
      <c r="G77" s="39" t="s">
        <v>390</v>
      </c>
      <c r="H77" s="39">
        <v>1440</v>
      </c>
      <c r="I77">
        <v>93000</v>
      </c>
      <c r="J77">
        <f>Table572[[#This Row],[Part volume (m^3)]]*Table572[[#This Row],[Material Cost per m^3]]</f>
        <v>3.0207563430000004</v>
      </c>
      <c r="K77">
        <f>34.1*Table572[[#This Row],[Density Kg/m^3]]*Table572[[#This Row],[Total volume (m^3)]]</f>
        <v>1.5949593491040002</v>
      </c>
      <c r="L77" t="s">
        <v>391</v>
      </c>
      <c r="M77" s="39" t="s">
        <v>392</v>
      </c>
    </row>
    <row r="78" spans="1:23" ht="28.9">
      <c r="B78">
        <v>1.5</v>
      </c>
      <c r="C78" t="s">
        <v>394</v>
      </c>
      <c r="D78">
        <f t="shared" si="1"/>
        <v>8.8385061000000002E-5</v>
      </c>
      <c r="E78">
        <v>1</v>
      </c>
      <c r="F78">
        <f>Table572[[#This Row],[Part volume (m^3)]]*Table572[[#This Row],[Quantity]]</f>
        <v>8.8385061000000002E-5</v>
      </c>
      <c r="G78" s="39" t="s">
        <v>386</v>
      </c>
      <c r="H78" s="39">
        <v>1570</v>
      </c>
      <c r="I78">
        <v>155000</v>
      </c>
      <c r="J78">
        <f>Table572[[#This Row],[Part volume (m^3)]]*Table572[[#This Row],[Material Cost per m^3]]</f>
        <v>13.699684455</v>
      </c>
      <c r="K78">
        <f>57*Table572[[#This Row],[Density Kg/m^3]]*Table572[[#This Row],[Total volume (m^3)]]</f>
        <v>7.90957910889</v>
      </c>
      <c r="L78" t="s">
        <v>387</v>
      </c>
      <c r="M78" s="39" t="s">
        <v>324</v>
      </c>
    </row>
    <row r="79" spans="1:23" ht="28.9">
      <c r="B79">
        <v>1.6</v>
      </c>
      <c r="C79" t="s">
        <v>395</v>
      </c>
      <c r="D79">
        <f>87873.743*0.000000001</f>
        <v>8.7873743000000003E-5</v>
      </c>
      <c r="E79">
        <v>1</v>
      </c>
      <c r="F79">
        <f>Table572[[#This Row],[Part volume (m^3)]]*Table572[[#This Row],[Quantity]]</f>
        <v>8.7873743000000003E-5</v>
      </c>
      <c r="G79" s="39" t="s">
        <v>386</v>
      </c>
      <c r="H79" s="39">
        <v>1570</v>
      </c>
      <c r="I79">
        <v>155000</v>
      </c>
      <c r="J79">
        <f>Table572[[#This Row],[Part volume (m^3)]]*Table572[[#This Row],[Material Cost per m^3]]</f>
        <v>13.620430165</v>
      </c>
      <c r="K79">
        <f>57*Table572[[#This Row],[Density Kg/m^3]]*Table572[[#This Row],[Total volume (m^3)]]</f>
        <v>7.86382126107</v>
      </c>
      <c r="L79" t="s">
        <v>387</v>
      </c>
      <c r="M79" s="39" t="s">
        <v>324</v>
      </c>
    </row>
    <row r="80" spans="1:23" ht="43.15">
      <c r="B80">
        <v>1.7</v>
      </c>
      <c r="C80" t="s">
        <v>396</v>
      </c>
      <c r="D80">
        <f>4038.467*0.000000001</f>
        <v>4.0384670000000001E-6</v>
      </c>
      <c r="E80">
        <v>1</v>
      </c>
      <c r="F80">
        <f>Table572[[#This Row],[Part volume (m^3)]]*Table572[[#This Row],[Quantity]]</f>
        <v>4.0384670000000001E-6</v>
      </c>
      <c r="G80" s="39" t="s">
        <v>390</v>
      </c>
      <c r="H80" s="39">
        <v>1440</v>
      </c>
      <c r="I80">
        <v>93000</v>
      </c>
      <c r="J80">
        <f>Table572[[#This Row],[Part volume (m^3)]]*Table572[[#This Row],[Material Cost per m^3]]</f>
        <v>0.37557743100000002</v>
      </c>
      <c r="K80">
        <f>34.1*Table572[[#This Row],[Density Kg/m^3]]*Table572[[#This Row],[Total volume (m^3)]]</f>
        <v>0.198304883568</v>
      </c>
      <c r="L80" t="s">
        <v>391</v>
      </c>
      <c r="M80" s="39" t="s">
        <v>392</v>
      </c>
    </row>
    <row r="81" spans="1:13" ht="43.15">
      <c r="B81">
        <v>1.8</v>
      </c>
      <c r="C81" t="s">
        <v>397</v>
      </c>
      <c r="D81">
        <f>32481.251*0.000000001</f>
        <v>3.2481251000000003E-5</v>
      </c>
      <c r="E81">
        <v>1</v>
      </c>
      <c r="F81">
        <f>Table572[[#This Row],[Part volume (m^3)]]*Table572[[#This Row],[Quantity]]</f>
        <v>3.2481251000000003E-5</v>
      </c>
      <c r="G81" s="39" t="s">
        <v>390</v>
      </c>
      <c r="H81" s="39">
        <v>1440</v>
      </c>
      <c r="I81">
        <v>93000</v>
      </c>
      <c r="J81">
        <f>Table572[[#This Row],[Part volume (m^3)]]*Table572[[#This Row],[Material Cost per m^3]]</f>
        <v>3.0207563430000004</v>
      </c>
      <c r="K81">
        <f>34.1*Table572[[#This Row],[Density Kg/m^3]]*Table572[[#This Row],[Total volume (m^3)]]</f>
        <v>1.5949593491040002</v>
      </c>
      <c r="L81" t="s">
        <v>391</v>
      </c>
      <c r="M81" s="39" t="s">
        <v>392</v>
      </c>
    </row>
    <row r="82" spans="1:13" ht="43.15">
      <c r="A82" t="s">
        <v>398</v>
      </c>
      <c r="B82">
        <v>2.1</v>
      </c>
      <c r="C82" t="s">
        <v>399</v>
      </c>
      <c r="D82">
        <f>62001.549*0.000000001</f>
        <v>6.2001549000000007E-5</v>
      </c>
      <c r="E82">
        <v>1</v>
      </c>
      <c r="F82">
        <f>Table572[[#This Row],[Part volume (m^3)]]*Table572[[#This Row],[Quantity]]</f>
        <v>6.2001549000000007E-5</v>
      </c>
      <c r="G82" s="39" t="s">
        <v>390</v>
      </c>
      <c r="H82" s="39">
        <v>1440</v>
      </c>
      <c r="I82">
        <v>93000</v>
      </c>
      <c r="J82">
        <f>Table572[[#This Row],[Part volume (m^3)]]*Table572[[#This Row],[Material Cost per m^3]]</f>
        <v>5.7661440570000009</v>
      </c>
      <c r="K82">
        <f>34.1*Table572[[#This Row],[Density Kg/m^3]]*Table572[[#This Row],[Total volume (m^3)]]</f>
        <v>3.0445240620960003</v>
      </c>
      <c r="L82" t="s">
        <v>391</v>
      </c>
      <c r="M82" s="39" t="s">
        <v>392</v>
      </c>
    </row>
    <row r="83" spans="1:13" ht="43.15">
      <c r="B83">
        <v>2.2000000000000002</v>
      </c>
      <c r="C83" t="s">
        <v>400</v>
      </c>
      <c r="D83">
        <f>62001.549*0.000000001</f>
        <v>6.2001549000000007E-5</v>
      </c>
      <c r="E83">
        <v>1</v>
      </c>
      <c r="F83">
        <f>Table572[[#This Row],[Part volume (m^3)]]*Table572[[#This Row],[Quantity]]</f>
        <v>6.2001549000000007E-5</v>
      </c>
      <c r="G83" s="39" t="s">
        <v>390</v>
      </c>
      <c r="H83" s="39">
        <v>1440</v>
      </c>
      <c r="I83">
        <v>93000</v>
      </c>
      <c r="J83">
        <f>Table572[[#This Row],[Part volume (m^3)]]*Table572[[#This Row],[Material Cost per m^3]]</f>
        <v>5.7661440570000009</v>
      </c>
      <c r="K83">
        <f>34.1*Table572[[#This Row],[Density Kg/m^3]]*Table572[[#This Row],[Total volume (m^3)]]</f>
        <v>3.0445240620960003</v>
      </c>
      <c r="L83" t="s">
        <v>391</v>
      </c>
      <c r="M83" s="39" t="s">
        <v>392</v>
      </c>
    </row>
    <row r="84" spans="1:13" ht="43.15">
      <c r="A84" t="s">
        <v>401</v>
      </c>
      <c r="B84">
        <v>3.1</v>
      </c>
      <c r="C84" t="s">
        <v>401</v>
      </c>
      <c r="D84">
        <f>45247.032*0.000000001</f>
        <v>4.5247032000000003E-5</v>
      </c>
      <c r="E84">
        <v>1</v>
      </c>
      <c r="F84">
        <f>Table572[[#This Row],[Part volume (m^3)]]*Table572[[#This Row],[Quantity]]</f>
        <v>4.5247032000000003E-5</v>
      </c>
      <c r="G84" s="39" t="s">
        <v>390</v>
      </c>
      <c r="H84" s="39">
        <v>1440</v>
      </c>
      <c r="I84">
        <v>93000</v>
      </c>
      <c r="J84">
        <f>Table572[[#This Row],[Part volume (m^3)]]*Table572[[#This Row],[Material Cost per m^3]]</f>
        <v>4.2079739759999999</v>
      </c>
      <c r="K84">
        <f>34.1*Table572[[#This Row],[Density Kg/m^3]]*Table572[[#This Row],[Total volume (m^3)]]</f>
        <v>2.221810259328</v>
      </c>
      <c r="L84" t="s">
        <v>391</v>
      </c>
      <c r="M84" s="39" t="s">
        <v>392</v>
      </c>
    </row>
    <row r="85" spans="1:13">
      <c r="G85" s="39"/>
      <c r="H85" s="39"/>
      <c r="M85" s="39"/>
    </row>
    <row r="86" spans="1:13">
      <c r="G86" s="39"/>
      <c r="H86" s="39"/>
      <c r="M86" s="39"/>
    </row>
  </sheetData>
  <mergeCells count="5">
    <mergeCell ref="B3:I3"/>
    <mergeCell ref="B29:I29"/>
    <mergeCell ref="B45:I45"/>
    <mergeCell ref="B56:I56"/>
    <mergeCell ref="B72:I72"/>
  </mergeCells>
  <phoneticPr fontId="23" type="noConversion"/>
  <pageMargins left="0.7" right="0.7" top="0.75" bottom="0.75" header="0.3" footer="0.3"/>
  <legacyDrawing r:id="rId1"/>
  <tableParts count="5">
    <tablePart r:id="rId2"/>
    <tablePart r:id="rId3"/>
    <tablePart r:id="rId4"/>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05A7-8A60-40EC-8D48-64B65EABC2FD}">
  <dimension ref="B2:P41"/>
  <sheetViews>
    <sheetView zoomScale="80" zoomScaleNormal="80" workbookViewId="0">
      <selection activeCell="N37" sqref="N37"/>
    </sheetView>
  </sheetViews>
  <sheetFormatPr defaultRowHeight="14.45"/>
  <cols>
    <col min="2" max="2" width="35.7109375" bestFit="1" customWidth="1"/>
    <col min="3" max="4" width="35.7109375" customWidth="1"/>
    <col min="5" max="5" width="13.7109375" bestFit="1" customWidth="1"/>
    <col min="6" max="9" width="13.7109375" customWidth="1"/>
    <col min="10" max="10" width="39.140625" bestFit="1" customWidth="1"/>
    <col min="11" max="11" width="26.42578125" bestFit="1" customWidth="1"/>
    <col min="12" max="12" width="8.28515625" customWidth="1"/>
  </cols>
  <sheetData>
    <row r="2" spans="2:16" ht="27" customHeight="1">
      <c r="B2" s="104" t="s">
        <v>402</v>
      </c>
      <c r="C2" s="104" t="s">
        <v>403</v>
      </c>
      <c r="D2" s="104" t="s">
        <v>404</v>
      </c>
      <c r="E2" s="101" t="s">
        <v>405</v>
      </c>
      <c r="F2" s="101"/>
      <c r="G2" s="101"/>
      <c r="H2" s="101"/>
      <c r="I2" s="101"/>
      <c r="J2" s="102" t="s">
        <v>406</v>
      </c>
      <c r="K2" s="104" t="s">
        <v>407</v>
      </c>
      <c r="L2" s="101" t="s">
        <v>408</v>
      </c>
      <c r="M2" s="101"/>
      <c r="N2" s="101"/>
      <c r="O2" s="101"/>
      <c r="P2" s="101"/>
    </row>
    <row r="3" spans="2:16">
      <c r="B3" s="106"/>
      <c r="C3" s="107"/>
      <c r="D3" s="105"/>
      <c r="E3" s="60" t="s">
        <v>49</v>
      </c>
      <c r="F3" s="60" t="s">
        <v>50</v>
      </c>
      <c r="G3" s="60" t="s">
        <v>51</v>
      </c>
      <c r="H3" s="60" t="s">
        <v>52</v>
      </c>
      <c r="I3" s="60" t="s">
        <v>53</v>
      </c>
      <c r="J3" s="103"/>
      <c r="K3" s="105"/>
      <c r="L3" s="60" t="s">
        <v>49</v>
      </c>
      <c r="M3" s="60" t="s">
        <v>50</v>
      </c>
      <c r="N3" s="60" t="s">
        <v>51</v>
      </c>
      <c r="O3" s="60" t="s">
        <v>52</v>
      </c>
      <c r="P3" s="60" t="s">
        <v>53</v>
      </c>
    </row>
    <row r="4" spans="2:16">
      <c r="B4" s="86" t="s">
        <v>278</v>
      </c>
      <c r="C4" s="54"/>
      <c r="D4" s="14"/>
      <c r="E4" s="14" t="str">
        <f t="shared" ref="E4:E12" si="0">IF(ISNUMBER(C$20),($D4/C$20)*100,"N/A")</f>
        <v>N/A</v>
      </c>
      <c r="F4" s="14">
        <f t="shared" ref="F4:F12" si="1">IF(ISNUMBER(D$20),($D4/D$20)*100,"N/A")</f>
        <v>0</v>
      </c>
      <c r="G4" s="14">
        <f t="shared" ref="G4:G12" si="2">IF(ISNUMBER(E$20),($D4/E$20)*100,"N/A")</f>
        <v>0</v>
      </c>
      <c r="H4" s="14">
        <f t="shared" ref="H4:H12" si="3">IF(ISNUMBER(F$20),($D4/F$20)*100,"N/A")</f>
        <v>0</v>
      </c>
      <c r="I4" s="14">
        <f t="shared" ref="I4:I12" si="4">IF(ISNUMBER(G$20),($D4/G$20)*100,"N/A")</f>
        <v>0</v>
      </c>
      <c r="J4" s="14"/>
      <c r="K4" s="14"/>
      <c r="L4" s="14" t="str">
        <f>IF(ISNUMBER(E4),ROUNDUP((E4/100),0),"N/A")</f>
        <v>N/A</v>
      </c>
      <c r="M4" s="14">
        <f t="shared" ref="M4:P4" si="5">IF(ISNUMBER(F4),ROUNDUP((F4/100),0),"N/A")</f>
        <v>0</v>
      </c>
      <c r="N4" s="14">
        <f t="shared" si="5"/>
        <v>0</v>
      </c>
      <c r="O4" s="14">
        <f t="shared" si="5"/>
        <v>0</v>
      </c>
      <c r="P4" s="14">
        <f t="shared" si="5"/>
        <v>0</v>
      </c>
    </row>
    <row r="5" spans="2:16">
      <c r="B5" s="14" t="s">
        <v>409</v>
      </c>
      <c r="C5" s="14"/>
      <c r="D5" s="14"/>
      <c r="E5" s="14" t="str">
        <f t="shared" si="0"/>
        <v>N/A</v>
      </c>
      <c r="F5" s="14">
        <f t="shared" si="1"/>
        <v>0</v>
      </c>
      <c r="G5" s="14">
        <f t="shared" si="2"/>
        <v>0</v>
      </c>
      <c r="H5" s="14">
        <f t="shared" si="3"/>
        <v>0</v>
      </c>
      <c r="I5" s="14">
        <f t="shared" si="4"/>
        <v>0</v>
      </c>
      <c r="J5" s="14"/>
      <c r="K5" s="14"/>
      <c r="L5" s="14" t="str">
        <f t="shared" ref="L5:L12" si="6">IF(ISNUMBER(E5),ROUNDUP((E5/100),0),"N/A")</f>
        <v>N/A</v>
      </c>
      <c r="M5" s="14">
        <f t="shared" ref="M5:M12" si="7">IF(ISNUMBER(F5),ROUNDUP((F5/100),0),"N/A")</f>
        <v>0</v>
      </c>
      <c r="N5" s="14">
        <f t="shared" ref="N5:N12" si="8">IF(ISNUMBER(G5),ROUNDUP((G5/100),0),"N/A")</f>
        <v>0</v>
      </c>
      <c r="O5" s="14">
        <f t="shared" ref="O5:O12" si="9">IF(ISNUMBER(H5),ROUNDUP((H5/100),0),"N/A")</f>
        <v>0</v>
      </c>
      <c r="P5" s="14">
        <f t="shared" ref="P5:P12" si="10">IF(ISNUMBER(I5),ROUNDUP((I5/100),0),"N/A")</f>
        <v>0</v>
      </c>
    </row>
    <row r="6" spans="2:16">
      <c r="B6" s="14" t="s">
        <v>410</v>
      </c>
      <c r="C6" s="14"/>
      <c r="D6" s="14"/>
      <c r="E6" s="14" t="str">
        <f t="shared" si="0"/>
        <v>N/A</v>
      </c>
      <c r="F6" s="14">
        <f t="shared" si="1"/>
        <v>0</v>
      </c>
      <c r="G6" s="14">
        <f t="shared" si="2"/>
        <v>0</v>
      </c>
      <c r="H6" s="14">
        <f t="shared" si="3"/>
        <v>0</v>
      </c>
      <c r="I6" s="14">
        <f t="shared" si="4"/>
        <v>0</v>
      </c>
      <c r="J6" s="14"/>
      <c r="K6" s="14"/>
      <c r="L6" s="14" t="str">
        <f t="shared" si="6"/>
        <v>N/A</v>
      </c>
      <c r="M6" s="14">
        <f t="shared" si="7"/>
        <v>0</v>
      </c>
      <c r="N6" s="14">
        <f t="shared" si="8"/>
        <v>0</v>
      </c>
      <c r="O6" s="14">
        <f t="shared" si="9"/>
        <v>0</v>
      </c>
      <c r="P6" s="14">
        <f t="shared" si="10"/>
        <v>0</v>
      </c>
    </row>
    <row r="7" spans="2:16" ht="43.15">
      <c r="B7" s="13" t="s">
        <v>358</v>
      </c>
      <c r="C7" s="13"/>
      <c r="D7" s="14"/>
      <c r="E7" s="14" t="str">
        <f t="shared" si="0"/>
        <v>N/A</v>
      </c>
      <c r="F7" s="14">
        <f t="shared" si="1"/>
        <v>0</v>
      </c>
      <c r="G7" s="14">
        <f t="shared" si="2"/>
        <v>0</v>
      </c>
      <c r="H7" s="14">
        <f t="shared" si="3"/>
        <v>0</v>
      </c>
      <c r="I7" s="14">
        <f t="shared" si="4"/>
        <v>0</v>
      </c>
      <c r="J7" s="14"/>
      <c r="K7" s="14"/>
      <c r="L7" s="14" t="str">
        <f t="shared" si="6"/>
        <v>N/A</v>
      </c>
      <c r="M7" s="14">
        <f t="shared" si="7"/>
        <v>0</v>
      </c>
      <c r="N7" s="14">
        <f t="shared" si="8"/>
        <v>0</v>
      </c>
      <c r="O7" s="14">
        <f t="shared" si="9"/>
        <v>0</v>
      </c>
      <c r="P7" s="14">
        <f t="shared" si="10"/>
        <v>0</v>
      </c>
    </row>
    <row r="8" spans="2:16">
      <c r="B8" s="14" t="s">
        <v>411</v>
      </c>
      <c r="C8" s="14"/>
      <c r="D8" s="14"/>
      <c r="E8" s="14" t="str">
        <f t="shared" si="0"/>
        <v>N/A</v>
      </c>
      <c r="F8" s="14">
        <f t="shared" si="1"/>
        <v>0</v>
      </c>
      <c r="G8" s="14">
        <f t="shared" si="2"/>
        <v>0</v>
      </c>
      <c r="H8" s="14">
        <f t="shared" si="3"/>
        <v>0</v>
      </c>
      <c r="I8" s="14">
        <f t="shared" si="4"/>
        <v>0</v>
      </c>
      <c r="J8" s="14"/>
      <c r="K8" s="14"/>
      <c r="L8" s="14" t="str">
        <f t="shared" si="6"/>
        <v>N/A</v>
      </c>
      <c r="M8" s="14">
        <f t="shared" si="7"/>
        <v>0</v>
      </c>
      <c r="N8" s="14">
        <f t="shared" si="8"/>
        <v>0</v>
      </c>
      <c r="O8" s="14">
        <f t="shared" si="9"/>
        <v>0</v>
      </c>
      <c r="P8" s="14">
        <f t="shared" si="10"/>
        <v>0</v>
      </c>
    </row>
    <row r="9" spans="2:16">
      <c r="B9" s="14" t="s">
        <v>412</v>
      </c>
      <c r="C9" s="14"/>
      <c r="D9" s="14"/>
      <c r="E9" s="14" t="str">
        <f t="shared" si="0"/>
        <v>N/A</v>
      </c>
      <c r="F9" s="14">
        <f t="shared" si="1"/>
        <v>0</v>
      </c>
      <c r="G9" s="14">
        <f t="shared" si="2"/>
        <v>0</v>
      </c>
      <c r="H9" s="14">
        <f t="shared" si="3"/>
        <v>0</v>
      </c>
      <c r="I9" s="14">
        <f t="shared" si="4"/>
        <v>0</v>
      </c>
      <c r="J9" s="14"/>
      <c r="K9" s="14"/>
      <c r="L9" s="14" t="str">
        <f t="shared" si="6"/>
        <v>N/A</v>
      </c>
      <c r="M9" s="14">
        <f t="shared" si="7"/>
        <v>0</v>
      </c>
      <c r="N9" s="14">
        <f t="shared" si="8"/>
        <v>0</v>
      </c>
      <c r="O9" s="14">
        <f t="shared" si="9"/>
        <v>0</v>
      </c>
      <c r="P9" s="14">
        <f t="shared" si="10"/>
        <v>0</v>
      </c>
    </row>
    <row r="10" spans="2:16">
      <c r="B10" s="14" t="s">
        <v>413</v>
      </c>
      <c r="C10" s="14"/>
      <c r="D10" s="14"/>
      <c r="E10" s="14" t="str">
        <f t="shared" si="0"/>
        <v>N/A</v>
      </c>
      <c r="F10" s="14">
        <f t="shared" si="1"/>
        <v>0</v>
      </c>
      <c r="G10" s="14">
        <f t="shared" si="2"/>
        <v>0</v>
      </c>
      <c r="H10" s="14">
        <f t="shared" si="3"/>
        <v>0</v>
      </c>
      <c r="I10" s="14">
        <f t="shared" si="4"/>
        <v>0</v>
      </c>
      <c r="J10" s="14"/>
      <c r="K10" s="14"/>
      <c r="L10" s="14" t="str">
        <f t="shared" si="6"/>
        <v>N/A</v>
      </c>
      <c r="M10" s="14">
        <f t="shared" si="7"/>
        <v>0</v>
      </c>
      <c r="N10" s="14">
        <f t="shared" si="8"/>
        <v>0</v>
      </c>
      <c r="O10" s="14">
        <f t="shared" si="9"/>
        <v>0</v>
      </c>
      <c r="P10" s="14">
        <f t="shared" si="10"/>
        <v>0</v>
      </c>
    </row>
    <row r="11" spans="2:16">
      <c r="B11" s="14" t="s">
        <v>414</v>
      </c>
      <c r="C11" s="14"/>
      <c r="D11" s="14"/>
      <c r="E11" s="14" t="str">
        <f t="shared" si="0"/>
        <v>N/A</v>
      </c>
      <c r="F11" s="14">
        <f t="shared" si="1"/>
        <v>0</v>
      </c>
      <c r="G11" s="14">
        <f t="shared" si="2"/>
        <v>0</v>
      </c>
      <c r="H11" s="14">
        <f t="shared" si="3"/>
        <v>0</v>
      </c>
      <c r="I11" s="14">
        <f t="shared" si="4"/>
        <v>0</v>
      </c>
      <c r="J11" s="14"/>
      <c r="K11" s="14"/>
      <c r="L11" s="14" t="str">
        <f t="shared" si="6"/>
        <v>N/A</v>
      </c>
      <c r="M11" s="14">
        <f t="shared" si="7"/>
        <v>0</v>
      </c>
      <c r="N11" s="14">
        <f t="shared" si="8"/>
        <v>0</v>
      </c>
      <c r="O11" s="14">
        <f t="shared" si="9"/>
        <v>0</v>
      </c>
      <c r="P11" s="14">
        <f t="shared" si="10"/>
        <v>0</v>
      </c>
    </row>
    <row r="12" spans="2:16">
      <c r="B12" s="14" t="s">
        <v>380</v>
      </c>
      <c r="C12" s="14"/>
      <c r="D12" s="14"/>
      <c r="E12" s="14" t="str">
        <f t="shared" si="0"/>
        <v>N/A</v>
      </c>
      <c r="F12" s="14">
        <f t="shared" si="1"/>
        <v>0</v>
      </c>
      <c r="G12" s="14">
        <f t="shared" si="2"/>
        <v>0</v>
      </c>
      <c r="H12" s="14">
        <f t="shared" si="3"/>
        <v>0</v>
      </c>
      <c r="I12" s="14">
        <f t="shared" si="4"/>
        <v>0</v>
      </c>
      <c r="J12" s="14"/>
      <c r="K12" s="14"/>
      <c r="L12" s="14" t="str">
        <f t="shared" si="6"/>
        <v>N/A</v>
      </c>
      <c r="M12" s="14">
        <f t="shared" si="7"/>
        <v>0</v>
      </c>
      <c r="N12" s="14">
        <f t="shared" si="8"/>
        <v>0</v>
      </c>
      <c r="O12" s="14">
        <f t="shared" si="9"/>
        <v>0</v>
      </c>
      <c r="P12" s="14">
        <f t="shared" si="10"/>
        <v>0</v>
      </c>
    </row>
    <row r="13" spans="2:16">
      <c r="B13" s="41"/>
      <c r="C13" s="41"/>
      <c r="D13" s="41"/>
      <c r="E13" s="14"/>
      <c r="F13" s="14"/>
      <c r="G13" s="14"/>
      <c r="H13" s="14"/>
      <c r="I13" s="14"/>
      <c r="J13" s="41"/>
      <c r="K13" s="14"/>
      <c r="L13" s="41"/>
      <c r="M13" s="41"/>
      <c r="N13" s="41"/>
      <c r="O13" s="41"/>
      <c r="P13" s="41"/>
    </row>
    <row r="15" spans="2:16">
      <c r="C15" s="60" t="s">
        <v>49</v>
      </c>
      <c r="D15" s="60" t="s">
        <v>50</v>
      </c>
      <c r="E15" s="60" t="s">
        <v>51</v>
      </c>
      <c r="F15" s="60" t="s">
        <v>52</v>
      </c>
      <c r="G15" s="60" t="s">
        <v>53</v>
      </c>
    </row>
    <row r="16" spans="2:16">
      <c r="B16" s="60" t="s">
        <v>415</v>
      </c>
      <c r="C16" s="14">
        <v>0</v>
      </c>
      <c r="D16" s="14">
        <v>200</v>
      </c>
      <c r="E16" s="14">
        <v>600</v>
      </c>
      <c r="F16" s="14">
        <v>1200</v>
      </c>
      <c r="G16" s="14">
        <v>1200</v>
      </c>
    </row>
    <row r="17" spans="2:11">
      <c r="B17" s="60" t="s">
        <v>416</v>
      </c>
      <c r="C17" s="14">
        <f>C16/(52*5)</f>
        <v>0</v>
      </c>
      <c r="D17" s="14">
        <f t="shared" ref="D17:G17" si="11">D16/(52*5)</f>
        <v>0.76923076923076927</v>
      </c>
      <c r="E17" s="14">
        <f t="shared" si="11"/>
        <v>2.3076923076923075</v>
      </c>
      <c r="F17" s="14">
        <f t="shared" si="11"/>
        <v>4.615384615384615</v>
      </c>
      <c r="G17" s="14">
        <f t="shared" si="11"/>
        <v>4.615384615384615</v>
      </c>
    </row>
    <row r="18" spans="2:11">
      <c r="B18" s="60" t="s">
        <v>417</v>
      </c>
      <c r="C18" s="14">
        <v>12</v>
      </c>
      <c r="D18" s="14">
        <v>12</v>
      </c>
      <c r="E18" s="14">
        <v>12</v>
      </c>
      <c r="F18" s="14">
        <v>12</v>
      </c>
      <c r="G18" s="14">
        <v>12</v>
      </c>
    </row>
    <row r="19" spans="2:11">
      <c r="B19" s="60" t="s">
        <v>418</v>
      </c>
      <c r="C19" s="14" t="str">
        <f>IF(C16&gt;0,C18/C17,"N/A")</f>
        <v>N/A</v>
      </c>
      <c r="D19" s="14">
        <f t="shared" ref="D19:G19" si="12">IF(D16&gt;0,D18/D17,"N/A")</f>
        <v>15.6</v>
      </c>
      <c r="E19" s="14">
        <f t="shared" si="12"/>
        <v>5.2</v>
      </c>
      <c r="F19" s="14">
        <f t="shared" si="12"/>
        <v>2.6</v>
      </c>
      <c r="G19" s="14">
        <f t="shared" si="12"/>
        <v>2.6</v>
      </c>
    </row>
    <row r="20" spans="2:11">
      <c r="B20" s="60" t="s">
        <v>419</v>
      </c>
      <c r="C20" s="14" t="str">
        <f>IF(C16&gt;0,C19*60,"N/A")</f>
        <v>N/A</v>
      </c>
      <c r="D20" s="14">
        <f t="shared" ref="D20:G20" si="13">IF(D16&gt;0,D19*60,"N/A")</f>
        <v>936</v>
      </c>
      <c r="E20" s="14">
        <f t="shared" si="13"/>
        <v>312</v>
      </c>
      <c r="F20" s="14">
        <f t="shared" si="13"/>
        <v>156</v>
      </c>
      <c r="G20" s="14">
        <f t="shared" si="13"/>
        <v>156</v>
      </c>
    </row>
    <row r="24" spans="2:11">
      <c r="B24" s="2" t="s">
        <v>420</v>
      </c>
      <c r="C24" t="s">
        <v>421</v>
      </c>
    </row>
    <row r="25" spans="2:11">
      <c r="C25" t="s">
        <v>19</v>
      </c>
      <c r="D25" t="s">
        <v>202</v>
      </c>
    </row>
    <row r="26" spans="2:11">
      <c r="B26" t="s">
        <v>422</v>
      </c>
      <c r="C26">
        <v>0.85</v>
      </c>
      <c r="D26">
        <v>0.8</v>
      </c>
    </row>
    <row r="28" spans="2:11">
      <c r="B28" t="s">
        <v>423</v>
      </c>
    </row>
    <row r="30" spans="2:11">
      <c r="B30" s="90" t="s">
        <v>424</v>
      </c>
      <c r="C30" s="90"/>
      <c r="D30" s="90"/>
      <c r="E30" s="90"/>
      <c r="F30" s="90"/>
      <c r="G30" s="90"/>
      <c r="H30" s="90"/>
      <c r="I30" s="90"/>
      <c r="J30" s="90"/>
      <c r="K30" s="90"/>
    </row>
    <row r="31" spans="2:11">
      <c r="B31" s="100" t="s">
        <v>49</v>
      </c>
      <c r="C31" s="100"/>
      <c r="D31" s="100" t="s">
        <v>50</v>
      </c>
      <c r="E31" s="100"/>
      <c r="F31" s="100" t="s">
        <v>51</v>
      </c>
      <c r="G31" s="100"/>
      <c r="H31" s="100" t="s">
        <v>52</v>
      </c>
      <c r="I31" s="100"/>
      <c r="J31" s="100" t="s">
        <v>53</v>
      </c>
      <c r="K31" s="100"/>
    </row>
    <row r="32" spans="2:11">
      <c r="B32" s="87" t="s">
        <v>19</v>
      </c>
      <c r="C32" s="87" t="s">
        <v>202</v>
      </c>
      <c r="D32" s="87" t="s">
        <v>19</v>
      </c>
      <c r="E32" s="87" t="s">
        <v>202</v>
      </c>
      <c r="F32" s="87" t="s">
        <v>19</v>
      </c>
      <c r="G32" s="87" t="s">
        <v>202</v>
      </c>
      <c r="H32" s="87" t="s">
        <v>19</v>
      </c>
      <c r="I32" s="87" t="s">
        <v>202</v>
      </c>
      <c r="J32" s="87" t="s">
        <v>19</v>
      </c>
      <c r="K32" s="87" t="s">
        <v>202</v>
      </c>
    </row>
    <row r="33" spans="2:11">
      <c r="B33" s="14" t="str">
        <f>IF(ISNUMBER($L4),$L4*C$26,"N/A")</f>
        <v>N/A</v>
      </c>
      <c r="C33" s="14" t="str">
        <f>IF(ISNUMBER($L4),$L4*D$26,"N/A")</f>
        <v>N/A</v>
      </c>
      <c r="D33" s="14">
        <f>IF(ISNUMBER(M4),M4*$C$26,"N/A")</f>
        <v>0</v>
      </c>
      <c r="E33" s="14">
        <f>IF(ISNUMBER(M4),M4*$D$26,"N/A")</f>
        <v>0</v>
      </c>
      <c r="F33" s="14">
        <f>IF(ISNUMBER(N4),N4*$C$26,"N/A")</f>
        <v>0</v>
      </c>
      <c r="G33" s="14">
        <f>IF(ISNUMBER(N4),N4*$D$26,"N/A")</f>
        <v>0</v>
      </c>
      <c r="H33" s="14">
        <f>IF(ISNUMBER(O4),O4*$C$26,"N/A")</f>
        <v>0</v>
      </c>
      <c r="I33" s="14">
        <f>IF(ISNUMBER(O4),O4*$D$26,"N/A")</f>
        <v>0</v>
      </c>
      <c r="J33" s="14">
        <f>IF(ISNUMBER(P4),P4*$C$26,"N/A")</f>
        <v>0</v>
      </c>
      <c r="K33" s="14">
        <f>IF(ISNUMBER(P4),P4*$D$26,"N/A")</f>
        <v>0</v>
      </c>
    </row>
    <row r="34" spans="2:11">
      <c r="B34" s="14" t="str">
        <f t="shared" ref="B34:C34" si="14">IF(ISNUMBER($L5),$L5*C$26,"N/A")</f>
        <v>N/A</v>
      </c>
      <c r="C34" s="14" t="str">
        <f t="shared" si="14"/>
        <v>N/A</v>
      </c>
      <c r="D34" s="14">
        <f t="shared" ref="D34:D41" si="15">IF(ISNUMBER(M5),M5*$C$26,"N/A")</f>
        <v>0</v>
      </c>
      <c r="E34" s="14">
        <f t="shared" ref="E34:E41" si="16">IF(ISNUMBER(M5),M5*$D$26,"N/A")</f>
        <v>0</v>
      </c>
      <c r="F34" s="14">
        <f t="shared" ref="F34:F41" si="17">IF(ISNUMBER(N5),N5*$C$26,"N/A")</f>
        <v>0</v>
      </c>
      <c r="G34" s="14">
        <f t="shared" ref="G34:G41" si="18">IF(ISNUMBER(N5),N5*$D$26,"N/A")</f>
        <v>0</v>
      </c>
      <c r="H34" s="14">
        <f t="shared" ref="H34:H41" si="19">IF(ISNUMBER(O5),O5*$C$26,"N/A")</f>
        <v>0</v>
      </c>
      <c r="I34" s="14">
        <f t="shared" ref="I34:I41" si="20">IF(ISNUMBER(O5),O5*$D$26,"N/A")</f>
        <v>0</v>
      </c>
      <c r="J34" s="14">
        <f t="shared" ref="J34:J41" si="21">IF(ISNUMBER(P5),P5*$C$26,"N/A")</f>
        <v>0</v>
      </c>
      <c r="K34" s="14">
        <f t="shared" ref="K34:K41" si="22">IF(ISNUMBER(P5),P5*$D$26,"N/A")</f>
        <v>0</v>
      </c>
    </row>
    <row r="35" spans="2:11">
      <c r="B35" s="14" t="str">
        <f t="shared" ref="B35:C35" si="23">IF(ISNUMBER($L6),$L6*C$26,"N/A")</f>
        <v>N/A</v>
      </c>
      <c r="C35" s="14" t="str">
        <f t="shared" si="23"/>
        <v>N/A</v>
      </c>
      <c r="D35" s="14">
        <f t="shared" si="15"/>
        <v>0</v>
      </c>
      <c r="E35" s="14">
        <f t="shared" si="16"/>
        <v>0</v>
      </c>
      <c r="F35" s="14">
        <f t="shared" si="17"/>
        <v>0</v>
      </c>
      <c r="G35" s="14">
        <f t="shared" si="18"/>
        <v>0</v>
      </c>
      <c r="H35" s="14">
        <f t="shared" si="19"/>
        <v>0</v>
      </c>
      <c r="I35" s="14">
        <f t="shared" si="20"/>
        <v>0</v>
      </c>
      <c r="J35" s="14">
        <f t="shared" si="21"/>
        <v>0</v>
      </c>
      <c r="K35" s="14">
        <f t="shared" si="22"/>
        <v>0</v>
      </c>
    </row>
    <row r="36" spans="2:11">
      <c r="B36" s="14" t="str">
        <f t="shared" ref="B36:C36" si="24">IF(ISNUMBER($L7),$L7*C$26,"N/A")</f>
        <v>N/A</v>
      </c>
      <c r="C36" s="14" t="str">
        <f t="shared" si="24"/>
        <v>N/A</v>
      </c>
      <c r="D36" s="14">
        <f t="shared" si="15"/>
        <v>0</v>
      </c>
      <c r="E36" s="14">
        <f t="shared" si="16"/>
        <v>0</v>
      </c>
      <c r="F36" s="14">
        <f t="shared" si="17"/>
        <v>0</v>
      </c>
      <c r="G36" s="14">
        <f t="shared" si="18"/>
        <v>0</v>
      </c>
      <c r="H36" s="14">
        <f t="shared" si="19"/>
        <v>0</v>
      </c>
      <c r="I36" s="14">
        <f t="shared" si="20"/>
        <v>0</v>
      </c>
      <c r="J36" s="14">
        <f t="shared" si="21"/>
        <v>0</v>
      </c>
      <c r="K36" s="14">
        <f t="shared" si="22"/>
        <v>0</v>
      </c>
    </row>
    <row r="37" spans="2:11">
      <c r="B37" s="14" t="str">
        <f t="shared" ref="B37:C37" si="25">IF(ISNUMBER($L8),$L8*C$26,"N/A")</f>
        <v>N/A</v>
      </c>
      <c r="C37" s="14" t="str">
        <f t="shared" si="25"/>
        <v>N/A</v>
      </c>
      <c r="D37" s="14">
        <f t="shared" si="15"/>
        <v>0</v>
      </c>
      <c r="E37" s="14">
        <f t="shared" si="16"/>
        <v>0</v>
      </c>
      <c r="F37" s="14">
        <f t="shared" si="17"/>
        <v>0</v>
      </c>
      <c r="G37" s="14">
        <f t="shared" si="18"/>
        <v>0</v>
      </c>
      <c r="H37" s="14">
        <f t="shared" si="19"/>
        <v>0</v>
      </c>
      <c r="I37" s="14">
        <f t="shared" si="20"/>
        <v>0</v>
      </c>
      <c r="J37" s="14">
        <f t="shared" si="21"/>
        <v>0</v>
      </c>
      <c r="K37" s="14">
        <f t="shared" si="22"/>
        <v>0</v>
      </c>
    </row>
    <row r="38" spans="2:11">
      <c r="B38" s="14" t="str">
        <f t="shared" ref="B38:C38" si="26">IF(ISNUMBER($L9),$L9*C$26,"N/A")</f>
        <v>N/A</v>
      </c>
      <c r="C38" s="14" t="str">
        <f t="shared" si="26"/>
        <v>N/A</v>
      </c>
      <c r="D38" s="14">
        <f t="shared" si="15"/>
        <v>0</v>
      </c>
      <c r="E38" s="14">
        <f t="shared" si="16"/>
        <v>0</v>
      </c>
      <c r="F38" s="14">
        <f t="shared" si="17"/>
        <v>0</v>
      </c>
      <c r="G38" s="14">
        <f t="shared" si="18"/>
        <v>0</v>
      </c>
      <c r="H38" s="14">
        <f t="shared" si="19"/>
        <v>0</v>
      </c>
      <c r="I38" s="14">
        <f t="shared" si="20"/>
        <v>0</v>
      </c>
      <c r="J38" s="14">
        <f t="shared" si="21"/>
        <v>0</v>
      </c>
      <c r="K38" s="14">
        <f t="shared" si="22"/>
        <v>0</v>
      </c>
    </row>
    <row r="39" spans="2:11">
      <c r="B39" s="14" t="str">
        <f t="shared" ref="B39:C39" si="27">IF(ISNUMBER($L10),$L10*C$26,"N/A")</f>
        <v>N/A</v>
      </c>
      <c r="C39" s="14" t="str">
        <f t="shared" si="27"/>
        <v>N/A</v>
      </c>
      <c r="D39" s="14">
        <f t="shared" si="15"/>
        <v>0</v>
      </c>
      <c r="E39" s="14">
        <f t="shared" si="16"/>
        <v>0</v>
      </c>
      <c r="F39" s="14">
        <f t="shared" si="17"/>
        <v>0</v>
      </c>
      <c r="G39" s="14">
        <f t="shared" si="18"/>
        <v>0</v>
      </c>
      <c r="H39" s="14">
        <f t="shared" si="19"/>
        <v>0</v>
      </c>
      <c r="I39" s="14">
        <f t="shared" si="20"/>
        <v>0</v>
      </c>
      <c r="J39" s="14">
        <f t="shared" si="21"/>
        <v>0</v>
      </c>
      <c r="K39" s="14">
        <f t="shared" si="22"/>
        <v>0</v>
      </c>
    </row>
    <row r="40" spans="2:11">
      <c r="B40" s="14" t="str">
        <f t="shared" ref="B40:C40" si="28">IF(ISNUMBER($L11),$L11*C$26,"N/A")</f>
        <v>N/A</v>
      </c>
      <c r="C40" s="14" t="str">
        <f t="shared" si="28"/>
        <v>N/A</v>
      </c>
      <c r="D40" s="14">
        <f t="shared" si="15"/>
        <v>0</v>
      </c>
      <c r="E40" s="14">
        <f t="shared" si="16"/>
        <v>0</v>
      </c>
      <c r="F40" s="14">
        <f t="shared" si="17"/>
        <v>0</v>
      </c>
      <c r="G40" s="14">
        <f t="shared" si="18"/>
        <v>0</v>
      </c>
      <c r="H40" s="14">
        <f t="shared" si="19"/>
        <v>0</v>
      </c>
      <c r="I40" s="14">
        <f t="shared" si="20"/>
        <v>0</v>
      </c>
      <c r="J40" s="14">
        <f t="shared" si="21"/>
        <v>0</v>
      </c>
      <c r="K40" s="14">
        <f t="shared" si="22"/>
        <v>0</v>
      </c>
    </row>
    <row r="41" spans="2:11">
      <c r="B41" s="14" t="str">
        <f t="shared" ref="B41:C41" si="29">IF(ISNUMBER($L12),$L12*C$26,"N/A")</f>
        <v>N/A</v>
      </c>
      <c r="C41" s="14" t="str">
        <f t="shared" si="29"/>
        <v>N/A</v>
      </c>
      <c r="D41" s="14">
        <f t="shared" si="15"/>
        <v>0</v>
      </c>
      <c r="E41" s="14">
        <f t="shared" si="16"/>
        <v>0</v>
      </c>
      <c r="F41" s="14">
        <f t="shared" si="17"/>
        <v>0</v>
      </c>
      <c r="G41" s="14">
        <f t="shared" si="18"/>
        <v>0</v>
      </c>
      <c r="H41" s="14">
        <f t="shared" si="19"/>
        <v>0</v>
      </c>
      <c r="I41" s="14">
        <f t="shared" si="20"/>
        <v>0</v>
      </c>
      <c r="J41" s="14">
        <f t="shared" si="21"/>
        <v>0</v>
      </c>
      <c r="K41" s="14">
        <f t="shared" si="22"/>
        <v>0</v>
      </c>
    </row>
  </sheetData>
  <mergeCells count="13">
    <mergeCell ref="B30:K30"/>
    <mergeCell ref="L2:P2"/>
    <mergeCell ref="E2:I2"/>
    <mergeCell ref="J2:J3"/>
    <mergeCell ref="K2:K3"/>
    <mergeCell ref="D2:D3"/>
    <mergeCell ref="B2:B3"/>
    <mergeCell ref="C2:C3"/>
    <mergeCell ref="B31:C31"/>
    <mergeCell ref="D31:E31"/>
    <mergeCell ref="F31:G31"/>
    <mergeCell ref="H31:I31"/>
    <mergeCell ref="J31:K31"/>
  </mergeCells>
  <phoneticPr fontId="2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4729F-15EF-44FA-B95D-A559AF0069ED}">
  <dimension ref="A1:J46"/>
  <sheetViews>
    <sheetView topLeftCell="A9" zoomScale="80" zoomScaleNormal="80" workbookViewId="0">
      <selection activeCell="G32" sqref="G32"/>
    </sheetView>
  </sheetViews>
  <sheetFormatPr defaultRowHeight="14.45"/>
  <cols>
    <col min="2" max="2" width="21.28515625" customWidth="1"/>
    <col min="3" max="3" width="30.7109375" customWidth="1"/>
    <col min="4" max="4" width="34.28515625" customWidth="1"/>
    <col min="5" max="5" width="30.7109375" bestFit="1" customWidth="1"/>
    <col min="6" max="6" width="39" customWidth="1"/>
    <col min="7" max="7" width="40.7109375" bestFit="1" customWidth="1"/>
    <col min="8" max="8" width="27.28515625" customWidth="1"/>
    <col min="9" max="9" width="25.85546875" bestFit="1" customWidth="1"/>
    <col min="10" max="10" width="26" bestFit="1" customWidth="1"/>
  </cols>
  <sheetData>
    <row r="1" spans="1:9" ht="21">
      <c r="A1" s="1" t="s">
        <v>425</v>
      </c>
    </row>
    <row r="3" spans="1:9">
      <c r="A3" t="s">
        <v>426</v>
      </c>
    </row>
    <row r="5" spans="1:9">
      <c r="B5" s="2" t="s">
        <v>427</v>
      </c>
    </row>
    <row r="6" spans="1:9">
      <c r="B6" t="s">
        <v>428</v>
      </c>
    </row>
    <row r="8" spans="1:9">
      <c r="B8" s="60" t="s">
        <v>429</v>
      </c>
      <c r="C8" s="60" t="s">
        <v>430</v>
      </c>
      <c r="D8" s="60" t="s">
        <v>431</v>
      </c>
      <c r="E8" s="60" t="s">
        <v>432</v>
      </c>
      <c r="F8" s="60" t="s">
        <v>433</v>
      </c>
      <c r="H8" s="2" t="s">
        <v>434</v>
      </c>
    </row>
    <row r="9" spans="1:9">
      <c r="B9">
        <f>'Machine utilisation'!C17</f>
        <v>0</v>
      </c>
      <c r="D9">
        <f>Table3[[#This Row],[Raw material volume per unit (m^3)]]*Table3[[#This Row],[Production rate per day]]</f>
        <v>0</v>
      </c>
      <c r="E9">
        <v>5</v>
      </c>
      <c r="F9">
        <f>Table3[[#This Row],[Total raw material volume per day (m^3)]]*Table3[[#This Row],[Storage correction factor]]</f>
        <v>0</v>
      </c>
    </row>
    <row r="11" spans="1:9">
      <c r="B11" s="2" t="s">
        <v>435</v>
      </c>
    </row>
    <row r="12" spans="1:9">
      <c r="B12" t="s">
        <v>436</v>
      </c>
    </row>
    <row r="13" spans="1:9">
      <c r="B13" t="s">
        <v>437</v>
      </c>
    </row>
    <row r="15" spans="1:9">
      <c r="B15" s="60" t="s">
        <v>429</v>
      </c>
      <c r="C15" s="60" t="s">
        <v>438</v>
      </c>
      <c r="D15" s="60" t="s">
        <v>439</v>
      </c>
      <c r="E15" s="60" t="s">
        <v>440</v>
      </c>
      <c r="F15" s="60" t="s">
        <v>441</v>
      </c>
      <c r="G15" s="60" t="s">
        <v>442</v>
      </c>
      <c r="H15" s="60" t="s">
        <v>443</v>
      </c>
      <c r="I15" s="60" t="s">
        <v>433</v>
      </c>
    </row>
    <row r="16" spans="1:9">
      <c r="B16" cm="1">
        <f t="array" ref="B16">Table3[Production rate per day]</f>
        <v>0</v>
      </c>
      <c r="C16">
        <v>1</v>
      </c>
      <c r="D16">
        <v>1</v>
      </c>
      <c r="E16">
        <v>4</v>
      </c>
      <c r="F16">
        <f>Table18[[#This Row],[Packaged Height (m)]]*Table18[[#This Row],[Packaged Width (m)]]*Table18[[#This Row],[Packaged Length (m)]]</f>
        <v>4</v>
      </c>
      <c r="G16">
        <f>Table18[[#This Row],[Final product packaged volume per unit (m^3)]]*Table18[[#This Row],[Production rate per day]]</f>
        <v>0</v>
      </c>
      <c r="H16">
        <v>1.5</v>
      </c>
      <c r="I16">
        <f>Table18[[#This Row],[Final product packaged volume per day (m^3)]]*Table18[[#This Row],[Storage space correction factor]]</f>
        <v>0</v>
      </c>
    </row>
    <row r="18" spans="2:10">
      <c r="B18" s="2" t="s">
        <v>444</v>
      </c>
    </row>
    <row r="20" spans="2:10">
      <c r="B20" t="s">
        <v>445</v>
      </c>
      <c r="C20" t="s">
        <v>446</v>
      </c>
    </row>
    <row r="21" spans="2:10">
      <c r="B21" t="s">
        <v>447</v>
      </c>
      <c r="F21" s="2" t="s">
        <v>448</v>
      </c>
    </row>
    <row r="23" spans="2:10">
      <c r="B23" s="60" t="s">
        <v>429</v>
      </c>
      <c r="C23" s="60" t="s">
        <v>217</v>
      </c>
      <c r="D23" s="60" t="s">
        <v>449</v>
      </c>
      <c r="E23" s="60" t="s">
        <v>450</v>
      </c>
      <c r="F23" s="60" t="s">
        <v>451</v>
      </c>
      <c r="G23" s="60" t="s">
        <v>452</v>
      </c>
      <c r="H23" s="60" t="s">
        <v>453</v>
      </c>
      <c r="I23" s="60" t="s">
        <v>454</v>
      </c>
      <c r="J23" s="60" t="s">
        <v>455</v>
      </c>
    </row>
    <row r="26" spans="2:10">
      <c r="B26" t="s">
        <v>456</v>
      </c>
    </row>
    <row r="29" spans="2:10">
      <c r="B29" s="2" t="s">
        <v>457</v>
      </c>
    </row>
    <row r="31" spans="2:10">
      <c r="C31" s="60" t="s">
        <v>458</v>
      </c>
      <c r="D31" s="60" t="s">
        <v>459</v>
      </c>
      <c r="E31" s="60" t="s">
        <v>460</v>
      </c>
      <c r="F31" s="60" t="s">
        <v>461</v>
      </c>
    </row>
    <row r="32" spans="2:10">
      <c r="B32" s="60" t="s">
        <v>462</v>
      </c>
      <c r="C32" s="14">
        <v>1.5</v>
      </c>
      <c r="D32" s="14">
        <f>C32*$D$45</f>
        <v>88.881987577639748</v>
      </c>
      <c r="E32" s="14">
        <f>C32*$D$46</f>
        <v>569.81366459627327</v>
      </c>
      <c r="F32" s="14">
        <f>(D32+E32)/2</f>
        <v>329.3478260869565</v>
      </c>
    </row>
    <row r="33" spans="2:6">
      <c r="B33" s="60" t="s">
        <v>463</v>
      </c>
      <c r="C33" s="14">
        <v>2</v>
      </c>
      <c r="D33" s="14">
        <f>C33*$D$45</f>
        <v>118.50931677018633</v>
      </c>
      <c r="E33" s="14">
        <f>C33*$D$46</f>
        <v>759.75155279503099</v>
      </c>
      <c r="F33" s="14">
        <f t="shared" ref="F33:F35" si="0">(D33+E33)/2</f>
        <v>439.13043478260863</v>
      </c>
    </row>
    <row r="34" spans="2:6">
      <c r="B34" s="60" t="s">
        <v>464</v>
      </c>
      <c r="C34" s="14">
        <v>2.25</v>
      </c>
      <c r="D34" s="14">
        <f>C34*$D$45</f>
        <v>133.32298136645963</v>
      </c>
      <c r="E34" s="14">
        <f>C34*$D$46</f>
        <v>854.72049689440985</v>
      </c>
      <c r="F34" s="14">
        <f t="shared" si="0"/>
        <v>494.02173913043475</v>
      </c>
    </row>
    <row r="35" spans="2:6">
      <c r="B35" s="60" t="s">
        <v>465</v>
      </c>
      <c r="C35" s="14">
        <v>2.75</v>
      </c>
      <c r="D35" s="14">
        <f>C35*$D$45</f>
        <v>162.9503105590062</v>
      </c>
      <c r="E35" s="14">
        <f>C35*$D$46</f>
        <v>1044.6583850931677</v>
      </c>
      <c r="F35" s="14">
        <f t="shared" si="0"/>
        <v>603.804347826087</v>
      </c>
    </row>
    <row r="38" spans="2:6">
      <c r="B38" t="s">
        <v>466</v>
      </c>
    </row>
    <row r="39" spans="2:6">
      <c r="B39" s="85" t="s">
        <v>467</v>
      </c>
    </row>
    <row r="40" spans="2:6">
      <c r="B40" t="s">
        <v>468</v>
      </c>
    </row>
    <row r="42" spans="2:6">
      <c r="B42" t="s">
        <v>469</v>
      </c>
    </row>
    <row r="44" spans="2:6">
      <c r="C44" s="60" t="s">
        <v>470</v>
      </c>
      <c r="D44" s="60" t="s">
        <v>471</v>
      </c>
    </row>
    <row r="45" spans="2:6">
      <c r="B45" s="60" t="s">
        <v>472</v>
      </c>
      <c r="C45" s="14">
        <v>95.4</v>
      </c>
      <c r="D45" s="14">
        <f>C45/1.61</f>
        <v>59.254658385093165</v>
      </c>
    </row>
    <row r="46" spans="2:6">
      <c r="B46" s="60" t="s">
        <v>473</v>
      </c>
      <c r="C46" s="14">
        <v>611.6</v>
      </c>
      <c r="D46" s="14">
        <f>C46/1.61</f>
        <v>379.87577639751549</v>
      </c>
    </row>
  </sheetData>
  <phoneticPr fontId="23" type="noConversion"/>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002DD-262A-4971-B65D-793F007661FA}">
  <dimension ref="B2:AB52"/>
  <sheetViews>
    <sheetView topLeftCell="A7" workbookViewId="0">
      <selection activeCell="P35" sqref="P35"/>
    </sheetView>
  </sheetViews>
  <sheetFormatPr defaultRowHeight="14.45"/>
  <cols>
    <col min="2" max="2" width="33.28515625" bestFit="1" customWidth="1"/>
    <col min="20" max="20" width="18.28515625" customWidth="1"/>
    <col min="21" max="21" width="34.28515625" bestFit="1" customWidth="1"/>
  </cols>
  <sheetData>
    <row r="2" spans="2:23">
      <c r="B2" s="2" t="s">
        <v>474</v>
      </c>
    </row>
    <row r="4" spans="2:23">
      <c r="C4" s="108" t="s">
        <v>49</v>
      </c>
      <c r="D4" s="108"/>
      <c r="E4" s="108"/>
      <c r="F4" s="108" t="s">
        <v>50</v>
      </c>
      <c r="G4" s="108"/>
      <c r="H4" s="108"/>
      <c r="I4" s="108" t="s">
        <v>51</v>
      </c>
      <c r="J4" s="108"/>
      <c r="K4" s="108"/>
      <c r="L4" s="108" t="s">
        <v>52</v>
      </c>
      <c r="M4" s="108"/>
      <c r="N4" s="108"/>
      <c r="O4" s="108" t="s">
        <v>53</v>
      </c>
      <c r="P4" s="108"/>
      <c r="Q4" s="108"/>
      <c r="T4" t="s">
        <v>475</v>
      </c>
    </row>
    <row r="5" spans="2:23">
      <c r="C5" s="109" t="s">
        <v>19</v>
      </c>
      <c r="D5" s="109" t="s">
        <v>476</v>
      </c>
      <c r="E5" s="109" t="s">
        <v>202</v>
      </c>
      <c r="F5" s="109" t="s">
        <v>19</v>
      </c>
      <c r="G5" s="109" t="s">
        <v>476</v>
      </c>
      <c r="H5" s="109" t="s">
        <v>202</v>
      </c>
      <c r="I5" s="109" t="s">
        <v>19</v>
      </c>
      <c r="J5" s="109" t="s">
        <v>476</v>
      </c>
      <c r="K5" s="109" t="s">
        <v>202</v>
      </c>
      <c r="L5" s="109" t="s">
        <v>19</v>
      </c>
      <c r="M5" s="109" t="s">
        <v>476</v>
      </c>
      <c r="N5" s="109" t="s">
        <v>202</v>
      </c>
      <c r="O5" s="109" t="s">
        <v>19</v>
      </c>
      <c r="P5" s="109" t="s">
        <v>476</v>
      </c>
      <c r="Q5" s="109" t="s">
        <v>202</v>
      </c>
    </row>
    <row r="6" spans="2:23">
      <c r="B6" s="60" t="s">
        <v>477</v>
      </c>
      <c r="C6" s="57"/>
      <c r="D6" s="58"/>
      <c r="E6" s="59"/>
      <c r="F6" s="57"/>
      <c r="G6" s="58"/>
      <c r="H6" s="59"/>
      <c r="I6" s="57"/>
      <c r="J6" s="58"/>
      <c r="K6" s="59"/>
      <c r="L6" s="57"/>
      <c r="M6" s="58"/>
      <c r="N6" s="59"/>
      <c r="O6" s="57"/>
      <c r="P6" s="58"/>
      <c r="Q6" s="59"/>
      <c r="T6" s="60" t="s">
        <v>42</v>
      </c>
      <c r="U6" s="14" t="s">
        <v>478</v>
      </c>
      <c r="V6" s="14">
        <v>0.25</v>
      </c>
    </row>
    <row r="7" spans="2:23" ht="15" thickBot="1">
      <c r="B7" s="48" t="s">
        <v>22</v>
      </c>
      <c r="C7" s="48"/>
      <c r="E7" s="51"/>
      <c r="F7" s="48"/>
      <c r="H7" s="51"/>
      <c r="I7" s="48"/>
      <c r="K7" s="51"/>
      <c r="L7" s="48"/>
      <c r="N7" s="51"/>
      <c r="O7" s="48"/>
      <c r="Q7" s="51"/>
      <c r="T7" s="52"/>
      <c r="U7" s="52" t="s">
        <v>479</v>
      </c>
      <c r="V7" s="52">
        <v>0.19</v>
      </c>
    </row>
    <row r="8" spans="2:23" ht="15" thickTop="1">
      <c r="B8" s="48" t="s">
        <v>480</v>
      </c>
      <c r="C8" s="48"/>
      <c r="E8" s="51"/>
      <c r="F8" s="48"/>
      <c r="H8" s="51"/>
      <c r="I8" s="48"/>
      <c r="K8" s="51"/>
      <c r="L8" s="48"/>
      <c r="N8" s="51"/>
      <c r="O8" s="48"/>
      <c r="Q8" s="51"/>
      <c r="T8" s="82" t="s">
        <v>481</v>
      </c>
      <c r="U8" s="54" t="s">
        <v>482</v>
      </c>
      <c r="V8" s="54">
        <v>0.2</v>
      </c>
      <c r="W8" t="s">
        <v>483</v>
      </c>
    </row>
    <row r="9" spans="2:23">
      <c r="B9" s="48" t="s">
        <v>484</v>
      </c>
      <c r="C9" s="48">
        <f t="shared" ref="C9:Q9" si="0">C7*$V$13</f>
        <v>0</v>
      </c>
      <c r="D9">
        <f t="shared" si="0"/>
        <v>0</v>
      </c>
      <c r="E9" s="51">
        <f t="shared" si="0"/>
        <v>0</v>
      </c>
      <c r="F9" s="48">
        <f t="shared" si="0"/>
        <v>0</v>
      </c>
      <c r="G9">
        <f t="shared" si="0"/>
        <v>0</v>
      </c>
      <c r="H9" s="51">
        <f t="shared" si="0"/>
        <v>0</v>
      </c>
      <c r="I9" s="48">
        <f t="shared" si="0"/>
        <v>0</v>
      </c>
      <c r="J9">
        <f t="shared" si="0"/>
        <v>0</v>
      </c>
      <c r="K9" s="51">
        <f t="shared" si="0"/>
        <v>0</v>
      </c>
      <c r="L9" s="48">
        <f t="shared" si="0"/>
        <v>0</v>
      </c>
      <c r="M9">
        <f t="shared" si="0"/>
        <v>0</v>
      </c>
      <c r="N9" s="51">
        <f t="shared" si="0"/>
        <v>0</v>
      </c>
      <c r="O9" s="48">
        <f t="shared" si="0"/>
        <v>0</v>
      </c>
      <c r="P9">
        <f t="shared" si="0"/>
        <v>0</v>
      </c>
      <c r="Q9" s="51">
        <f t="shared" si="0"/>
        <v>0</v>
      </c>
      <c r="T9" s="14"/>
      <c r="U9" s="14" t="s">
        <v>485</v>
      </c>
      <c r="V9" s="14">
        <v>0.86</v>
      </c>
    </row>
    <row r="10" spans="2:23" ht="15" thickBot="1">
      <c r="B10" s="48" t="s">
        <v>37</v>
      </c>
      <c r="C10" s="48"/>
      <c r="E10" s="51"/>
      <c r="F10" s="48"/>
      <c r="H10" s="51"/>
      <c r="I10" s="48"/>
      <c r="K10" s="51"/>
      <c r="L10" s="48"/>
      <c r="N10" s="51"/>
      <c r="O10" s="48"/>
      <c r="Q10" s="51"/>
      <c r="T10" s="52"/>
      <c r="U10" s="52" t="s">
        <v>486</v>
      </c>
      <c r="V10" s="52">
        <v>0.14499999999999999</v>
      </c>
    </row>
    <row r="11" spans="2:23" ht="15" thickTop="1">
      <c r="B11" s="48" t="s">
        <v>487</v>
      </c>
      <c r="C11" s="48">
        <f>C8-C10</f>
        <v>0</v>
      </c>
      <c r="D11">
        <f t="shared" ref="D11:Q11" si="1">D8-D10</f>
        <v>0</v>
      </c>
      <c r="E11" s="51">
        <f t="shared" si="1"/>
        <v>0</v>
      </c>
      <c r="F11" s="48">
        <f t="shared" si="1"/>
        <v>0</v>
      </c>
      <c r="G11">
        <f t="shared" si="1"/>
        <v>0</v>
      </c>
      <c r="H11" s="51">
        <f t="shared" si="1"/>
        <v>0</v>
      </c>
      <c r="I11" s="48">
        <f t="shared" si="1"/>
        <v>0</v>
      </c>
      <c r="J11">
        <f t="shared" si="1"/>
        <v>0</v>
      </c>
      <c r="K11" s="51">
        <f t="shared" si="1"/>
        <v>0</v>
      </c>
      <c r="L11" s="48">
        <f t="shared" si="1"/>
        <v>0</v>
      </c>
      <c r="M11">
        <f t="shared" si="1"/>
        <v>0</v>
      </c>
      <c r="N11" s="51">
        <f t="shared" si="1"/>
        <v>0</v>
      </c>
      <c r="O11" s="48">
        <f t="shared" si="1"/>
        <v>0</v>
      </c>
      <c r="P11">
        <f t="shared" si="1"/>
        <v>0</v>
      </c>
      <c r="Q11" s="51">
        <f t="shared" si="1"/>
        <v>0</v>
      </c>
      <c r="T11" s="82" t="s">
        <v>43</v>
      </c>
      <c r="U11" s="54" t="s">
        <v>488</v>
      </c>
      <c r="V11" s="54">
        <v>0.499</v>
      </c>
    </row>
    <row r="12" spans="2:23" ht="15" thickBot="1">
      <c r="B12" s="48"/>
      <c r="C12" s="48"/>
      <c r="E12" s="51"/>
      <c r="F12" s="48"/>
      <c r="H12" s="51"/>
      <c r="I12" s="48"/>
      <c r="K12" s="51"/>
      <c r="L12" s="48"/>
      <c r="N12" s="51"/>
      <c r="O12" s="48"/>
      <c r="Q12" s="51"/>
      <c r="T12" s="52"/>
      <c r="U12" s="52" t="s">
        <v>489</v>
      </c>
      <c r="V12" s="52">
        <v>0.54600000000000004</v>
      </c>
    </row>
    <row r="13" spans="2:23" ht="15.6" thickTop="1" thickBot="1">
      <c r="B13" s="47" t="s">
        <v>42</v>
      </c>
      <c r="C13" s="47">
        <f>IF(C8&lt;=50000,C11*$V$7,C11*$V$6)</f>
        <v>0</v>
      </c>
      <c r="D13" s="46">
        <f t="shared" ref="D13:Q13" si="2">IF(D8&lt;=50000,D11*$V$7,D11*$V$6)</f>
        <v>0</v>
      </c>
      <c r="E13" s="50">
        <f t="shared" si="2"/>
        <v>0</v>
      </c>
      <c r="F13" s="47">
        <f t="shared" si="2"/>
        <v>0</v>
      </c>
      <c r="G13" s="46">
        <f t="shared" si="2"/>
        <v>0</v>
      </c>
      <c r="H13" s="50">
        <f t="shared" si="2"/>
        <v>0</v>
      </c>
      <c r="I13" s="47">
        <f t="shared" si="2"/>
        <v>0</v>
      </c>
      <c r="J13" s="46">
        <f t="shared" si="2"/>
        <v>0</v>
      </c>
      <c r="K13" s="50">
        <f t="shared" si="2"/>
        <v>0</v>
      </c>
      <c r="L13" s="47">
        <f t="shared" si="2"/>
        <v>0</v>
      </c>
      <c r="M13" s="46">
        <f t="shared" si="2"/>
        <v>0</v>
      </c>
      <c r="N13" s="50">
        <f t="shared" si="2"/>
        <v>0</v>
      </c>
      <c r="O13" s="47">
        <f t="shared" si="2"/>
        <v>0</v>
      </c>
      <c r="P13" s="46">
        <f t="shared" si="2"/>
        <v>0</v>
      </c>
      <c r="Q13" s="50">
        <f t="shared" si="2"/>
        <v>0</v>
      </c>
      <c r="T13" s="83" t="s">
        <v>484</v>
      </c>
      <c r="U13" s="84"/>
      <c r="V13" s="84">
        <v>0.2</v>
      </c>
    </row>
    <row r="14" spans="2:23" ht="15" thickTop="1">
      <c r="B14" s="60" t="s">
        <v>490</v>
      </c>
      <c r="C14" s="48"/>
      <c r="E14" s="51"/>
      <c r="F14" s="48"/>
      <c r="H14" s="51"/>
      <c r="I14" s="48"/>
      <c r="K14" s="51"/>
      <c r="L14" s="48"/>
      <c r="N14" s="51"/>
      <c r="O14" s="48"/>
      <c r="Q14" s="51"/>
      <c r="T14" s="82" t="s">
        <v>44</v>
      </c>
      <c r="U14" s="54" t="s">
        <v>491</v>
      </c>
      <c r="V14" s="54"/>
      <c r="W14" t="s">
        <v>492</v>
      </c>
    </row>
    <row r="15" spans="2:23">
      <c r="B15" s="48" t="s">
        <v>493</v>
      </c>
      <c r="C15" s="48">
        <f>'R&amp;D'!B11</f>
        <v>0</v>
      </c>
      <c r="D15">
        <f>'R&amp;D'!C11</f>
        <v>0</v>
      </c>
      <c r="E15" s="51">
        <f>'R&amp;D'!D11</f>
        <v>0</v>
      </c>
      <c r="F15" s="48">
        <f>'R&amp;D'!B12</f>
        <v>0</v>
      </c>
      <c r="G15">
        <f>'R&amp;D'!C12</f>
        <v>0</v>
      </c>
      <c r="H15" s="51">
        <f>'R&amp;D'!D12</f>
        <v>0</v>
      </c>
      <c r="I15" s="48">
        <f>'R&amp;D'!B13</f>
        <v>0</v>
      </c>
      <c r="J15">
        <f>'R&amp;D'!C13</f>
        <v>0</v>
      </c>
      <c r="K15" s="51">
        <f>'R&amp;D'!D13</f>
        <v>0</v>
      </c>
      <c r="L15" s="48">
        <f>'R&amp;D'!B14</f>
        <v>0</v>
      </c>
      <c r="M15">
        <f>'R&amp;D'!C14</f>
        <v>0</v>
      </c>
      <c r="N15" s="51">
        <f>'R&amp;D'!D14</f>
        <v>0</v>
      </c>
      <c r="O15" s="48">
        <f>'R&amp;D'!B15</f>
        <v>0</v>
      </c>
      <c r="P15">
        <f>'R&amp;D'!C15</f>
        <v>0</v>
      </c>
      <c r="Q15" s="51">
        <f>'R&amp;D'!D15</f>
        <v>0</v>
      </c>
      <c r="T15" s="14"/>
      <c r="U15" s="14" t="s">
        <v>494</v>
      </c>
      <c r="V15" s="14"/>
    </row>
    <row r="16" spans="2:23">
      <c r="B16" s="48" t="s">
        <v>495</v>
      </c>
      <c r="C16" s="48" t="e">
        <f>C15/C7</f>
        <v>#DIV/0!</v>
      </c>
      <c r="D16" t="e">
        <f t="shared" ref="D16:Q16" si="3">D15/D7</f>
        <v>#DIV/0!</v>
      </c>
      <c r="E16" s="51" t="e">
        <f t="shared" si="3"/>
        <v>#DIV/0!</v>
      </c>
      <c r="F16" s="48" t="e">
        <f t="shared" si="3"/>
        <v>#DIV/0!</v>
      </c>
      <c r="G16" t="e">
        <f t="shared" si="3"/>
        <v>#DIV/0!</v>
      </c>
      <c r="H16" s="51" t="e">
        <f t="shared" si="3"/>
        <v>#DIV/0!</v>
      </c>
      <c r="I16" s="48" t="e">
        <f t="shared" si="3"/>
        <v>#DIV/0!</v>
      </c>
      <c r="J16" t="e">
        <f t="shared" si="3"/>
        <v>#DIV/0!</v>
      </c>
      <c r="K16" s="51" t="e">
        <f t="shared" si="3"/>
        <v>#DIV/0!</v>
      </c>
      <c r="L16" s="48" t="e">
        <f t="shared" si="3"/>
        <v>#DIV/0!</v>
      </c>
      <c r="M16" t="e">
        <f t="shared" si="3"/>
        <v>#DIV/0!</v>
      </c>
      <c r="N16" s="51" t="e">
        <f t="shared" si="3"/>
        <v>#DIV/0!</v>
      </c>
      <c r="O16" s="48" t="e">
        <f t="shared" si="3"/>
        <v>#DIV/0!</v>
      </c>
      <c r="P16" t="e">
        <f t="shared" si="3"/>
        <v>#DIV/0!</v>
      </c>
      <c r="Q16" s="51" t="e">
        <f t="shared" si="3"/>
        <v>#DIV/0!</v>
      </c>
    </row>
    <row r="17" spans="2:20">
      <c r="B17" s="48"/>
      <c r="C17" s="48"/>
      <c r="E17" s="51"/>
      <c r="F17" s="48"/>
      <c r="H17" s="51"/>
      <c r="I17" s="48"/>
      <c r="K17" s="51"/>
      <c r="L17" s="48"/>
      <c r="N17" s="51"/>
      <c r="O17" s="48"/>
      <c r="Q17" s="51"/>
    </row>
    <row r="18" spans="2:20">
      <c r="B18" s="48" t="s">
        <v>496</v>
      </c>
      <c r="C18" s="48" t="e">
        <f>IF(C16&gt;0.3&amp;C8&lt;0,1.86*C15,"N/A")</f>
        <v>#DIV/0!</v>
      </c>
      <c r="D18" t="e">
        <f t="shared" ref="D18:Q18" si="4">IF(D16&gt;0.3&amp;D8&lt;0,1.86*D15,"N/A")</f>
        <v>#DIV/0!</v>
      </c>
      <c r="E18" s="51" t="e">
        <f t="shared" si="4"/>
        <v>#DIV/0!</v>
      </c>
      <c r="F18" s="48" t="e">
        <f t="shared" si="4"/>
        <v>#DIV/0!</v>
      </c>
      <c r="G18" t="e">
        <f t="shared" si="4"/>
        <v>#DIV/0!</v>
      </c>
      <c r="H18" s="51" t="e">
        <f t="shared" si="4"/>
        <v>#DIV/0!</v>
      </c>
      <c r="I18" s="48" t="e">
        <f t="shared" si="4"/>
        <v>#DIV/0!</v>
      </c>
      <c r="J18" t="e">
        <f t="shared" si="4"/>
        <v>#DIV/0!</v>
      </c>
      <c r="K18" s="51" t="e">
        <f t="shared" si="4"/>
        <v>#DIV/0!</v>
      </c>
      <c r="L18" s="48" t="e">
        <f t="shared" si="4"/>
        <v>#DIV/0!</v>
      </c>
      <c r="M18" t="e">
        <f t="shared" si="4"/>
        <v>#DIV/0!</v>
      </c>
      <c r="N18" s="51" t="e">
        <f t="shared" si="4"/>
        <v>#DIV/0!</v>
      </c>
      <c r="O18" s="48" t="e">
        <f t="shared" si="4"/>
        <v>#DIV/0!</v>
      </c>
      <c r="P18" t="e">
        <f t="shared" si="4"/>
        <v>#DIV/0!</v>
      </c>
      <c r="Q18" s="51" t="e">
        <f t="shared" si="4"/>
        <v>#DIV/0!</v>
      </c>
    </row>
    <row r="19" spans="2:20">
      <c r="B19" s="48"/>
      <c r="C19" s="48"/>
      <c r="E19" s="51"/>
      <c r="F19" s="48"/>
      <c r="H19" s="51"/>
      <c r="I19" s="48"/>
      <c r="K19" s="51"/>
      <c r="L19" s="48"/>
      <c r="N19" s="51"/>
      <c r="O19" s="48"/>
      <c r="Q19" s="51"/>
      <c r="T19" t="s">
        <v>481</v>
      </c>
    </row>
    <row r="20" spans="2:20">
      <c r="B20" s="49" t="s">
        <v>497</v>
      </c>
      <c r="C20" t="str">
        <f>IF(C8&lt;0,IF(C18&gt;0,C18*0.145,0.2*C15*(1-$V$7)),"N/A")</f>
        <v>N/A</v>
      </c>
      <c r="D20" t="str">
        <f t="shared" ref="D20:Q20" si="5">IF(D8&lt;0,IF(D18&gt;0,D18*0.145,0.2*D15*(1-$V$7)),"N/A")</f>
        <v>N/A</v>
      </c>
      <c r="E20" s="51" t="str">
        <f t="shared" si="5"/>
        <v>N/A</v>
      </c>
      <c r="F20" s="48" t="str">
        <f t="shared" si="5"/>
        <v>N/A</v>
      </c>
      <c r="G20" t="str">
        <f t="shared" si="5"/>
        <v>N/A</v>
      </c>
      <c r="H20" s="51" t="str">
        <f t="shared" si="5"/>
        <v>N/A</v>
      </c>
      <c r="I20" s="48" t="str">
        <f t="shared" si="5"/>
        <v>N/A</v>
      </c>
      <c r="J20" t="str">
        <f t="shared" si="5"/>
        <v>N/A</v>
      </c>
      <c r="K20" s="51" t="str">
        <f t="shared" si="5"/>
        <v>N/A</v>
      </c>
      <c r="L20" s="48" t="str">
        <f t="shared" si="5"/>
        <v>N/A</v>
      </c>
      <c r="M20" t="str">
        <f t="shared" si="5"/>
        <v>N/A</v>
      </c>
      <c r="N20" s="51" t="str">
        <f t="shared" si="5"/>
        <v>N/A</v>
      </c>
      <c r="O20" s="48" t="str">
        <f t="shared" si="5"/>
        <v>N/A</v>
      </c>
      <c r="P20" t="str">
        <f t="shared" si="5"/>
        <v>N/A</v>
      </c>
      <c r="Q20" s="51" t="str">
        <f t="shared" si="5"/>
        <v>N/A</v>
      </c>
    </row>
    <row r="21" spans="2:20" ht="15" thickBot="1">
      <c r="B21" s="47" t="s">
        <v>498</v>
      </c>
      <c r="C21" s="47" t="str">
        <f>IF(C8&gt;0,IF(C8&gt;50000,C15*0.2*(1-$V$6),C15*0.2*(1-$V$7)),"N/A")</f>
        <v>N/A</v>
      </c>
      <c r="D21" s="46" t="str">
        <f t="shared" ref="D21:Q21" si="6">IF(D8&gt;0,IF(D8&gt;50000,D15*0.2*(1-$V$6),D15*0.2*(1-$V$7)),"N/A")</f>
        <v>N/A</v>
      </c>
      <c r="E21" s="50" t="str">
        <f t="shared" si="6"/>
        <v>N/A</v>
      </c>
      <c r="F21" s="47" t="str">
        <f t="shared" si="6"/>
        <v>N/A</v>
      </c>
      <c r="G21" s="46" t="str">
        <f t="shared" si="6"/>
        <v>N/A</v>
      </c>
      <c r="H21" s="50" t="str">
        <f t="shared" si="6"/>
        <v>N/A</v>
      </c>
      <c r="I21" s="47" t="str">
        <f t="shared" si="6"/>
        <v>N/A</v>
      </c>
      <c r="J21" s="46" t="str">
        <f t="shared" si="6"/>
        <v>N/A</v>
      </c>
      <c r="K21" s="50" t="str">
        <f t="shared" si="6"/>
        <v>N/A</v>
      </c>
      <c r="L21" s="47" t="str">
        <f t="shared" si="6"/>
        <v>N/A</v>
      </c>
      <c r="M21" s="46" t="str">
        <f t="shared" si="6"/>
        <v>N/A</v>
      </c>
      <c r="N21" s="50" t="str">
        <f t="shared" si="6"/>
        <v>N/A</v>
      </c>
      <c r="O21" s="47" t="str">
        <f t="shared" si="6"/>
        <v>N/A</v>
      </c>
      <c r="P21" s="46" t="str">
        <f t="shared" si="6"/>
        <v>N/A</v>
      </c>
      <c r="Q21" s="50" t="str">
        <f t="shared" si="6"/>
        <v>N/A</v>
      </c>
    </row>
    <row r="22" spans="2:20" ht="15" thickTop="1">
      <c r="B22" s="60" t="s">
        <v>499</v>
      </c>
      <c r="C22" s="48"/>
      <c r="E22" s="51"/>
      <c r="F22" s="48"/>
      <c r="H22" s="51"/>
      <c r="I22" s="48"/>
      <c r="K22" s="51"/>
      <c r="L22" s="48"/>
      <c r="N22" s="51"/>
      <c r="O22" s="48"/>
      <c r="Q22" s="51"/>
      <c r="T22" t="s">
        <v>500</v>
      </c>
    </row>
    <row r="23" spans="2:20">
      <c r="B23" s="48" t="s">
        <v>501</v>
      </c>
      <c r="C23" s="48"/>
      <c r="E23" s="51"/>
      <c r="F23" s="48"/>
      <c r="H23" s="51"/>
      <c r="I23" s="48"/>
      <c r="K23" s="51"/>
      <c r="L23" s="48"/>
      <c r="N23" s="51"/>
      <c r="O23" s="48"/>
      <c r="Q23" s="51"/>
      <c r="T23" t="s">
        <v>502</v>
      </c>
    </row>
    <row r="24" spans="2:20">
      <c r="B24" s="48" t="s">
        <v>503</v>
      </c>
      <c r="C24" s="48"/>
      <c r="E24" s="51"/>
      <c r="F24" s="48"/>
      <c r="H24" s="51"/>
      <c r="I24" s="48"/>
      <c r="K24" s="51"/>
      <c r="L24" s="48"/>
      <c r="N24" s="51"/>
      <c r="O24" s="48"/>
      <c r="Q24" s="51"/>
      <c r="T24" t="s">
        <v>504</v>
      </c>
    </row>
    <row r="25" spans="2:20">
      <c r="B25" s="48"/>
      <c r="C25" s="48"/>
      <c r="E25" s="51"/>
      <c r="F25" s="48"/>
      <c r="H25" s="51"/>
      <c r="I25" s="48"/>
      <c r="K25" s="51"/>
      <c r="L25" s="48"/>
      <c r="N25" s="51"/>
      <c r="O25" s="48"/>
      <c r="Q25" s="51"/>
      <c r="T25" t="s">
        <v>505</v>
      </c>
    </row>
    <row r="26" spans="2:20" ht="15" thickBot="1">
      <c r="B26" s="47" t="s">
        <v>506</v>
      </c>
      <c r="C26" s="47">
        <f t="shared" ref="C26:Q26" si="7">(C23*$V$14)+(C24*$V$15)</f>
        <v>0</v>
      </c>
      <c r="D26" s="46">
        <f t="shared" si="7"/>
        <v>0</v>
      </c>
      <c r="E26" s="50">
        <f t="shared" si="7"/>
        <v>0</v>
      </c>
      <c r="F26" s="47">
        <f t="shared" si="7"/>
        <v>0</v>
      </c>
      <c r="G26" s="46">
        <f t="shared" si="7"/>
        <v>0</v>
      </c>
      <c r="H26" s="50">
        <f t="shared" si="7"/>
        <v>0</v>
      </c>
      <c r="I26" s="47">
        <f t="shared" si="7"/>
        <v>0</v>
      </c>
      <c r="J26" s="46">
        <f t="shared" si="7"/>
        <v>0</v>
      </c>
      <c r="K26" s="50">
        <f t="shared" si="7"/>
        <v>0</v>
      </c>
      <c r="L26" s="47">
        <f t="shared" si="7"/>
        <v>0</v>
      </c>
      <c r="M26" s="46">
        <f t="shared" si="7"/>
        <v>0</v>
      </c>
      <c r="N26" s="50">
        <f t="shared" si="7"/>
        <v>0</v>
      </c>
      <c r="O26" s="47">
        <f t="shared" si="7"/>
        <v>0</v>
      </c>
      <c r="P26" s="46">
        <f t="shared" si="7"/>
        <v>0</v>
      </c>
      <c r="Q26" s="50">
        <f t="shared" si="7"/>
        <v>0</v>
      </c>
      <c r="T26" t="s">
        <v>507</v>
      </c>
    </row>
    <row r="27" spans="2:20" ht="15" thickTop="1">
      <c r="B27" s="60" t="s">
        <v>508</v>
      </c>
      <c r="C27" s="48"/>
      <c r="E27" s="51"/>
      <c r="F27" s="48"/>
      <c r="H27" s="51"/>
      <c r="I27" s="48"/>
      <c r="K27" s="51"/>
      <c r="L27" s="48"/>
      <c r="N27" s="51"/>
      <c r="O27" s="48"/>
      <c r="Q27" s="51"/>
      <c r="T27" t="s">
        <v>509</v>
      </c>
    </row>
    <row r="28" spans="2:20">
      <c r="B28" s="48" t="s">
        <v>510</v>
      </c>
      <c r="C28" s="48"/>
      <c r="E28" s="51"/>
      <c r="F28" s="48"/>
      <c r="H28" s="51"/>
      <c r="I28" s="48"/>
      <c r="K28" s="51"/>
      <c r="L28" s="48"/>
      <c r="N28" s="51"/>
      <c r="O28" s="48"/>
      <c r="Q28" s="51"/>
      <c r="T28" t="s">
        <v>511</v>
      </c>
    </row>
    <row r="29" spans="2:20">
      <c r="B29" s="48"/>
      <c r="C29" s="48"/>
      <c r="E29" s="51"/>
      <c r="F29" s="48"/>
      <c r="H29" s="51"/>
      <c r="I29" s="48"/>
      <c r="K29" s="51"/>
      <c r="L29" s="48"/>
      <c r="N29" s="51"/>
      <c r="O29" s="48"/>
      <c r="Q29" s="51"/>
      <c r="T29" t="s">
        <v>512</v>
      </c>
    </row>
    <row r="30" spans="2:20" ht="15" thickBot="1">
      <c r="B30" s="47" t="s">
        <v>513</v>
      </c>
      <c r="C30" s="47">
        <f t="shared" ref="C30:Q30" si="8">IF(C28&lt;50000,$V$11*C28,$V$12*C28)</f>
        <v>0</v>
      </c>
      <c r="D30" s="46">
        <f t="shared" si="8"/>
        <v>0</v>
      </c>
      <c r="E30" s="50">
        <f t="shared" si="8"/>
        <v>0</v>
      </c>
      <c r="F30" s="47">
        <f t="shared" si="8"/>
        <v>0</v>
      </c>
      <c r="G30" s="46">
        <f t="shared" si="8"/>
        <v>0</v>
      </c>
      <c r="H30" s="50">
        <f t="shared" si="8"/>
        <v>0</v>
      </c>
      <c r="I30" s="47">
        <f t="shared" si="8"/>
        <v>0</v>
      </c>
      <c r="J30" s="46">
        <f t="shared" si="8"/>
        <v>0</v>
      </c>
      <c r="K30" s="50">
        <f t="shared" si="8"/>
        <v>0</v>
      </c>
      <c r="L30" s="47">
        <f t="shared" si="8"/>
        <v>0</v>
      </c>
      <c r="M30" s="46">
        <f t="shared" si="8"/>
        <v>0</v>
      </c>
      <c r="N30" s="50">
        <f t="shared" si="8"/>
        <v>0</v>
      </c>
      <c r="O30" s="47">
        <f t="shared" si="8"/>
        <v>0</v>
      </c>
      <c r="P30" s="46">
        <f t="shared" si="8"/>
        <v>0</v>
      </c>
      <c r="Q30" s="50">
        <f t="shared" si="8"/>
        <v>0</v>
      </c>
      <c r="T30" t="s">
        <v>514</v>
      </c>
    </row>
    <row r="31" spans="2:20" ht="15" thickTop="1">
      <c r="B31" s="60" t="s">
        <v>46</v>
      </c>
      <c r="C31" s="53" t="e">
        <f>C13+C26+C30-IF(C8&gt;0,C21,C20)</f>
        <v>#VALUE!</v>
      </c>
      <c r="D31" s="56" t="e">
        <f t="shared" ref="D31:Q31" si="9">D13+D26+D30-IF(D8&gt;0,D21,D20)</f>
        <v>#VALUE!</v>
      </c>
      <c r="E31" s="55" t="e">
        <f t="shared" si="9"/>
        <v>#VALUE!</v>
      </c>
      <c r="F31" s="53" t="e">
        <f t="shared" si="9"/>
        <v>#VALUE!</v>
      </c>
      <c r="G31" s="56" t="e">
        <f t="shared" si="9"/>
        <v>#VALUE!</v>
      </c>
      <c r="H31" s="55" t="e">
        <f t="shared" si="9"/>
        <v>#VALUE!</v>
      </c>
      <c r="I31" s="53" t="e">
        <f t="shared" si="9"/>
        <v>#VALUE!</v>
      </c>
      <c r="J31" s="56" t="e">
        <f t="shared" si="9"/>
        <v>#VALUE!</v>
      </c>
      <c r="K31" s="55" t="e">
        <f t="shared" si="9"/>
        <v>#VALUE!</v>
      </c>
      <c r="L31" s="53" t="e">
        <f t="shared" si="9"/>
        <v>#VALUE!</v>
      </c>
      <c r="M31" s="56" t="e">
        <f t="shared" si="9"/>
        <v>#VALUE!</v>
      </c>
      <c r="N31" s="55" t="e">
        <f t="shared" si="9"/>
        <v>#VALUE!</v>
      </c>
      <c r="O31" s="53" t="e">
        <f t="shared" si="9"/>
        <v>#VALUE!</v>
      </c>
      <c r="P31" s="56" t="e">
        <f t="shared" si="9"/>
        <v>#VALUE!</v>
      </c>
      <c r="Q31" s="55" t="e">
        <f t="shared" si="9"/>
        <v>#VALUE!</v>
      </c>
    </row>
    <row r="32" spans="2:20">
      <c r="T32" t="s">
        <v>477</v>
      </c>
    </row>
    <row r="34" spans="20:28">
      <c r="T34" t="s">
        <v>515</v>
      </c>
    </row>
    <row r="35" spans="20:28">
      <c r="T35" t="s">
        <v>516</v>
      </c>
    </row>
    <row r="37" spans="20:28">
      <c r="T37" t="s">
        <v>517</v>
      </c>
    </row>
    <row r="38" spans="20:28">
      <c r="T38" t="s">
        <v>518</v>
      </c>
    </row>
    <row r="40" spans="20:28">
      <c r="T40" t="s">
        <v>484</v>
      </c>
      <c r="U40" t="s">
        <v>519</v>
      </c>
    </row>
    <row r="42" spans="20:28">
      <c r="T42" t="s">
        <v>499</v>
      </c>
    </row>
    <row r="44" spans="20:28">
      <c r="T44" t="s">
        <v>506</v>
      </c>
    </row>
    <row r="45" spans="20:28">
      <c r="T45" t="s">
        <v>520</v>
      </c>
      <c r="AB45" t="s">
        <v>521</v>
      </c>
    </row>
    <row r="47" spans="20:28">
      <c r="T47" t="s">
        <v>522</v>
      </c>
    </row>
    <row r="49" spans="20:25">
      <c r="T49" t="s">
        <v>523</v>
      </c>
    </row>
    <row r="51" spans="20:25">
      <c r="T51" t="s">
        <v>6</v>
      </c>
      <c r="U51" t="s">
        <v>524</v>
      </c>
      <c r="V51" t="s">
        <v>525</v>
      </c>
      <c r="Y51" t="s">
        <v>526</v>
      </c>
    </row>
    <row r="52" spans="20:25">
      <c r="T52" t="s">
        <v>527</v>
      </c>
      <c r="U52" t="s">
        <v>528</v>
      </c>
      <c r="V52" t="s">
        <v>529</v>
      </c>
    </row>
  </sheetData>
  <mergeCells count="5">
    <mergeCell ref="C4:E4"/>
    <mergeCell ref="F4:H4"/>
    <mergeCell ref="I4:K4"/>
    <mergeCell ref="L4:N4"/>
    <mergeCell ref="O4:Q4"/>
  </mergeCells>
  <phoneticPr fontId="23" type="noConversion"/>
  <pageMargins left="0.7" right="0.7" top="0.75" bottom="0.75" header="0.3" footer="0.3"/>
</worksheet>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Maclean-Howell</dc:creator>
  <cp:keywords/>
  <dc:description/>
  <cp:lastModifiedBy>Houng Xuen Ooi</cp:lastModifiedBy>
  <cp:revision/>
  <dcterms:created xsi:type="dcterms:W3CDTF">2024-05-06T16:29:39Z</dcterms:created>
  <dcterms:modified xsi:type="dcterms:W3CDTF">2024-05-16T17:20:24Z</dcterms:modified>
  <cp:category/>
  <cp:contentStatus/>
</cp:coreProperties>
</file>