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tif" ContentType="image/tif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x size Rosenthal Henderson" sheetId="1" state="visible" r:id="rId2"/>
    <sheet name="focus &amp; dose" sheetId="2" state="visible" r:id="rId3"/>
  </sheets>
  <definedNames>
    <definedName function="false" hidden="false" name="tst" vbProcedure="false">[1]focus!#ref!</definedName>
    <definedName function="false" hidden="false" localSheetId="0" name="tst" vbProcedure="false">[1]focus!#ref!</definedName>
    <definedName function="false" hidden="false" localSheetId="1" name="tst" vbProcedure="false">[1]focus!#ref!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<sst xmlns="http://schemas.openxmlformats.org/spreadsheetml/2006/main" count="69" uniqueCount="43">
  <si>
    <t xml:space="preserve">Box size</t>
  </si>
  <si>
    <t xml:space="preserve">Rosenthal &amp; Henderson (2003) JMB, 333, 721-745</t>
  </si>
  <si>
    <t xml:space="preserve">CCPEM discussion</t>
  </si>
  <si>
    <t xml:space="preserve">Microscope</t>
  </si>
  <si>
    <t xml:space="preserve">Krios</t>
  </si>
  <si>
    <t xml:space="preserve">&lt;--   drop-down list</t>
  </si>
  <si>
    <t xml:space="preserve">particle size</t>
  </si>
  <si>
    <t xml:space="preserve">Å</t>
  </si>
  <si>
    <t xml:space="preserve">m</t>
  </si>
  <si>
    <t xml:space="preserve">pixel</t>
  </si>
  <si>
    <t xml:space="preserve">low defocus</t>
  </si>
  <si>
    <t xml:space="preserve">nm</t>
  </si>
  <si>
    <t xml:space="preserve">high defocus</t>
  </si>
  <si>
    <t xml:space="preserve">Lambda</t>
  </si>
  <si>
    <t xml:space="preserve">Cs</t>
  </si>
  <si>
    <t xml:space="preserve">Res achieved</t>
  </si>
  <si>
    <t xml:space="preserve">ub pixels</t>
  </si>
  <si>
    <t xml:space="preserve">High defocus:</t>
  </si>
  <si>
    <t xml:space="preserve">Nyquist [Å]</t>
  </si>
  <si>
    <t xml:space="preserve">Particle box size [ub pixel]</t>
  </si>
  <si>
    <t xml:space="preserve">Rescale [pixel]</t>
  </si>
  <si>
    <t xml:space="preserve">box/particle</t>
  </si>
  <si>
    <t xml:space="preserve">bin1</t>
  </si>
  <si>
    <t xml:space="preserve">bin2</t>
  </si>
  <si>
    <t xml:space="preserve">bin4</t>
  </si>
  <si>
    <t xml:space="preserve">bin8</t>
  </si>
  <si>
    <t xml:space="preserve">Nyquist [m]</t>
  </si>
  <si>
    <t xml:space="preserve">R [m]</t>
  </si>
  <si>
    <t xml:space="preserve">box [m]</t>
  </si>
  <si>
    <t xml:space="preserve">box [pixel]</t>
  </si>
  <si>
    <t xml:space="preserve">lambda</t>
  </si>
  <si>
    <t xml:space="preserve">Talos Arctica/Glacios</t>
  </si>
  <si>
    <t xml:space="preserve">Polara</t>
  </si>
  <si>
    <t xml:space="preserve">Tecnai 12</t>
  </si>
  <si>
    <t xml:space="preserve">defocus [µm]</t>
  </si>
  <si>
    <t xml:space="preserve">Dose [e/Å²]</t>
  </si>
  <si>
    <t xml:space="preserve">Linear energy transfer</t>
  </si>
  <si>
    <t xml:space="preserve">300 kV</t>
  </si>
  <si>
    <t xml:space="preserve">200 kV</t>
  </si>
  <si>
    <t xml:space="preserve">120 kV</t>
  </si>
  <si>
    <t xml:space="preserve">KV</t>
  </si>
  <si>
    <t xml:space="preserve">LET [Mev - cm^2/g]</t>
  </si>
  <si>
    <t xml:space="preserve">Talos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</si>
</sst>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General"/>
    <numFmt numFmtId="167" formatCode="0.00"/>
    <numFmt numFmtId="168" formatCode="0"/>
    <numFmt numFmtId="169" formatCode="0.000E+00"/>
    <numFmt numFmtId="170" formatCode="0.000000"/>
  </numFmts>
  <fonts count="9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2"/>
      <charset val="1"/>
    </font>
    <font>
      <u val="single"/>
      <sz val="10"/>
      <color rgb="FF0563C1"/>
      <name val="Verdana"/>
      <family val="2"/>
      <charset val="1"/>
    </font>
    <font>
      <sz val="10"/>
      <name val="Verdana"/>
      <family val="2"/>
      <charset val="1"/>
    </font>
    <font>
      <sz val="13"/>
      <color rgb="FF000000"/>
      <name val="Arial Unicode MS"/>
      <family val="2"/>
      <charset val="1"/>
    </font>
    <font>
      <b val="true"/>
      <sz val="10"/>
      <color rgb="FFFF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C5E0B4"/>
      </patternFill>
    </fill>
    <fill>
      <patternFill patternType="solid">
        <fgColor rgb="FFC5E0B4"/>
        <bgColor rgb="FFBDD7EE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t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80640</xdr:colOff>
      <xdr:row>34</xdr:row>
      <xdr:rowOff>55440</xdr:rowOff>
    </xdr:from>
    <xdr:to>
      <xdr:col>4</xdr:col>
      <xdr:colOff>1010880</xdr:colOff>
      <xdr:row>48</xdr:row>
      <xdr:rowOff>126360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80640" y="5646600"/>
          <a:ext cx="7058160" cy="2337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ciencedirect.com/science/article/pii/S0022283603010222" TargetMode="External"/><Relationship Id="rId2" Type="http://schemas.openxmlformats.org/officeDocument/2006/relationships/hyperlink" Target="https://www.jiscmail.ac.uk/cgi-bin/webadmin?A2=ccpem;e433702b.1412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10.59375" defaultRowHeight="12.7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19.83"/>
    <col collapsed="false" customWidth="true" hidden="false" outlineLevel="0" max="3" min="3" style="0" width="25.17"/>
    <col collapsed="false" customWidth="true" hidden="false" outlineLevel="0" max="4" min="4" style="0" width="16.5"/>
    <col collapsed="false" customWidth="true" hidden="false" outlineLevel="0" max="5" min="5" style="0" width="12.83"/>
    <col collapsed="false" customWidth="true" hidden="false" outlineLevel="0" max="6" min="6" style="0" width="2.33"/>
    <col collapsed="false" customWidth="true" hidden="false" outlineLevel="0" max="7" min="7" style="1" width="15.5"/>
    <col collapsed="false" customWidth="true" hidden="false" outlineLevel="0" max="8" min="8" style="1" width="9.66"/>
    <col collapsed="false" customWidth="true" hidden="false" outlineLevel="0" max="9" min="9" style="1" width="10.66"/>
    <col collapsed="false" customWidth="true" hidden="false" outlineLevel="0" max="10" min="10" style="1" width="2.17"/>
    <col collapsed="false" customWidth="true" hidden="false" outlineLevel="0" max="11" min="11" style="1" width="8.66"/>
    <col collapsed="false" customWidth="true" hidden="false" outlineLevel="0" max="12" min="12" style="1" width="8.5"/>
    <col collapsed="false" customWidth="true" hidden="false" outlineLevel="0" max="13" min="13" style="1" width="10.33"/>
    <col collapsed="false" customWidth="true" hidden="false" outlineLevel="0" max="14" min="14" style="1" width="1.83"/>
    <col collapsed="false" customWidth="true" hidden="false" outlineLevel="0" max="15" min="15" style="1" width="4.17"/>
    <col collapsed="false" customWidth="true" hidden="false" outlineLevel="0" max="16" min="16" style="1" width="20.33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3"/>
      <c r="F1" s="4"/>
      <c r="G1" s="5"/>
      <c r="H1" s="5"/>
      <c r="I1" s="5"/>
      <c r="K1" s="5"/>
      <c r="L1" s="5"/>
      <c r="M1" s="5"/>
      <c r="O1" s="5"/>
      <c r="P1" s="5"/>
      <c r="Q1" s="6"/>
    </row>
    <row r="2" customFormat="false" ht="12.75" hidden="false" customHeight="false" outlineLevel="0" collapsed="false">
      <c r="A2" s="7"/>
      <c r="B2" s="3" t="s">
        <v>2</v>
      </c>
      <c r="C2" s="3"/>
      <c r="D2" s="3"/>
      <c r="E2" s="3"/>
      <c r="F2" s="1"/>
      <c r="O2" s="5"/>
      <c r="P2" s="5"/>
    </row>
    <row r="3" customFormat="false" ht="19.5" hidden="false" customHeight="false" outlineLevel="0" collapsed="false">
      <c r="A3" s="1"/>
      <c r="B3" s="8"/>
      <c r="C3" s="1"/>
      <c r="D3" s="1"/>
      <c r="E3" s="1"/>
      <c r="F3" s="1"/>
      <c r="G3" s="2"/>
      <c r="H3" s="2"/>
      <c r="I3" s="2"/>
      <c r="K3" s="2"/>
      <c r="L3" s="2"/>
      <c r="M3" s="2"/>
      <c r="O3" s="2"/>
      <c r="P3" s="2"/>
    </row>
    <row r="4" customFormat="false" ht="12.75" hidden="false" customHeight="false" outlineLevel="0" collapsed="false">
      <c r="A4" s="7" t="s">
        <v>3</v>
      </c>
      <c r="B4" s="9" t="s">
        <v>4</v>
      </c>
      <c r="C4" s="7" t="s">
        <v>5</v>
      </c>
      <c r="D4" s="1"/>
      <c r="E4" s="1"/>
      <c r="F4" s="1"/>
      <c r="G4" s="10"/>
      <c r="H4" s="10"/>
      <c r="I4" s="10"/>
      <c r="J4" s="11"/>
      <c r="K4" s="12"/>
      <c r="L4" s="10"/>
      <c r="M4" s="10"/>
      <c r="P4" s="11"/>
    </row>
    <row r="5" customFormat="false" ht="12.75" hidden="false" customHeight="false" outlineLevel="0" collapsed="false">
      <c r="A5" s="7" t="s">
        <v>6</v>
      </c>
      <c r="B5" s="13" t="n">
        <v>120</v>
      </c>
      <c r="C5" s="1" t="s">
        <v>7</v>
      </c>
      <c r="D5" s="1" t="n">
        <f aca="false">B5*0.0000000001</f>
        <v>1.2E-008</v>
      </c>
      <c r="E5" s="7" t="s">
        <v>8</v>
      </c>
      <c r="F5" s="1"/>
      <c r="G5" s="10"/>
      <c r="H5" s="10"/>
      <c r="I5" s="10"/>
      <c r="J5" s="11"/>
      <c r="K5" s="12"/>
      <c r="L5" s="10"/>
      <c r="M5" s="10"/>
      <c r="P5" s="11"/>
    </row>
    <row r="6" customFormat="false" ht="12.75" hidden="false" customHeight="false" outlineLevel="0" collapsed="false">
      <c r="A6" s="1" t="s">
        <v>9</v>
      </c>
      <c r="B6" s="9" t="n">
        <v>0.8</v>
      </c>
      <c r="C6" s="1" t="s">
        <v>7</v>
      </c>
      <c r="D6" s="1" t="n">
        <f aca="false">B6*0.0000000001</f>
        <v>8E-011</v>
      </c>
      <c r="E6" s="7" t="s">
        <v>8</v>
      </c>
      <c r="F6" s="1"/>
      <c r="G6" s="10"/>
      <c r="H6" s="10"/>
      <c r="I6" s="10"/>
      <c r="J6" s="11"/>
      <c r="K6" s="12"/>
      <c r="L6" s="10"/>
      <c r="M6" s="10"/>
      <c r="P6" s="11"/>
    </row>
    <row r="7" customFormat="false" ht="12.75" hidden="false" customHeight="false" outlineLevel="0" collapsed="false">
      <c r="A7" s="7" t="s">
        <v>10</v>
      </c>
      <c r="B7" s="13" t="n">
        <v>300</v>
      </c>
      <c r="C7" s="14" t="s">
        <v>11</v>
      </c>
      <c r="D7" s="1" t="n">
        <f aca="false">B7*0.000000001</f>
        <v>3E-007</v>
      </c>
      <c r="E7" s="15" t="s">
        <v>8</v>
      </c>
      <c r="F7" s="1"/>
      <c r="G7" s="10"/>
      <c r="H7" s="10"/>
      <c r="I7" s="10"/>
      <c r="J7" s="11"/>
      <c r="K7" s="12"/>
      <c r="L7" s="10"/>
      <c r="M7" s="10"/>
    </row>
    <row r="8" customFormat="false" ht="12.75" hidden="false" customHeight="false" outlineLevel="0" collapsed="false">
      <c r="A8" s="7" t="s">
        <v>12</v>
      </c>
      <c r="B8" s="13" t="n">
        <v>1000</v>
      </c>
      <c r="C8" s="1" t="s">
        <v>11</v>
      </c>
      <c r="D8" s="1" t="n">
        <f aca="false">B8*0.000000001</f>
        <v>1E-006</v>
      </c>
      <c r="E8" s="15" t="s">
        <v>8</v>
      </c>
      <c r="F8" s="1"/>
      <c r="G8" s="12"/>
      <c r="H8" s="10"/>
      <c r="I8" s="10"/>
      <c r="J8" s="11"/>
      <c r="K8" s="10"/>
      <c r="L8" s="10"/>
      <c r="M8" s="10"/>
    </row>
    <row r="9" customFormat="false" ht="12.75" hidden="false" customHeight="false" outlineLevel="0" collapsed="false">
      <c r="A9" s="1"/>
      <c r="B9" s="11"/>
      <c r="C9" s="1"/>
      <c r="D9" s="1"/>
      <c r="E9" s="1"/>
      <c r="F9" s="1"/>
      <c r="G9" s="12"/>
      <c r="H9" s="10"/>
      <c r="I9" s="10"/>
      <c r="J9" s="11"/>
      <c r="K9" s="10"/>
      <c r="L9" s="10"/>
      <c r="M9" s="10"/>
    </row>
    <row r="10" customFormat="false" ht="12.75" hidden="false" customHeight="false" outlineLevel="0" collapsed="false">
      <c r="A10" s="14" t="s">
        <v>13</v>
      </c>
      <c r="B10" s="11" t="n">
        <f aca="false">INDEX(B30:B33,MATCH($B$4,A30:A33,0))</f>
        <v>1.96876239934912E-012</v>
      </c>
      <c r="C10" s="15" t="s">
        <v>8</v>
      </c>
      <c r="D10" s="7"/>
      <c r="E10" s="14"/>
      <c r="F10" s="1"/>
      <c r="G10" s="12"/>
      <c r="H10" s="10"/>
      <c r="I10" s="10"/>
      <c r="J10" s="11"/>
      <c r="K10" s="10"/>
      <c r="L10" s="10"/>
      <c r="M10" s="10"/>
    </row>
    <row r="11" customFormat="false" ht="12.75" hidden="false" customHeight="false" outlineLevel="0" collapsed="false">
      <c r="A11" s="1" t="s">
        <v>14</v>
      </c>
      <c r="B11" s="11" t="n">
        <f aca="false">INDEX(C30:C33,MATCH($B$4,A30:A33,0))</f>
        <v>0.0027</v>
      </c>
      <c r="C11" s="15" t="s">
        <v>8</v>
      </c>
      <c r="D11" s="1"/>
      <c r="E11" s="14"/>
      <c r="F11" s="1"/>
      <c r="G11" s="12"/>
      <c r="H11" s="10"/>
      <c r="I11" s="10"/>
      <c r="J11" s="11"/>
      <c r="K11" s="10"/>
      <c r="L11" s="10"/>
      <c r="M11" s="10"/>
    </row>
    <row r="12" customFormat="false" ht="12.75" hidden="false" customHeight="false" outlineLevel="0" collapsed="false">
      <c r="A12" s="1"/>
      <c r="B12" s="11"/>
      <c r="C12" s="15"/>
      <c r="D12" s="1"/>
      <c r="E12" s="14"/>
      <c r="F12" s="1"/>
      <c r="G12" s="10"/>
      <c r="H12" s="10"/>
      <c r="I12" s="10"/>
      <c r="J12" s="11"/>
      <c r="K12" s="12"/>
      <c r="L12" s="10"/>
      <c r="M12" s="10"/>
    </row>
    <row r="13" customFormat="false" ht="12.75" hidden="false" customHeight="false" outlineLevel="0" collapsed="false">
      <c r="A13" s="2" t="s">
        <v>15</v>
      </c>
      <c r="B13" s="16" t="n">
        <v>1.7</v>
      </c>
      <c r="C13" s="17" t="s">
        <v>7</v>
      </c>
      <c r="D13" s="7" t="n">
        <f aca="false">B13*0.0000000001</f>
        <v>1.7E-010</v>
      </c>
      <c r="E13" s="15" t="s">
        <v>8</v>
      </c>
      <c r="F13" s="1"/>
      <c r="G13" s="10"/>
      <c r="H13" s="10"/>
      <c r="I13" s="10"/>
      <c r="J13" s="11"/>
      <c r="K13" s="12"/>
      <c r="L13" s="10"/>
      <c r="M13" s="10"/>
    </row>
    <row r="14" customFormat="false" ht="12.75" hidden="false" customHeight="false" outlineLevel="0" collapsed="false">
      <c r="A14" s="2" t="s">
        <v>12</v>
      </c>
      <c r="B14" s="18" t="n">
        <f aca="false">ROUND(($D$5+2*(($B$10*D8/$D$13)+($B$11*$B$10^3)/$D$13^3))/$D$6,0)</f>
        <v>544</v>
      </c>
      <c r="C14" s="17" t="s">
        <v>16</v>
      </c>
      <c r="D14" s="7" t="n">
        <f aca="false">B14/(B5/B6)</f>
        <v>3.62666666666667</v>
      </c>
      <c r="E14" s="15"/>
      <c r="F14" s="1"/>
      <c r="G14" s="10"/>
      <c r="H14" s="10"/>
      <c r="I14" s="10"/>
      <c r="J14" s="11"/>
      <c r="K14" s="12"/>
      <c r="L14" s="10"/>
      <c r="M14" s="10"/>
    </row>
    <row r="15" customFormat="false" ht="12.75" hidden="false" customHeight="false" outlineLevel="0" collapsed="false">
      <c r="A15" s="2" t="s">
        <v>10</v>
      </c>
      <c r="B15" s="18" t="n">
        <f aca="false">ROUND(($D$5+2*(($B$10*D7/$D$13)+($B$11*$B$10^3)/$D$13^3))/$D$6,0)</f>
        <v>342</v>
      </c>
      <c r="C15" s="17" t="s">
        <v>16</v>
      </c>
      <c r="D15" s="7"/>
      <c r="E15" s="15"/>
      <c r="F15" s="1"/>
      <c r="G15" s="10"/>
      <c r="H15" s="10"/>
      <c r="I15" s="10"/>
      <c r="J15" s="11"/>
      <c r="K15" s="12"/>
      <c r="L15" s="10"/>
      <c r="M15" s="10"/>
    </row>
    <row r="16" customFormat="false" ht="12.75" hidden="false" customHeight="false" outlineLevel="0" collapsed="false">
      <c r="A16" s="7"/>
      <c r="B16" s="11"/>
      <c r="C16" s="7"/>
      <c r="D16" s="1"/>
      <c r="E16" s="1"/>
      <c r="F16" s="1"/>
      <c r="G16" s="12"/>
      <c r="H16" s="10"/>
      <c r="I16" s="10"/>
      <c r="J16" s="11"/>
      <c r="K16" s="12"/>
      <c r="L16" s="10"/>
      <c r="M16" s="10"/>
    </row>
    <row r="17" customFormat="false" ht="12.75" hidden="false" customHeight="false" outlineLevel="0" collapsed="false">
      <c r="A17" s="19" t="s">
        <v>17</v>
      </c>
      <c r="B17" s="20" t="s">
        <v>18</v>
      </c>
      <c r="C17" s="20" t="s">
        <v>19</v>
      </c>
      <c r="D17" s="20" t="s">
        <v>20</v>
      </c>
      <c r="E17" s="21" t="s">
        <v>21</v>
      </c>
      <c r="F17" s="1"/>
      <c r="G17" s="12"/>
      <c r="H17" s="10"/>
      <c r="I17" s="10"/>
      <c r="J17" s="11"/>
      <c r="K17" s="12"/>
      <c r="L17" s="10"/>
      <c r="M17" s="10"/>
    </row>
    <row r="18" customFormat="false" ht="12.75" hidden="false" customHeight="false" outlineLevel="0" collapsed="false">
      <c r="A18" s="22" t="s">
        <v>22</v>
      </c>
      <c r="B18" s="23" t="n">
        <f aca="false">B24*10000000000</f>
        <v>1.6</v>
      </c>
      <c r="C18" s="24" t="n">
        <f aca="false">E24</f>
        <v>584</v>
      </c>
      <c r="D18" s="22"/>
      <c r="E18" s="25" t="n">
        <f aca="false">C18/($B$5/$B$6)</f>
        <v>3.89333333333333</v>
      </c>
      <c r="F18" s="1"/>
      <c r="G18" s="12"/>
      <c r="H18" s="10"/>
      <c r="I18" s="10"/>
      <c r="J18" s="11"/>
      <c r="K18" s="12"/>
      <c r="L18" s="10"/>
      <c r="M18" s="10"/>
    </row>
    <row r="19" customFormat="false" ht="12.75" hidden="false" customHeight="false" outlineLevel="0" collapsed="false">
      <c r="A19" s="22" t="s">
        <v>23</v>
      </c>
      <c r="B19" s="23" t="n">
        <f aca="false">B25*10000000000</f>
        <v>3.2</v>
      </c>
      <c r="C19" s="24" t="n">
        <f aca="false">2*D19</f>
        <v>320</v>
      </c>
      <c r="D19" s="22" t="n">
        <f aca="false">EVEN(E25/2)</f>
        <v>160</v>
      </c>
      <c r="E19" s="25" t="n">
        <f aca="false">C19/($B$5/$B$6)</f>
        <v>2.13333333333333</v>
      </c>
      <c r="F19" s="7"/>
      <c r="G19" s="12"/>
      <c r="H19" s="10"/>
      <c r="I19" s="10"/>
      <c r="J19" s="26"/>
      <c r="K19" s="10"/>
      <c r="L19" s="10"/>
      <c r="M19" s="10"/>
    </row>
    <row r="20" customFormat="false" ht="12.75" hidden="false" customHeight="false" outlineLevel="0" collapsed="false">
      <c r="A20" s="22" t="s">
        <v>24</v>
      </c>
      <c r="B20" s="23" t="n">
        <f aca="false">B26*10000000000</f>
        <v>6.4</v>
      </c>
      <c r="C20" s="24" t="n">
        <f aca="false">4*D20</f>
        <v>232</v>
      </c>
      <c r="D20" s="22" t="n">
        <f aca="false">EVEN(E26/4)</f>
        <v>58</v>
      </c>
      <c r="E20" s="25" t="n">
        <f aca="false">C20/($B$5/$B$6)</f>
        <v>1.54666666666667</v>
      </c>
      <c r="F20" s="1"/>
      <c r="G20" s="10"/>
      <c r="H20" s="10"/>
      <c r="I20" s="10"/>
      <c r="J20" s="27"/>
      <c r="K20" s="10"/>
      <c r="L20" s="10"/>
      <c r="M20" s="10"/>
    </row>
    <row r="21" customFormat="false" ht="12.75" hidden="false" customHeight="false" outlineLevel="0" collapsed="false">
      <c r="A21" s="22" t="s">
        <v>25</v>
      </c>
      <c r="B21" s="23" t="n">
        <f aca="false">B27*10000000000</f>
        <v>12.8</v>
      </c>
      <c r="C21" s="24" t="n">
        <f aca="false">8*D21</f>
        <v>192</v>
      </c>
      <c r="D21" s="22" t="n">
        <f aca="false">EVEN(E27/8)</f>
        <v>24</v>
      </c>
      <c r="E21" s="25" t="n">
        <f aca="false">C21/($B$5/$B$6)</f>
        <v>1.28</v>
      </c>
      <c r="F21" s="1"/>
      <c r="G21" s="10"/>
      <c r="H21" s="10"/>
      <c r="I21" s="10"/>
      <c r="J21" s="11"/>
      <c r="K21" s="10"/>
      <c r="L21" s="10"/>
      <c r="M21" s="10"/>
    </row>
    <row r="22" customFormat="false" ht="12.75" hidden="false" customHeight="false" outlineLevel="0" collapsed="false">
      <c r="A22" s="1"/>
      <c r="B22" s="1"/>
      <c r="C22" s="1"/>
      <c r="D22" s="1"/>
      <c r="E22" s="1"/>
      <c r="F22" s="1"/>
      <c r="G22" s="10"/>
      <c r="H22" s="10"/>
      <c r="I22" s="10"/>
      <c r="J22" s="11"/>
      <c r="K22" s="10"/>
      <c r="L22" s="10"/>
      <c r="M22" s="10"/>
    </row>
    <row r="23" customFormat="false" ht="12.75" hidden="false" customHeight="false" outlineLevel="0" collapsed="false">
      <c r="A23" s="11"/>
      <c r="B23" s="26" t="s">
        <v>26</v>
      </c>
      <c r="C23" s="28" t="s">
        <v>27</v>
      </c>
      <c r="D23" s="7" t="s">
        <v>28</v>
      </c>
      <c r="E23" s="7" t="s">
        <v>29</v>
      </c>
      <c r="F23" s="1"/>
      <c r="G23" s="10"/>
      <c r="H23" s="10"/>
      <c r="I23" s="10"/>
      <c r="J23" s="26"/>
      <c r="K23" s="12"/>
      <c r="L23" s="10"/>
      <c r="M23" s="10"/>
    </row>
    <row r="24" customFormat="false" ht="12.75" hidden="false" customHeight="false" outlineLevel="0" collapsed="false">
      <c r="A24" s="29" t="s">
        <v>22</v>
      </c>
      <c r="B24" s="11" t="n">
        <f aca="false">2*$D$6</f>
        <v>1.6E-010</v>
      </c>
      <c r="C24" s="28" t="n">
        <f aca="false">($B$10*$D$8/B24)+($B$11*$B$10^3/B24^3)</f>
        <v>1.73349474178417E-008</v>
      </c>
      <c r="D24" s="1" t="n">
        <f aca="false">$D$5+2*C24</f>
        <v>4.66698948356835E-008</v>
      </c>
      <c r="E24" s="30" t="n">
        <f aca="false">EVEN(D24/$D$6)</f>
        <v>584</v>
      </c>
      <c r="F24" s="1"/>
      <c r="G24" s="12"/>
      <c r="H24" s="10"/>
      <c r="I24" s="10"/>
      <c r="J24" s="31"/>
      <c r="K24" s="12"/>
      <c r="L24" s="10"/>
      <c r="M24" s="10"/>
    </row>
    <row r="25" customFormat="false" ht="12.75" hidden="false" customHeight="false" outlineLevel="0" collapsed="false">
      <c r="A25" s="29" t="s">
        <v>23</v>
      </c>
      <c r="B25" s="11" t="n">
        <f aca="false">4*$D$6</f>
        <v>3.2E-010</v>
      </c>
      <c r="C25" s="28" t="n">
        <f aca="false">($B$10*$D$8/B25)+($B$11*$B$10^3/B25^3)</f>
        <v>6.78115530070472E-009</v>
      </c>
      <c r="D25" s="1" t="n">
        <f aca="false">$D$5+2*C25</f>
        <v>2.55623106014094E-008</v>
      </c>
      <c r="E25" s="30" t="n">
        <f aca="false">EVEN(D25/$D$6)</f>
        <v>320</v>
      </c>
      <c r="F25" s="1"/>
      <c r="G25" s="11"/>
      <c r="H25" s="32"/>
      <c r="I25" s="31"/>
      <c r="J25" s="31"/>
      <c r="K25" s="12"/>
      <c r="L25" s="10"/>
      <c r="M25" s="10"/>
    </row>
    <row r="26" customFormat="false" ht="12.75" hidden="false" customHeight="false" outlineLevel="0" collapsed="false">
      <c r="A26" s="29" t="s">
        <v>24</v>
      </c>
      <c r="B26" s="11" t="n">
        <f aca="false">8*$D$6</f>
        <v>6.4E-010</v>
      </c>
      <c r="C26" s="28" t="n">
        <f aca="false">($B$10*$D$8/B26)+($B$11*$B$10^3/B26^3)</f>
        <v>3.15478784932534E-009</v>
      </c>
      <c r="D26" s="1" t="n">
        <f aca="false">$D$5+2*C26</f>
        <v>1.83095756986507E-008</v>
      </c>
      <c r="E26" s="30" t="n">
        <f aca="false">EVEN(D26/$D$6)</f>
        <v>230</v>
      </c>
      <c r="F26" s="1"/>
      <c r="G26" s="33"/>
      <c r="H26" s="33"/>
      <c r="I26" s="33"/>
      <c r="J26" s="27"/>
      <c r="K26" s="12"/>
      <c r="L26" s="10"/>
      <c r="M26" s="10"/>
    </row>
    <row r="27" customFormat="false" ht="12.75" hidden="false" customHeight="false" outlineLevel="0" collapsed="false">
      <c r="A27" s="29" t="s">
        <v>25</v>
      </c>
      <c r="B27" s="11" t="n">
        <f aca="false">16*$D$6</f>
        <v>1.28E-009</v>
      </c>
      <c r="C27" s="28" t="n">
        <f aca="false">($B$10*$D$8/B27)+($B$11*$B$10^3/B27^3)</f>
        <v>1.54792019953429E-009</v>
      </c>
      <c r="D27" s="1" t="n">
        <f aca="false">$D$5+2*C27</f>
        <v>1.50958403990686E-008</v>
      </c>
      <c r="E27" s="30" t="n">
        <f aca="false">EVEN(D27/$D$6)</f>
        <v>190</v>
      </c>
      <c r="F27" s="32"/>
      <c r="G27" s="34"/>
      <c r="H27" s="35"/>
      <c r="I27" s="34"/>
      <c r="J27" s="27"/>
      <c r="K27" s="12"/>
      <c r="L27" s="10"/>
      <c r="M27" s="10"/>
    </row>
    <row r="28" customFormat="false" ht="12.75" hidden="false" customHeight="false" outlineLevel="0" collapsed="false">
      <c r="A28" s="1"/>
      <c r="B28" s="1"/>
      <c r="C28" s="1"/>
      <c r="D28" s="35"/>
      <c r="E28" s="1"/>
      <c r="F28" s="1"/>
      <c r="G28" s="34"/>
      <c r="H28" s="36"/>
      <c r="I28" s="35"/>
      <c r="J28" s="11"/>
      <c r="K28" s="12"/>
      <c r="L28" s="10"/>
      <c r="M28" s="10"/>
    </row>
    <row r="29" customFormat="false" ht="12.75" hidden="false" customHeight="false" outlineLevel="0" collapsed="false">
      <c r="A29" s="1"/>
      <c r="B29" s="7" t="s">
        <v>30</v>
      </c>
      <c r="C29" s="7" t="s">
        <v>14</v>
      </c>
      <c r="D29" s="1"/>
      <c r="E29" s="1"/>
      <c r="F29" s="1"/>
      <c r="G29" s="35"/>
      <c r="H29" s="34"/>
      <c r="I29" s="34"/>
      <c r="J29" s="11"/>
      <c r="K29" s="12"/>
      <c r="L29" s="10"/>
      <c r="M29" s="10"/>
    </row>
    <row r="30" customFormat="false" ht="12.75" hidden="false" customHeight="false" outlineLevel="0" collapsed="false">
      <c r="A30" s="37" t="s">
        <v>4</v>
      </c>
      <c r="B30" s="38" t="n">
        <v>1.96876239934912E-012</v>
      </c>
      <c r="C30" s="39" t="n">
        <v>0.0027</v>
      </c>
      <c r="D30" s="11"/>
      <c r="E30" s="7"/>
      <c r="F30" s="1"/>
      <c r="G30" s="33"/>
      <c r="H30" s="33"/>
      <c r="I30" s="33"/>
      <c r="J30" s="11"/>
      <c r="K30" s="10"/>
      <c r="L30" s="10"/>
      <c r="M30" s="10"/>
    </row>
    <row r="31" customFormat="false" ht="12.75" hidden="false" customHeight="false" outlineLevel="0" collapsed="false">
      <c r="A31" s="37" t="s">
        <v>31</v>
      </c>
      <c r="B31" s="38" t="n">
        <v>2.50794626594276E-012</v>
      </c>
      <c r="C31" s="39" t="n">
        <v>0.0027</v>
      </c>
      <c r="D31" s="32"/>
      <c r="E31" s="40"/>
      <c r="F31" s="1"/>
      <c r="G31" s="33"/>
      <c r="H31" s="33"/>
      <c r="I31" s="33"/>
      <c r="J31" s="11"/>
      <c r="K31" s="10"/>
      <c r="L31" s="10"/>
      <c r="M31" s="10"/>
    </row>
    <row r="32" customFormat="false" ht="12.75" hidden="false" customHeight="false" outlineLevel="0" collapsed="false">
      <c r="A32" s="29" t="s">
        <v>32</v>
      </c>
      <c r="B32" s="38" t="n">
        <v>1.96876239934912E-012</v>
      </c>
      <c r="C32" s="39" t="n">
        <v>0.00226</v>
      </c>
      <c r="D32" s="1"/>
      <c r="E32" s="1"/>
      <c r="F32" s="1"/>
      <c r="H32" s="33"/>
      <c r="I32" s="33"/>
      <c r="J32" s="11"/>
      <c r="K32" s="10"/>
      <c r="L32" s="10"/>
      <c r="M32" s="10"/>
    </row>
    <row r="33" customFormat="false" ht="12.75" hidden="false" customHeight="false" outlineLevel="0" collapsed="false">
      <c r="A33" s="41" t="s">
        <v>33</v>
      </c>
      <c r="B33" s="42" t="n">
        <v>3.34922544062203E-012</v>
      </c>
      <c r="C33" s="39" t="n">
        <v>0.0063</v>
      </c>
      <c r="D33" s="1"/>
      <c r="E33" s="1"/>
      <c r="H33" s="33"/>
      <c r="I33" s="33"/>
      <c r="J33" s="11"/>
      <c r="K33" s="10"/>
      <c r="L33" s="10"/>
      <c r="M33" s="10"/>
    </row>
    <row r="34" customFormat="false" ht="12.75" hidden="false" customHeight="false" outlineLevel="0" collapsed="false">
      <c r="A34" s="7"/>
      <c r="B34" s="42"/>
      <c r="C34" s="39"/>
      <c r="D34" s="1"/>
      <c r="E34" s="1"/>
      <c r="H34" s="33"/>
      <c r="I34" s="33"/>
      <c r="J34" s="11"/>
      <c r="K34" s="12"/>
      <c r="L34" s="10"/>
      <c r="M34" s="10"/>
    </row>
    <row r="35" customFormat="false" ht="12.75" hidden="false" customHeight="false" outlineLevel="0" collapsed="false">
      <c r="A35" s="1"/>
      <c r="B35" s="1"/>
      <c r="C35" s="1"/>
      <c r="D35" s="1"/>
      <c r="E35" s="1"/>
      <c r="G35" s="33"/>
      <c r="H35" s="33"/>
      <c r="I35" s="33"/>
      <c r="J35" s="11"/>
      <c r="K35" s="12"/>
      <c r="L35" s="10"/>
      <c r="M35" s="10"/>
    </row>
    <row r="36" customFormat="false" ht="12.75" hidden="false" customHeight="false" outlineLevel="0" collapsed="false">
      <c r="A36" s="1"/>
      <c r="B36" s="1"/>
      <c r="C36" s="1"/>
      <c r="D36" s="1"/>
      <c r="E36" s="1"/>
      <c r="G36" s="33"/>
      <c r="H36" s="33"/>
      <c r="I36" s="33"/>
      <c r="J36" s="11"/>
      <c r="K36" s="12"/>
      <c r="L36" s="10"/>
      <c r="M36" s="10"/>
    </row>
    <row r="37" customFormat="false" ht="12.75" hidden="false" customHeight="false" outlineLevel="0" collapsed="false">
      <c r="A37" s="1"/>
      <c r="B37" s="1"/>
      <c r="C37" s="43"/>
      <c r="D37" s="43"/>
      <c r="E37" s="1"/>
      <c r="G37" s="33"/>
      <c r="H37" s="33"/>
      <c r="I37" s="33"/>
      <c r="J37" s="11"/>
      <c r="K37" s="12"/>
      <c r="L37" s="10"/>
      <c r="M37" s="10"/>
    </row>
    <row r="38" customFormat="false" ht="12.75" hidden="false" customHeight="false" outlineLevel="0" collapsed="false">
      <c r="A38" s="44"/>
      <c r="B38" s="45"/>
      <c r="G38" s="33"/>
      <c r="H38" s="33"/>
      <c r="I38" s="33"/>
      <c r="J38" s="11"/>
      <c r="K38" s="12"/>
      <c r="L38" s="10"/>
      <c r="M38" s="10"/>
    </row>
    <row r="39" customFormat="false" ht="12.75" hidden="false" customHeight="false" outlineLevel="0" collapsed="false">
      <c r="A39" s="46"/>
      <c r="B39" s="45"/>
      <c r="G39" s="33"/>
      <c r="H39" s="33"/>
      <c r="I39" s="33"/>
      <c r="J39" s="11"/>
      <c r="K39" s="12"/>
      <c r="L39" s="10"/>
      <c r="M39" s="10"/>
    </row>
    <row r="40" customFormat="false" ht="12.75" hidden="false" customHeight="false" outlineLevel="0" collapsed="false">
      <c r="A40" s="46"/>
      <c r="B40" s="45"/>
      <c r="G40" s="33"/>
      <c r="H40" s="33"/>
      <c r="I40" s="33"/>
      <c r="J40" s="11"/>
      <c r="K40" s="12"/>
      <c r="L40" s="10"/>
      <c r="M40" s="10"/>
    </row>
    <row r="41" customFormat="false" ht="12.75" hidden="false" customHeight="false" outlineLevel="0" collapsed="false">
      <c r="A41" s="47"/>
      <c r="G41" s="33"/>
      <c r="H41" s="33"/>
      <c r="I41" s="33"/>
      <c r="J41" s="11"/>
      <c r="K41" s="10"/>
      <c r="L41" s="10"/>
      <c r="M41" s="10"/>
    </row>
    <row r="42" customFormat="false" ht="12.75" hidden="false" customHeight="false" outlineLevel="0" collapsed="false">
      <c r="G42" s="33"/>
      <c r="H42" s="33"/>
      <c r="I42" s="33"/>
      <c r="J42" s="11"/>
      <c r="K42" s="10"/>
      <c r="L42" s="10"/>
      <c r="M42" s="10"/>
    </row>
    <row r="43" customFormat="false" ht="12.75" hidden="false" customHeight="false" outlineLevel="0" collapsed="false">
      <c r="C43" s="48"/>
      <c r="D43" s="49"/>
      <c r="G43" s="33"/>
      <c r="H43" s="33"/>
      <c r="I43" s="33"/>
      <c r="J43" s="11"/>
      <c r="K43" s="10"/>
      <c r="L43" s="10"/>
      <c r="M43" s="10"/>
    </row>
    <row r="44" customFormat="false" ht="12.75" hidden="false" customHeight="false" outlineLevel="0" collapsed="false">
      <c r="C44" s="48"/>
      <c r="D44" s="49"/>
      <c r="G44" s="33"/>
      <c r="H44" s="33"/>
      <c r="I44" s="33"/>
      <c r="J44" s="11"/>
      <c r="K44" s="10"/>
      <c r="L44" s="10"/>
      <c r="M44" s="10"/>
    </row>
    <row r="45" customFormat="false" ht="12.75" hidden="false" customHeight="false" outlineLevel="0" collapsed="false">
      <c r="C45" s="48"/>
      <c r="D45" s="49"/>
      <c r="G45" s="43"/>
      <c r="H45" s="43"/>
      <c r="I45" s="43"/>
    </row>
    <row r="46" customFormat="false" ht="12.75" hidden="false" customHeight="false" outlineLevel="0" collapsed="false">
      <c r="C46" s="48"/>
      <c r="D46" s="49"/>
    </row>
    <row r="47" customFormat="false" ht="12.75" hidden="false" customHeight="false" outlineLevel="0" collapsed="false">
      <c r="C47" s="48"/>
      <c r="D47" s="49"/>
    </row>
    <row r="48" customFormat="false" ht="12.75" hidden="false" customHeight="false" outlineLevel="0" collapsed="false">
      <c r="C48" s="48"/>
      <c r="D48" s="49"/>
    </row>
  </sheetData>
  <mergeCells count="5">
    <mergeCell ref="B1:E1"/>
    <mergeCell ref="G1:I1"/>
    <mergeCell ref="K1:M1"/>
    <mergeCell ref="O1:P1"/>
    <mergeCell ref="B2:E2"/>
  </mergeCells>
  <dataValidations count="1">
    <dataValidation allowBlank="true" errorStyle="stop" operator="between" showDropDown="false" showErrorMessage="true" showInputMessage="true" sqref="B4" type="list">
      <formula1>$A$30:$A$33</formula1>
      <formula2>0</formula2>
    </dataValidation>
  </dataValidations>
  <hyperlinks>
    <hyperlink ref="B1" r:id="rId1" display="Rosenthal &amp; Henderson (2003) JMB, 333, 721-745"/>
    <hyperlink ref="B2" r:id="rId2" display="CCPEM discussion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4" activeCellId="0" sqref="G4"/>
    </sheetView>
  </sheetViews>
  <sheetFormatPr defaultColWidth="10.59375" defaultRowHeight="12.75" zeroHeight="false" outlineLevelRow="0" outlineLevelCol="0"/>
  <cols>
    <col collapsed="false" customWidth="true" hidden="false" outlineLevel="0" max="1" min="1" style="0" width="15.5"/>
    <col collapsed="false" customWidth="true" hidden="false" outlineLevel="0" max="2" min="2" style="0" width="9.66"/>
    <col collapsed="false" customWidth="true" hidden="false" outlineLevel="0" max="3" min="3" style="0" width="10.66"/>
    <col collapsed="false" customWidth="true" hidden="false" outlineLevel="0" max="4" min="4" style="0" width="2.17"/>
    <col collapsed="false" customWidth="true" hidden="false" outlineLevel="0" max="5" min="5" style="0" width="8.66"/>
    <col collapsed="false" customWidth="true" hidden="false" outlineLevel="0" max="6" min="6" style="0" width="8.5"/>
    <col collapsed="false" customWidth="true" hidden="false" outlineLevel="0" max="7" min="7" style="0" width="10.33"/>
    <col collapsed="false" customWidth="true" hidden="false" outlineLevel="0" max="8" min="8" style="0" width="1.83"/>
    <col collapsed="false" customWidth="true" hidden="false" outlineLevel="0" max="9" min="9" style="1" width="4.17"/>
    <col collapsed="false" customWidth="true" hidden="false" outlineLevel="0" max="10" min="10" style="1" width="20.33"/>
  </cols>
  <sheetData>
    <row r="1" customFormat="false" ht="12.75" hidden="false" customHeight="false" outlineLevel="0" collapsed="false">
      <c r="A1" s="50" t="s">
        <v>34</v>
      </c>
      <c r="B1" s="50"/>
      <c r="C1" s="50"/>
      <c r="E1" s="50" t="s">
        <v>35</v>
      </c>
      <c r="F1" s="50"/>
      <c r="G1" s="50"/>
      <c r="I1" s="50" t="s">
        <v>36</v>
      </c>
      <c r="J1" s="50"/>
      <c r="K1" s="6"/>
    </row>
    <row r="2" customFormat="false" ht="12.75" hidden="false" customHeight="false" outlineLevel="0" collapsed="false">
      <c r="A2" s="51"/>
      <c r="B2" s="1"/>
      <c r="C2" s="52"/>
      <c r="E2" s="51"/>
      <c r="F2" s="1"/>
      <c r="G2" s="52"/>
      <c r="I2" s="53"/>
      <c r="J2" s="54"/>
    </row>
    <row r="3" customFormat="false" ht="12.75" hidden="false" customHeight="false" outlineLevel="0" collapsed="false">
      <c r="A3" s="55" t="s">
        <v>37</v>
      </c>
      <c r="B3" s="2" t="s">
        <v>38</v>
      </c>
      <c r="C3" s="56" t="s">
        <v>39</v>
      </c>
      <c r="E3" s="55" t="s">
        <v>37</v>
      </c>
      <c r="F3" s="2" t="s">
        <v>38</v>
      </c>
      <c r="G3" s="56" t="s">
        <v>39</v>
      </c>
      <c r="I3" s="55" t="s">
        <v>40</v>
      </c>
      <c r="J3" s="56" t="s">
        <v>41</v>
      </c>
    </row>
    <row r="4" customFormat="false" ht="12.75" hidden="false" customHeight="false" outlineLevel="0" collapsed="false">
      <c r="A4" s="57" t="n">
        <v>0</v>
      </c>
      <c r="B4" s="10" t="n">
        <f aca="false">A4*$B$27/$B$28</f>
        <v>0</v>
      </c>
      <c r="C4" s="58" t="n">
        <f aca="false">A4*$B$27/$B$30</f>
        <v>0</v>
      </c>
      <c r="D4" s="59"/>
      <c r="E4" s="60" t="n">
        <v>40</v>
      </c>
      <c r="F4" s="10" t="n">
        <f aca="false">E4*$J$6/$J$5</f>
        <v>34.2857142857143</v>
      </c>
      <c r="G4" s="58" t="n">
        <f aca="false">E4*$J$6/$J$4</f>
        <v>24.6153846153846</v>
      </c>
      <c r="I4" s="51" t="n">
        <v>120</v>
      </c>
      <c r="J4" s="61" t="n">
        <v>3.9</v>
      </c>
    </row>
    <row r="5" customFormat="false" ht="12.75" hidden="false" customHeight="false" outlineLevel="0" collapsed="false">
      <c r="A5" s="57" t="n">
        <v>-0.5</v>
      </c>
      <c r="B5" s="10" t="n">
        <f aca="false">A5*$B$27/$B$28</f>
        <v>-0.392504900540412</v>
      </c>
      <c r="C5" s="58" t="n">
        <f aca="false">A5*$B$27/$B$30</f>
        <v>-0.293913090392547</v>
      </c>
      <c r="D5" s="59"/>
      <c r="E5" s="60" t="n">
        <v>39</v>
      </c>
      <c r="F5" s="10" t="n">
        <f aca="false">E5*$J$6/$J$5</f>
        <v>33.4285714285714</v>
      </c>
      <c r="G5" s="58" t="n">
        <f aca="false">E5*$J$6/$J$4</f>
        <v>24</v>
      </c>
      <c r="I5" s="51" t="n">
        <v>200</v>
      </c>
      <c r="J5" s="61" t="n">
        <v>2.8</v>
      </c>
    </row>
    <row r="6" customFormat="false" ht="13.5" hidden="false" customHeight="false" outlineLevel="0" collapsed="false">
      <c r="A6" s="57" t="n">
        <v>-1</v>
      </c>
      <c r="B6" s="10" t="n">
        <f aca="false">A6*$B$27/$B$28</f>
        <v>-0.785009801080824</v>
      </c>
      <c r="C6" s="58" t="n">
        <f aca="false">A6*$B$27/$B$30</f>
        <v>-0.587826180785094</v>
      </c>
      <c r="D6" s="59"/>
      <c r="E6" s="60" t="n">
        <v>38</v>
      </c>
      <c r="F6" s="10" t="n">
        <f aca="false">E6*$J$6/$J$5</f>
        <v>32.5714285714286</v>
      </c>
      <c r="G6" s="58" t="n">
        <f aca="false">E6*$J$6/$J$4</f>
        <v>23.3846153846154</v>
      </c>
      <c r="I6" s="62" t="n">
        <v>300</v>
      </c>
      <c r="J6" s="63" t="n">
        <v>2.4</v>
      </c>
    </row>
    <row r="7" customFormat="false" ht="12.75" hidden="false" customHeight="false" outlineLevel="0" collapsed="false">
      <c r="A7" s="57" t="n">
        <v>-1.5</v>
      </c>
      <c r="B7" s="10" t="n">
        <f aca="false">A7*$B$27/$B$28</f>
        <v>-1.17751470162124</v>
      </c>
      <c r="C7" s="58" t="n">
        <f aca="false">A7*$B$27/$B$30</f>
        <v>-0.881739271177641</v>
      </c>
      <c r="D7" s="11"/>
      <c r="E7" s="60" t="n">
        <v>37</v>
      </c>
      <c r="F7" s="10" t="n">
        <f aca="false">E7*$J$6/$J$5</f>
        <v>31.7142857142857</v>
      </c>
      <c r="G7" s="58" t="n">
        <f aca="false">E7*$J$6/$J$4</f>
        <v>22.7692307692308</v>
      </c>
    </row>
    <row r="8" customFormat="false" ht="12.75" hidden="false" customHeight="false" outlineLevel="0" collapsed="false">
      <c r="A8" s="60" t="n">
        <v>-2</v>
      </c>
      <c r="B8" s="10" t="n">
        <f aca="false">A8*$B$27/$B$28</f>
        <v>-1.57001960216165</v>
      </c>
      <c r="C8" s="58" t="n">
        <f aca="false">A8*$B$27/$B$30</f>
        <v>-1.17565236157019</v>
      </c>
      <c r="D8" s="11"/>
      <c r="E8" s="57" t="n">
        <v>36</v>
      </c>
      <c r="F8" s="10" t="n">
        <f aca="false">E8*$J$6/$J$5</f>
        <v>30.8571428571429</v>
      </c>
      <c r="G8" s="58" t="n">
        <f aca="false">E8*$J$6/$J$4</f>
        <v>22.1538461538462</v>
      </c>
    </row>
    <row r="9" customFormat="false" ht="12.75" hidden="false" customHeight="false" outlineLevel="0" collapsed="false">
      <c r="A9" s="60" t="n">
        <v>-2.5</v>
      </c>
      <c r="B9" s="10" t="n">
        <f aca="false">A9*$B$27/$B$28</f>
        <v>-1.96252450270206</v>
      </c>
      <c r="C9" s="58" t="n">
        <f aca="false">A9*$B$27/$B$30</f>
        <v>-1.46956545196274</v>
      </c>
      <c r="D9" s="11"/>
      <c r="E9" s="57" t="n">
        <v>35</v>
      </c>
      <c r="F9" s="10" t="n">
        <f aca="false">E9*$J$6/$J$5</f>
        <v>30</v>
      </c>
      <c r="G9" s="58" t="n">
        <f aca="false">E9*$J$6/$J$4</f>
        <v>21.5384615384615</v>
      </c>
    </row>
    <row r="10" customFormat="false" ht="12.75" hidden="false" customHeight="false" outlineLevel="0" collapsed="false">
      <c r="A10" s="60" t="n">
        <v>-3</v>
      </c>
      <c r="B10" s="10" t="n">
        <f aca="false">A10*$B$27/$B$28</f>
        <v>-2.35502940324247</v>
      </c>
      <c r="C10" s="58" t="n">
        <f aca="false">A10*$B$27/$B$30</f>
        <v>-1.76347854235528</v>
      </c>
      <c r="D10" s="11"/>
      <c r="E10" s="57" t="n">
        <v>34</v>
      </c>
      <c r="F10" s="10" t="n">
        <f aca="false">E10*$J$6/$J$5</f>
        <v>29.1428571428571</v>
      </c>
      <c r="G10" s="58" t="n">
        <f aca="false">E10*$J$6/$J$4</f>
        <v>20.9230769230769</v>
      </c>
    </row>
    <row r="11" customFormat="false" ht="12.75" hidden="false" customHeight="false" outlineLevel="0" collapsed="false">
      <c r="A11" s="60" t="n">
        <v>-3.5</v>
      </c>
      <c r="B11" s="10" t="n">
        <f aca="false">A11*$B$27/$B$28</f>
        <v>-2.74753430378288</v>
      </c>
      <c r="C11" s="58" t="n">
        <f aca="false">A11*$B$27/$B$30</f>
        <v>-2.05739163274783</v>
      </c>
      <c r="D11" s="11"/>
      <c r="E11" s="57" t="n">
        <v>33</v>
      </c>
      <c r="F11" s="10" t="n">
        <f aca="false">E11*$J$6/$J$5</f>
        <v>28.2857142857143</v>
      </c>
      <c r="G11" s="58" t="n">
        <f aca="false">E11*$J$6/$J$4</f>
        <v>20.3076923076923</v>
      </c>
    </row>
    <row r="12" customFormat="false" ht="12.75" hidden="false" customHeight="false" outlineLevel="0" collapsed="false">
      <c r="A12" s="57" t="n">
        <v>-4</v>
      </c>
      <c r="B12" s="10" t="n">
        <f aca="false">A12*$B$27/$B$28</f>
        <v>-3.14003920432329</v>
      </c>
      <c r="C12" s="58" t="n">
        <f aca="false">A12*$B$27/$B$30</f>
        <v>-2.35130472314038</v>
      </c>
      <c r="D12" s="11"/>
      <c r="E12" s="60" t="n">
        <v>32</v>
      </c>
      <c r="F12" s="10" t="n">
        <f aca="false">E12*$J$6/$J$5</f>
        <v>27.4285714285714</v>
      </c>
      <c r="G12" s="58" t="n">
        <f aca="false">E12*$J$6/$J$4</f>
        <v>19.6923076923077</v>
      </c>
    </row>
    <row r="13" customFormat="false" ht="12.75" hidden="false" customHeight="false" outlineLevel="0" collapsed="false">
      <c r="A13" s="57" t="n">
        <v>-4.5</v>
      </c>
      <c r="B13" s="10" t="n">
        <f aca="false">A13*$B$27/$B$28</f>
        <v>-3.53254410486371</v>
      </c>
      <c r="C13" s="58" t="n">
        <f aca="false">A13*$B$27/$B$30</f>
        <v>-2.64521781353292</v>
      </c>
      <c r="D13" s="59"/>
      <c r="E13" s="60" t="n">
        <v>31</v>
      </c>
      <c r="F13" s="10" t="n">
        <f aca="false">E13*$J$6/$J$5</f>
        <v>26.5714285714286</v>
      </c>
      <c r="G13" s="58" t="n">
        <f aca="false">E13*$J$6/$J$4</f>
        <v>19.0769230769231</v>
      </c>
    </row>
    <row r="14" customFormat="false" ht="12.75" hidden="false" customHeight="false" outlineLevel="0" collapsed="false">
      <c r="A14" s="57" t="n">
        <v>-5</v>
      </c>
      <c r="B14" s="10" t="n">
        <f aca="false">A14*$B$27/$B$28</f>
        <v>-3.92504900540412</v>
      </c>
      <c r="C14" s="58" t="n">
        <f aca="false">A14*$B$27/$B$30</f>
        <v>-2.93913090392547</v>
      </c>
      <c r="D14" s="59"/>
      <c r="E14" s="60" t="n">
        <v>30</v>
      </c>
      <c r="F14" s="10" t="n">
        <f aca="false">E14*$J$6/$J$5</f>
        <v>25.7142857142857</v>
      </c>
      <c r="G14" s="58" t="n">
        <f aca="false">E14*$J$6/$J$4</f>
        <v>18.4615384615385</v>
      </c>
    </row>
    <row r="15" customFormat="false" ht="12.75" hidden="false" customHeight="false" outlineLevel="0" collapsed="false">
      <c r="A15" s="57" t="n">
        <v>-5.5</v>
      </c>
      <c r="B15" s="10" t="n">
        <f aca="false">A15*$B$27/$B$28</f>
        <v>-4.31755390594453</v>
      </c>
      <c r="C15" s="58" t="n">
        <f aca="false">A15*$B$27/$B$30</f>
        <v>-3.23304399431802</v>
      </c>
      <c r="D15" s="59"/>
      <c r="E15" s="60" t="n">
        <v>29</v>
      </c>
      <c r="F15" s="10" t="n">
        <f aca="false">E15*$J$6/$J$5</f>
        <v>24.8571428571429</v>
      </c>
      <c r="G15" s="58" t="n">
        <f aca="false">E15*$J$6/$J$4</f>
        <v>17.8461538461538</v>
      </c>
    </row>
    <row r="16" customFormat="false" ht="12.75" hidden="false" customHeight="false" outlineLevel="0" collapsed="false">
      <c r="A16" s="60" t="n">
        <v>-6</v>
      </c>
      <c r="B16" s="10" t="n">
        <f aca="false">A16*$B$27/$B$28</f>
        <v>-4.71005880648494</v>
      </c>
      <c r="C16" s="58" t="n">
        <f aca="false">A16*$B$27/$B$30</f>
        <v>-3.52695708471057</v>
      </c>
      <c r="D16" s="59"/>
      <c r="E16" s="60" t="n">
        <v>28</v>
      </c>
      <c r="F16" s="10" t="n">
        <f aca="false">E16*$J$6/$J$5</f>
        <v>24</v>
      </c>
      <c r="G16" s="58" t="n">
        <f aca="false">E16*$J$6/$J$4</f>
        <v>17.2307692307692</v>
      </c>
    </row>
    <row r="17" customFormat="false" ht="12.75" hidden="false" customHeight="false" outlineLevel="0" collapsed="false">
      <c r="A17" s="60" t="n">
        <v>-6.5</v>
      </c>
      <c r="B17" s="10" t="n">
        <f aca="false">A17*$B$27/$B$28</f>
        <v>-5.10256370702535</v>
      </c>
      <c r="C17" s="58" t="n">
        <f aca="false">A17*$B$27/$B$30</f>
        <v>-3.82087017510311</v>
      </c>
      <c r="D17" s="59"/>
      <c r="E17" s="60" t="n">
        <v>27</v>
      </c>
      <c r="F17" s="10" t="n">
        <f aca="false">E17*$J$6/$J$5</f>
        <v>23.1428571428571</v>
      </c>
      <c r="G17" s="58" t="n">
        <f aca="false">E17*$J$6/$J$4</f>
        <v>16.6153846153846</v>
      </c>
    </row>
    <row r="18" customFormat="false" ht="12.75" hidden="false" customHeight="false" outlineLevel="0" collapsed="false">
      <c r="A18" s="60" t="n">
        <v>-7</v>
      </c>
      <c r="B18" s="10" t="n">
        <f aca="false">A18*$B$27/$B$28</f>
        <v>-5.49506860756576</v>
      </c>
      <c r="C18" s="58" t="n">
        <f aca="false">A18*$B$27/$B$30</f>
        <v>-4.11478326549566</v>
      </c>
      <c r="D18" s="59"/>
      <c r="E18" s="60" t="n">
        <v>26</v>
      </c>
      <c r="F18" s="10" t="n">
        <f aca="false">E18*$J$6/$J$5</f>
        <v>22.2857142857143</v>
      </c>
      <c r="G18" s="58" t="n">
        <f aca="false">E18*$J$6/$J$4</f>
        <v>16</v>
      </c>
    </row>
    <row r="19" customFormat="false" ht="12.75" hidden="false" customHeight="false" outlineLevel="0" collapsed="false">
      <c r="A19" s="60" t="n">
        <v>-7.5</v>
      </c>
      <c r="B19" s="10" t="n">
        <f aca="false">A19*$B$27/$B$28</f>
        <v>-5.88757350810618</v>
      </c>
      <c r="C19" s="58" t="n">
        <f aca="false">A19*$B$27/$B$30</f>
        <v>-4.40869635588821</v>
      </c>
      <c r="D19" s="64"/>
      <c r="E19" s="57" t="n">
        <v>25</v>
      </c>
      <c r="F19" s="10" t="n">
        <f aca="false">E19*$J$6/$J$5</f>
        <v>21.4285714285714</v>
      </c>
      <c r="G19" s="58" t="n">
        <f aca="false">E19*$J$6/$J$4</f>
        <v>15.3846153846154</v>
      </c>
    </row>
    <row r="20" customFormat="false" ht="12.75" hidden="false" customHeight="false" outlineLevel="0" collapsed="false">
      <c r="A20" s="57" t="n">
        <v>-8</v>
      </c>
      <c r="B20" s="10" t="n">
        <f aca="false">A20*$B$27/$B$28</f>
        <v>-6.28007840864659</v>
      </c>
      <c r="C20" s="58" t="n">
        <f aca="false">A20*$B$27/$B$30</f>
        <v>-4.70260944628075</v>
      </c>
      <c r="D20" s="65"/>
      <c r="E20" s="57" t="n">
        <v>24</v>
      </c>
      <c r="F20" s="10" t="n">
        <f aca="false">E20*$J$6/$J$5</f>
        <v>20.5714285714286</v>
      </c>
      <c r="G20" s="58" t="n">
        <f aca="false">E20*$J$6/$J$4</f>
        <v>14.7692307692308</v>
      </c>
    </row>
    <row r="21" customFormat="false" ht="12.75" hidden="false" customHeight="false" outlineLevel="0" collapsed="false">
      <c r="A21" s="57" t="n">
        <v>-8.5</v>
      </c>
      <c r="B21" s="10" t="n">
        <f aca="false">A21*$B$27/$B$28</f>
        <v>-6.672583309187</v>
      </c>
      <c r="C21" s="58" t="n">
        <f aca="false">A21*$B$27/$B$30</f>
        <v>-4.9965225366733</v>
      </c>
      <c r="D21" s="59"/>
      <c r="E21" s="57" t="n">
        <v>23</v>
      </c>
      <c r="F21" s="10" t="n">
        <f aca="false">E21*$J$6/$J$5</f>
        <v>19.7142857142857</v>
      </c>
      <c r="G21" s="58" t="n">
        <f aca="false">E21*$J$6/$J$4</f>
        <v>14.1538461538462</v>
      </c>
    </row>
    <row r="22" customFormat="false" ht="12.75" hidden="false" customHeight="false" outlineLevel="0" collapsed="false">
      <c r="A22" s="57" t="n">
        <v>-9</v>
      </c>
      <c r="B22" s="10" t="n">
        <f aca="false">A22*$B$27/$B$28</f>
        <v>-7.06508820972741</v>
      </c>
      <c r="C22" s="58" t="n">
        <f aca="false">A22*$B$27/$B$30</f>
        <v>-5.29043562706585</v>
      </c>
      <c r="D22" s="59"/>
      <c r="E22" s="57" t="n">
        <v>22</v>
      </c>
      <c r="F22" s="10" t="n">
        <f aca="false">E22*$J$6/$J$5</f>
        <v>18.8571428571429</v>
      </c>
      <c r="G22" s="58" t="n">
        <f aca="false">E22*$J$6/$J$4</f>
        <v>13.5384615384615</v>
      </c>
    </row>
    <row r="23" customFormat="false" ht="12.75" hidden="false" customHeight="false" outlineLevel="0" collapsed="false">
      <c r="A23" s="57" t="n">
        <v>-9.5</v>
      </c>
      <c r="B23" s="10" t="n">
        <f aca="false">A23*$B$27/$B$28</f>
        <v>-7.45759311026782</v>
      </c>
      <c r="C23" s="58" t="n">
        <f aca="false">A23*$B$27/$B$30</f>
        <v>-5.5843487174584</v>
      </c>
      <c r="D23" s="64"/>
      <c r="E23" s="60" t="n">
        <v>21</v>
      </c>
      <c r="F23" s="10" t="n">
        <f aca="false">E23*$J$6/$J$5</f>
        <v>18</v>
      </c>
      <c r="G23" s="58" t="n">
        <f aca="false">E23*$J$6/$J$4</f>
        <v>12.9230769230769</v>
      </c>
    </row>
    <row r="24" customFormat="false" ht="13.5" hidden="false" customHeight="false" outlineLevel="0" collapsed="false">
      <c r="A24" s="66" t="n">
        <v>-10</v>
      </c>
      <c r="B24" s="67" t="n">
        <f aca="false">A24*$B$27/$B$28</f>
        <v>-7.85009801080824</v>
      </c>
      <c r="C24" s="68" t="n">
        <f aca="false">A24*$B$27/$B$30</f>
        <v>-5.87826180785094</v>
      </c>
      <c r="D24" s="69"/>
      <c r="E24" s="60" t="n">
        <v>20</v>
      </c>
      <c r="F24" s="10" t="n">
        <f aca="false">E24*$J$6/$J$5</f>
        <v>17.1428571428571</v>
      </c>
      <c r="G24" s="58" t="n">
        <f aca="false">E24*$J$6/$J$4</f>
        <v>12.3076923076923</v>
      </c>
    </row>
    <row r="25" customFormat="false" ht="12.75" hidden="false" customHeight="false" outlineLevel="0" collapsed="false">
      <c r="A25" s="59"/>
      <c r="B25" s="70"/>
      <c r="C25" s="69"/>
      <c r="D25" s="69"/>
      <c r="E25" s="60" t="n">
        <v>19</v>
      </c>
      <c r="F25" s="10" t="n">
        <f aca="false">E25*$J$6/$J$5</f>
        <v>16.2857142857143</v>
      </c>
      <c r="G25" s="58" t="n">
        <f aca="false">E25*$J$6/$J$4</f>
        <v>11.6923076923077</v>
      </c>
    </row>
    <row r="26" customFormat="false" ht="12.75" hidden="false" customHeight="false" outlineLevel="0" collapsed="false">
      <c r="A26" s="1"/>
      <c r="B26" s="7" t="s">
        <v>30</v>
      </c>
      <c r="C26" s="7" t="s">
        <v>14</v>
      </c>
      <c r="D26" s="65"/>
      <c r="E26" s="60" t="n">
        <v>18</v>
      </c>
      <c r="F26" s="10" t="n">
        <f aca="false">E26*$J$6/$J$5</f>
        <v>15.4285714285714</v>
      </c>
      <c r="G26" s="58" t="n">
        <f aca="false">E26*$J$6/$J$4</f>
        <v>11.0769230769231</v>
      </c>
    </row>
    <row r="27" customFormat="false" ht="12.75" hidden="false" customHeight="false" outlineLevel="0" collapsed="false">
      <c r="A27" s="71" t="s">
        <v>4</v>
      </c>
      <c r="B27" s="38" t="n">
        <v>1.96876239934912E-012</v>
      </c>
      <c r="C27" s="39" t="n">
        <v>0.0027</v>
      </c>
      <c r="D27" s="65"/>
      <c r="E27" s="60" t="n">
        <v>17</v>
      </c>
      <c r="F27" s="10" t="n">
        <f aca="false">E27*$J$6/$J$5</f>
        <v>14.5714285714286</v>
      </c>
      <c r="G27" s="58" t="n">
        <f aca="false">E27*$J$6/$J$4</f>
        <v>10.4615384615385</v>
      </c>
    </row>
    <row r="28" customFormat="false" ht="12.75" hidden="false" customHeight="false" outlineLevel="0" collapsed="false">
      <c r="A28" s="71" t="s">
        <v>42</v>
      </c>
      <c r="B28" s="38" t="n">
        <v>2.50794626594276E-012</v>
      </c>
      <c r="C28" s="39" t="n">
        <v>0.0027</v>
      </c>
      <c r="D28" s="59"/>
      <c r="E28" s="60" t="n">
        <v>16</v>
      </c>
      <c r="F28" s="10" t="n">
        <f aca="false">E28*$J$6/$J$5</f>
        <v>13.7142857142857</v>
      </c>
      <c r="G28" s="58" t="n">
        <f aca="false">E28*$J$6/$J$4</f>
        <v>9.84615384615385</v>
      </c>
    </row>
    <row r="29" customFormat="false" ht="12.75" hidden="false" customHeight="false" outlineLevel="0" collapsed="false">
      <c r="A29" s="1" t="s">
        <v>32</v>
      </c>
      <c r="B29" s="38" t="n">
        <v>1.96876239934912E-012</v>
      </c>
      <c r="C29" s="39" t="n">
        <v>0.00226</v>
      </c>
      <c r="D29" s="59"/>
      <c r="E29" s="60" t="n">
        <v>15</v>
      </c>
      <c r="F29" s="10" t="n">
        <f aca="false">E29*$J$6/$J$5</f>
        <v>12.8571428571429</v>
      </c>
      <c r="G29" s="58" t="n">
        <f aca="false">E29*$J$6/$J$4</f>
        <v>9.23076923076923</v>
      </c>
    </row>
    <row r="30" customFormat="false" ht="12.75" hidden="false" customHeight="false" outlineLevel="0" collapsed="false">
      <c r="A30" s="39" t="s">
        <v>33</v>
      </c>
      <c r="B30" s="42" t="n">
        <v>3.34922544062203E-012</v>
      </c>
      <c r="C30" s="39" t="n">
        <v>0.0063</v>
      </c>
      <c r="D30" s="59"/>
      <c r="E30" s="57" t="n">
        <v>14</v>
      </c>
      <c r="F30" s="10" t="n">
        <f aca="false">E30*$J$6/$J$5</f>
        <v>12</v>
      </c>
      <c r="G30" s="58" t="n">
        <f aca="false">E30*$J$6/$J$4</f>
        <v>8.61538461538462</v>
      </c>
    </row>
    <row r="31" customFormat="false" ht="12.75" hidden="false" customHeight="false" outlineLevel="0" collapsed="false">
      <c r="A31" s="47"/>
      <c r="B31" s="47"/>
      <c r="C31" s="47"/>
      <c r="D31" s="59"/>
      <c r="E31" s="57" t="n">
        <v>13</v>
      </c>
      <c r="F31" s="10" t="n">
        <f aca="false">E31*$J$6/$J$5</f>
        <v>11.1428571428571</v>
      </c>
      <c r="G31" s="58" t="n">
        <f aca="false">E31*$J$6/$J$4</f>
        <v>8</v>
      </c>
    </row>
    <row r="32" customFormat="false" ht="12.75" hidden="false" customHeight="false" outlineLevel="0" collapsed="false">
      <c r="B32" s="47"/>
      <c r="C32" s="47"/>
      <c r="D32" s="59"/>
      <c r="E32" s="57" t="n">
        <v>12</v>
      </c>
      <c r="F32" s="10" t="n">
        <f aca="false">E32*$J$6/$J$5</f>
        <v>10.2857142857143</v>
      </c>
      <c r="G32" s="58" t="n">
        <f aca="false">E32*$J$6/$J$4</f>
        <v>7.38461538461538</v>
      </c>
    </row>
    <row r="33" customFormat="false" ht="12.75" hidden="false" customHeight="false" outlineLevel="0" collapsed="false">
      <c r="B33" s="47"/>
      <c r="C33" s="47"/>
      <c r="D33" s="59"/>
      <c r="E33" s="57" t="n">
        <v>11</v>
      </c>
      <c r="F33" s="10" t="n">
        <f aca="false">E33*$J$6/$J$5</f>
        <v>9.42857142857143</v>
      </c>
      <c r="G33" s="58" t="n">
        <f aca="false">E33*$J$6/$J$4</f>
        <v>6.76923076923077</v>
      </c>
    </row>
    <row r="34" customFormat="false" ht="12.75" hidden="false" customHeight="false" outlineLevel="0" collapsed="false">
      <c r="A34" s="21"/>
      <c r="B34" s="47"/>
      <c r="C34" s="47"/>
      <c r="D34" s="59"/>
      <c r="E34" s="60" t="n">
        <v>10</v>
      </c>
      <c r="F34" s="10" t="n">
        <f aca="false">E34*$J$6/$J$5</f>
        <v>8.57142857142857</v>
      </c>
      <c r="G34" s="58" t="n">
        <f aca="false">E34*$J$6/$J$4</f>
        <v>6.15384615384615</v>
      </c>
    </row>
    <row r="35" customFormat="false" ht="12.75" hidden="false" customHeight="false" outlineLevel="0" collapsed="false">
      <c r="A35" s="47"/>
      <c r="B35" s="47"/>
      <c r="C35" s="47"/>
      <c r="D35" s="59"/>
      <c r="E35" s="60" t="n">
        <v>9</v>
      </c>
      <c r="F35" s="10" t="n">
        <f aca="false">E35*$J$6/$J$5</f>
        <v>7.71428571428571</v>
      </c>
      <c r="G35" s="58" t="n">
        <f aca="false">E35*$J$6/$J$4</f>
        <v>5.53846153846154</v>
      </c>
    </row>
    <row r="36" customFormat="false" ht="12.75" hidden="false" customHeight="false" outlineLevel="0" collapsed="false">
      <c r="A36" s="47"/>
      <c r="B36" s="47"/>
      <c r="C36" s="47"/>
      <c r="D36" s="59"/>
      <c r="E36" s="60" t="n">
        <v>8</v>
      </c>
      <c r="F36" s="10" t="n">
        <f aca="false">E36*$J$6/$J$5</f>
        <v>6.85714285714286</v>
      </c>
      <c r="G36" s="58" t="n">
        <f aca="false">E36*$J$6/$J$4</f>
        <v>4.92307692307692</v>
      </c>
    </row>
    <row r="37" customFormat="false" ht="12.75" hidden="false" customHeight="false" outlineLevel="0" collapsed="false">
      <c r="A37" s="47"/>
      <c r="B37" s="47"/>
      <c r="C37" s="47"/>
      <c r="D37" s="59"/>
      <c r="E37" s="60" t="n">
        <v>7</v>
      </c>
      <c r="F37" s="10" t="n">
        <f aca="false">E37*$J$6/$J$5</f>
        <v>6</v>
      </c>
      <c r="G37" s="58" t="n">
        <f aca="false">E37*$J$6/$J$4</f>
        <v>4.30769230769231</v>
      </c>
    </row>
    <row r="38" customFormat="false" ht="12.75" hidden="false" customHeight="false" outlineLevel="0" collapsed="false">
      <c r="A38" s="47"/>
      <c r="B38" s="47"/>
      <c r="C38" s="47"/>
      <c r="D38" s="59"/>
      <c r="E38" s="60" t="n">
        <v>6</v>
      </c>
      <c r="F38" s="10" t="n">
        <f aca="false">E38*$J$6/$J$5</f>
        <v>5.14285714285714</v>
      </c>
      <c r="G38" s="58" t="n">
        <f aca="false">E38*$J$6/$J$4</f>
        <v>3.69230769230769</v>
      </c>
    </row>
    <row r="39" customFormat="false" ht="12.75" hidden="false" customHeight="false" outlineLevel="0" collapsed="false">
      <c r="A39" s="47"/>
      <c r="B39" s="47"/>
      <c r="C39" s="47"/>
      <c r="D39" s="59"/>
      <c r="E39" s="60" t="n">
        <v>5</v>
      </c>
      <c r="F39" s="10" t="n">
        <f aca="false">E39*$J$6/$J$5</f>
        <v>4.28571428571429</v>
      </c>
      <c r="G39" s="58" t="n">
        <f aca="false">E39*$J$6/$J$4</f>
        <v>3.07692307692308</v>
      </c>
    </row>
    <row r="40" customFormat="false" ht="12.75" hidden="false" customHeight="false" outlineLevel="0" collapsed="false">
      <c r="A40" s="47"/>
      <c r="B40" s="47"/>
      <c r="C40" s="47"/>
      <c r="D40" s="59"/>
      <c r="E40" s="60" t="n">
        <v>4</v>
      </c>
      <c r="F40" s="10" t="n">
        <f aca="false">E40*$J$6/$J$5</f>
        <v>3.42857142857143</v>
      </c>
      <c r="G40" s="58" t="n">
        <f aca="false">E40*$J$6/$J$4</f>
        <v>2.46153846153846</v>
      </c>
    </row>
    <row r="41" customFormat="false" ht="12.75" hidden="false" customHeight="false" outlineLevel="0" collapsed="false">
      <c r="A41" s="47"/>
      <c r="B41" s="47"/>
      <c r="C41" s="47"/>
      <c r="D41" s="59"/>
      <c r="E41" s="57" t="n">
        <v>3</v>
      </c>
      <c r="F41" s="10" t="n">
        <f aca="false">E41*$J$6/$J$5</f>
        <v>2.57142857142857</v>
      </c>
      <c r="G41" s="58" t="n">
        <f aca="false">E41*$J$6/$J$4</f>
        <v>1.84615384615385</v>
      </c>
    </row>
    <row r="42" customFormat="false" ht="12.75" hidden="false" customHeight="false" outlineLevel="0" collapsed="false">
      <c r="A42" s="47"/>
      <c r="B42" s="47"/>
      <c r="C42" s="47"/>
      <c r="D42" s="59"/>
      <c r="E42" s="57" t="n">
        <v>2</v>
      </c>
      <c r="F42" s="10" t="n">
        <f aca="false">E42*$J$6/$J$5</f>
        <v>1.71428571428571</v>
      </c>
      <c r="G42" s="58" t="n">
        <f aca="false">E42*$J$6/$J$4</f>
        <v>1.23076923076923</v>
      </c>
    </row>
    <row r="43" customFormat="false" ht="12.75" hidden="false" customHeight="false" outlineLevel="0" collapsed="false">
      <c r="A43" s="47"/>
      <c r="B43" s="47"/>
      <c r="C43" s="47"/>
      <c r="D43" s="59"/>
      <c r="E43" s="57" t="n">
        <v>1</v>
      </c>
      <c r="F43" s="10" t="n">
        <f aca="false">E43*$J$6/$J$5</f>
        <v>0.857142857142857</v>
      </c>
      <c r="G43" s="58" t="n">
        <f aca="false">E43*$J$6/$J$4</f>
        <v>0.615384615384615</v>
      </c>
    </row>
    <row r="44" customFormat="false" ht="13.5" hidden="false" customHeight="false" outlineLevel="0" collapsed="false">
      <c r="A44" s="47"/>
      <c r="B44" s="47"/>
      <c r="C44" s="47"/>
      <c r="D44" s="59"/>
      <c r="E44" s="72" t="n">
        <v>0</v>
      </c>
      <c r="F44" s="10" t="n">
        <f aca="false">E44*$J$6/$J$5</f>
        <v>0</v>
      </c>
      <c r="G44" s="58" t="n">
        <f aca="false">E44*$J$6/$J$4</f>
        <v>0</v>
      </c>
    </row>
    <row r="45" customFormat="false" ht="12.75" hidden="false" customHeight="false" outlineLevel="0" collapsed="false">
      <c r="A45" s="73"/>
      <c r="B45" s="73"/>
      <c r="C45" s="73"/>
    </row>
  </sheetData>
  <mergeCells count="3">
    <mergeCell ref="A1:C1"/>
    <mergeCell ref="E1:G1"/>
    <mergeCell ref="I1:J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2018-11-14T14:03:26Z</dcterms:created>
  <dc:creator>Wim Hagen</dc:creator>
  <dc:description/>
  <dc:language>en-US</dc:language>
  <cp:lastModifiedBy/>
  <dcterms:modified xsi:type="dcterms:W3CDTF">2023-06-16T12:01:23Z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