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3CFEA5D-F78C-43D7-B0BE-9780868A275C}" xr6:coauthVersionLast="47" xr6:coauthVersionMax="47" xr10:uidLastSave="{00000000-0000-0000-0000-000000000000}"/>
  <bookViews>
    <workbookView xWindow="4845" yWindow="4215" windowWidth="21600" windowHeight="11385" activeTab="4" xr2:uid="{E12E2003-6ED9-4C9E-B612-0D15AD7582EC}"/>
  </bookViews>
  <sheets>
    <sheet name="VLOOKUP" sheetId="15" r:id="rId1"/>
    <sheet name="XlOOKUP" sheetId="21" r:id="rId2"/>
    <sheet name="Резултати тест" sheetId="20" r:id="rId3"/>
    <sheet name="Еразъм" sheetId="2" r:id="rId4"/>
    <sheet name="XLOOKUP2" sheetId="23" r:id="rId5"/>
    <sheet name="Грант по страни" sheetId="18" r:id="rId6"/>
    <sheet name="Месечен грант" sheetId="17" r:id="rId7"/>
    <sheet name="Страни" sheetId="6" r:id="rId8"/>
  </sheets>
  <definedNames>
    <definedName name="_xlnm._FilterDatabase" localSheetId="3" hidden="1">Еразъм!$A$3:$K$73</definedName>
    <definedName name="Страни">Страни!$A$2:$A$26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23" l="1" a="1"/>
  <c r="J11" i="23" s="1"/>
  <c r="I20" i="23"/>
  <c r="C29" i="23"/>
  <c r="D29" i="23"/>
  <c r="E29" i="23"/>
  <c r="F29" i="23"/>
  <c r="B29" i="23"/>
  <c r="E5" i="23" a="1"/>
  <c r="E5" i="23" s="1"/>
  <c r="E6" i="23" a="1"/>
  <c r="E6" i="23"/>
  <c r="E7" i="23" a="1"/>
  <c r="E7" i="23"/>
  <c r="E8" i="23" a="1"/>
  <c r="E8" i="23"/>
  <c r="E9" i="23" a="1"/>
  <c r="E9" i="23" s="1"/>
  <c r="E10" i="23" a="1"/>
  <c r="E10" i="23"/>
  <c r="E11" i="23" a="1"/>
  <c r="E11" i="23"/>
  <c r="E12" i="23" a="1"/>
  <c r="E12" i="23"/>
  <c r="E13" i="23" a="1"/>
  <c r="E13" i="23" s="1"/>
  <c r="E14" i="23" a="1"/>
  <c r="E14" i="23"/>
  <c r="E15" i="23" a="1"/>
  <c r="E15" i="23"/>
  <c r="E16" i="23" a="1"/>
  <c r="E16" i="23"/>
  <c r="E17" i="23" a="1"/>
  <c r="E17" i="23" s="1"/>
  <c r="E18" i="23" a="1"/>
  <c r="E18" i="23" s="1"/>
  <c r="F18" i="23" s="1"/>
  <c r="E19" i="23" a="1"/>
  <c r="E19" i="23"/>
  <c r="E20" i="23" a="1"/>
  <c r="E20" i="23"/>
  <c r="E21" i="23" a="1"/>
  <c r="E21" i="23" s="1"/>
  <c r="E22" i="23" a="1"/>
  <c r="E22" i="23"/>
  <c r="E23" i="23" a="1"/>
  <c r="E23" i="23"/>
  <c r="E24" i="23" a="1"/>
  <c r="E24" i="23"/>
  <c r="E25" i="23" a="1"/>
  <c r="E25" i="23"/>
  <c r="E26" i="23" a="1"/>
  <c r="E26" i="23" s="1"/>
  <c r="E27" i="23" a="1"/>
  <c r="E27" i="23"/>
  <c r="E28" i="23" a="1"/>
  <c r="E28" i="23"/>
  <c r="D5" i="23" a="1"/>
  <c r="D5" i="23" s="1"/>
  <c r="D6" i="23" a="1"/>
  <c r="D6" i="23" s="1"/>
  <c r="D7" i="23" a="1"/>
  <c r="D7" i="23"/>
  <c r="D8" i="23" a="1"/>
  <c r="D8" i="23"/>
  <c r="D9" i="23" a="1"/>
  <c r="D9" i="23" s="1"/>
  <c r="D10" i="23" a="1"/>
  <c r="D10" i="23"/>
  <c r="D11" i="23" a="1"/>
  <c r="D11" i="23" s="1"/>
  <c r="D12" i="23" a="1"/>
  <c r="D12" i="23"/>
  <c r="D13" i="23" a="1"/>
  <c r="D13" i="23" s="1"/>
  <c r="D14" i="23" a="1"/>
  <c r="D14" i="23" s="1"/>
  <c r="D15" i="23" a="1"/>
  <c r="D15" i="23"/>
  <c r="D16" i="23" a="1"/>
  <c r="D16" i="23"/>
  <c r="D17" i="23" a="1"/>
  <c r="D17" i="23"/>
  <c r="D18" i="23" a="1"/>
  <c r="D18" i="23"/>
  <c r="D19" i="23" a="1"/>
  <c r="D19" i="23"/>
  <c r="F19" i="23" s="1"/>
  <c r="D20" i="23" a="1"/>
  <c r="D20" i="23" s="1"/>
  <c r="D21" i="23" a="1"/>
  <c r="D21" i="23" s="1"/>
  <c r="D22" i="23" a="1"/>
  <c r="D22" i="23" s="1"/>
  <c r="D23" i="23" a="1"/>
  <c r="D23" i="23"/>
  <c r="D24" i="23" a="1"/>
  <c r="D24" i="23"/>
  <c r="D25" i="23" a="1"/>
  <c r="D25" i="23"/>
  <c r="D26" i="23" a="1"/>
  <c r="D26" i="23" s="1"/>
  <c r="D27" i="23" a="1"/>
  <c r="D27" i="23"/>
  <c r="D28" i="23" a="1"/>
  <c r="D28" i="23"/>
  <c r="C5" i="23" a="1"/>
  <c r="C5" i="23" s="1"/>
  <c r="C6" i="23" a="1"/>
  <c r="C6" i="23" s="1"/>
  <c r="C7" i="23" a="1"/>
  <c r="C7" i="23" s="1"/>
  <c r="C8" i="23" a="1"/>
  <c r="C8" i="23" s="1"/>
  <c r="C9" i="23" a="1"/>
  <c r="C9" i="23"/>
  <c r="C10" i="23" a="1"/>
  <c r="C10" i="23"/>
  <c r="C11" i="23" a="1"/>
  <c r="C11" i="23" s="1"/>
  <c r="C12" i="23" a="1"/>
  <c r="C12" i="23"/>
  <c r="C13" i="23" a="1"/>
  <c r="C13" i="23" s="1"/>
  <c r="C14" i="23" a="1"/>
  <c r="C14" i="23" s="1"/>
  <c r="C15" i="23" a="1"/>
  <c r="C15" i="23"/>
  <c r="F15" i="23" s="1"/>
  <c r="C16" i="23" a="1"/>
  <c r="C16" i="23" s="1"/>
  <c r="F16" i="23" s="1"/>
  <c r="C17" i="23" a="1"/>
  <c r="C17" i="23" s="1"/>
  <c r="F17" i="23" s="1"/>
  <c r="C18" i="23" a="1"/>
  <c r="C18" i="23"/>
  <c r="C19" i="23" a="1"/>
  <c r="C19" i="23"/>
  <c r="C20" i="23" a="1"/>
  <c r="C20" i="23" s="1"/>
  <c r="C21" i="23" a="1"/>
  <c r="C21" i="23" s="1"/>
  <c r="C22" i="23" a="1"/>
  <c r="C22" i="23" s="1"/>
  <c r="C23" i="23" a="1"/>
  <c r="C23" i="23"/>
  <c r="C24" i="23" a="1"/>
  <c r="C24" i="23"/>
  <c r="C25" i="23" a="1"/>
  <c r="C25" i="23" s="1"/>
  <c r="C26" i="23" a="1"/>
  <c r="C26" i="23" s="1"/>
  <c r="C27" i="23" a="1"/>
  <c r="C27" i="23" s="1"/>
  <c r="F27" i="23" s="1"/>
  <c r="C28" i="23" a="1"/>
  <c r="C28" i="23"/>
  <c r="C4" i="23" a="1"/>
  <c r="C4" i="23" s="1"/>
  <c r="D4" i="23" a="1"/>
  <c r="D4" i="23" s="1"/>
  <c r="E4" i="23" a="1"/>
  <c r="E4" i="23" s="1"/>
  <c r="B4" i="23" a="1"/>
  <c r="B4" i="23" s="1"/>
  <c r="F4" i="23" s="1"/>
  <c r="B5" i="23" a="1"/>
  <c r="B5" i="23" s="1"/>
  <c r="F5" i="23" s="1"/>
  <c r="B6" i="23" a="1"/>
  <c r="B6" i="23" s="1"/>
  <c r="F6" i="23" s="1"/>
  <c r="B7" i="23" a="1"/>
  <c r="B7" i="23" s="1"/>
  <c r="F7" i="23" s="1"/>
  <c r="B8" i="23" a="1"/>
  <c r="B8" i="23" s="1"/>
  <c r="F8" i="23" s="1"/>
  <c r="B9" i="23" a="1"/>
  <c r="B9" i="23" s="1"/>
  <c r="B10" i="23" a="1"/>
  <c r="B10" i="23" s="1"/>
  <c r="F10" i="23" s="1"/>
  <c r="B11" i="23" a="1"/>
  <c r="B11" i="23" s="1"/>
  <c r="F11" i="23" s="1"/>
  <c r="B12" i="23" a="1"/>
  <c r="B12" i="23" s="1"/>
  <c r="F12" i="23" s="1"/>
  <c r="B13" i="23" a="1"/>
  <c r="B13" i="23" s="1"/>
  <c r="F13" i="23" s="1"/>
  <c r="B14" i="23" a="1"/>
  <c r="B14" i="23" s="1"/>
  <c r="F14" i="23" s="1"/>
  <c r="B15" i="23" a="1"/>
  <c r="B15" i="23"/>
  <c r="B16" i="23" a="1"/>
  <c r="B16" i="23" s="1"/>
  <c r="B17" i="23" a="1"/>
  <c r="B17" i="23"/>
  <c r="B18" i="23" a="1"/>
  <c r="B18" i="23" s="1"/>
  <c r="B19" i="23" a="1"/>
  <c r="B19" i="23" s="1"/>
  <c r="B20" i="23" a="1"/>
  <c r="B20" i="23" s="1"/>
  <c r="F20" i="23" s="1"/>
  <c r="B21" i="23" a="1"/>
  <c r="B21" i="23" s="1"/>
  <c r="F21" i="23" s="1"/>
  <c r="B22" i="23" a="1"/>
  <c r="B22" i="23" s="1"/>
  <c r="F22" i="23" s="1"/>
  <c r="B23" i="23" a="1"/>
  <c r="B23" i="23" s="1"/>
  <c r="F23" i="23" s="1"/>
  <c r="B24" i="23" a="1"/>
  <c r="B24" i="23" s="1"/>
  <c r="F24" i="23" s="1"/>
  <c r="B25" i="23" a="1"/>
  <c r="B25" i="23" s="1"/>
  <c r="F25" i="23" s="1"/>
  <c r="B26" i="23" a="1"/>
  <c r="B26" i="23" s="1"/>
  <c r="F26" i="23" s="1"/>
  <c r="B27" i="23" a="1"/>
  <c r="B27" i="23" s="1"/>
  <c r="B28" i="23" a="1"/>
  <c r="B28" i="23" s="1"/>
  <c r="F28" i="23" s="1"/>
  <c r="T26" i="2"/>
  <c r="T23" i="2"/>
  <c r="T24" i="2"/>
  <c r="T25" i="2"/>
  <c r="T22" i="2"/>
  <c r="P22" i="2"/>
  <c r="P26" i="2" s="1"/>
  <c r="T14" i="2"/>
  <c r="T18" i="2" s="1"/>
  <c r="T10" i="2"/>
  <c r="T17" i="2"/>
  <c r="T16" i="2"/>
  <c r="T15" i="2"/>
  <c r="T6" i="2"/>
  <c r="T9" i="2"/>
  <c r="T8" i="2"/>
  <c r="T7" i="2"/>
  <c r="Q31" i="2"/>
  <c r="Q30" i="2"/>
  <c r="Q29" i="2"/>
  <c r="P25" i="2"/>
  <c r="P24" i="2"/>
  <c r="P23" i="2"/>
  <c r="P18" i="2"/>
  <c r="P15" i="2"/>
  <c r="P16" i="2"/>
  <c r="P17" i="2"/>
  <c r="P14" i="2"/>
  <c r="P10" i="2"/>
  <c r="P7" i="2"/>
  <c r="P8" i="2"/>
  <c r="P9" i="2"/>
  <c r="P6" i="2"/>
  <c r="J5" i="2"/>
  <c r="J6" i="2"/>
  <c r="J7" i="2"/>
  <c r="J8" i="2"/>
  <c r="J9" i="2"/>
  <c r="J10" i="2"/>
  <c r="K10" i="2" s="1"/>
  <c r="J11" i="2"/>
  <c r="K11" i="2" s="1"/>
  <c r="J12" i="2"/>
  <c r="K12" i="2" s="1"/>
  <c r="J13" i="2"/>
  <c r="J14" i="2"/>
  <c r="J15" i="2"/>
  <c r="J16" i="2"/>
  <c r="J17" i="2"/>
  <c r="J18" i="2"/>
  <c r="K18" i="2" s="1"/>
  <c r="J19" i="2"/>
  <c r="K19" i="2" s="1"/>
  <c r="J20" i="2"/>
  <c r="K20" i="2" s="1"/>
  <c r="J21" i="2"/>
  <c r="J22" i="2"/>
  <c r="J23" i="2"/>
  <c r="J24" i="2"/>
  <c r="J25" i="2"/>
  <c r="J26" i="2"/>
  <c r="K26" i="2" s="1"/>
  <c r="J27" i="2"/>
  <c r="K27" i="2" s="1"/>
  <c r="J28" i="2"/>
  <c r="K28" i="2" s="1"/>
  <c r="J29" i="2"/>
  <c r="J30" i="2"/>
  <c r="J31" i="2"/>
  <c r="J32" i="2"/>
  <c r="J33" i="2"/>
  <c r="J34" i="2"/>
  <c r="K34" i="2" s="1"/>
  <c r="J35" i="2"/>
  <c r="K35" i="2" s="1"/>
  <c r="J36" i="2"/>
  <c r="K36" i="2" s="1"/>
  <c r="J37" i="2"/>
  <c r="J38" i="2"/>
  <c r="J39" i="2"/>
  <c r="J40" i="2"/>
  <c r="J41" i="2"/>
  <c r="J42" i="2"/>
  <c r="K42" i="2" s="1"/>
  <c r="J43" i="2"/>
  <c r="K43" i="2" s="1"/>
  <c r="J44" i="2"/>
  <c r="K44" i="2" s="1"/>
  <c r="J45" i="2"/>
  <c r="J46" i="2"/>
  <c r="J47" i="2"/>
  <c r="J48" i="2"/>
  <c r="J49" i="2"/>
  <c r="J50" i="2"/>
  <c r="K50" i="2" s="1"/>
  <c r="J51" i="2"/>
  <c r="K51" i="2" s="1"/>
  <c r="J52" i="2"/>
  <c r="K52" i="2" s="1"/>
  <c r="J53" i="2"/>
  <c r="J54" i="2"/>
  <c r="J55" i="2"/>
  <c r="J56" i="2"/>
  <c r="J57" i="2"/>
  <c r="J58" i="2"/>
  <c r="K58" i="2" s="1"/>
  <c r="J59" i="2"/>
  <c r="K59" i="2" s="1"/>
  <c r="J60" i="2"/>
  <c r="K60" i="2" s="1"/>
  <c r="J61" i="2"/>
  <c r="J62" i="2"/>
  <c r="J63" i="2"/>
  <c r="J64" i="2"/>
  <c r="J65" i="2"/>
  <c r="J66" i="2"/>
  <c r="K66" i="2" s="1"/>
  <c r="J67" i="2"/>
  <c r="K67" i="2" s="1"/>
  <c r="J68" i="2"/>
  <c r="K68" i="2" s="1"/>
  <c r="J69" i="2"/>
  <c r="J70" i="2"/>
  <c r="J71" i="2"/>
  <c r="J72" i="2"/>
  <c r="J73" i="2"/>
  <c r="J4" i="2"/>
  <c r="K4" i="2" s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K5" i="2"/>
  <c r="K6" i="2"/>
  <c r="K7" i="2"/>
  <c r="K8" i="2"/>
  <c r="K9" i="2"/>
  <c r="K13" i="2"/>
  <c r="K14" i="2"/>
  <c r="K15" i="2"/>
  <c r="K16" i="2"/>
  <c r="K17" i="2"/>
  <c r="K21" i="2"/>
  <c r="K22" i="2"/>
  <c r="K23" i="2"/>
  <c r="K24" i="2"/>
  <c r="K25" i="2"/>
  <c r="K29" i="2"/>
  <c r="K30" i="2"/>
  <c r="K31" i="2"/>
  <c r="K32" i="2"/>
  <c r="K33" i="2"/>
  <c r="K37" i="2"/>
  <c r="K38" i="2"/>
  <c r="K39" i="2"/>
  <c r="K40" i="2"/>
  <c r="K41" i="2"/>
  <c r="K45" i="2"/>
  <c r="K46" i="2"/>
  <c r="K47" i="2"/>
  <c r="K48" i="2"/>
  <c r="K49" i="2"/>
  <c r="K53" i="2"/>
  <c r="K54" i="2"/>
  <c r="K55" i="2"/>
  <c r="K56" i="2"/>
  <c r="K57" i="2"/>
  <c r="K61" i="2"/>
  <c r="K62" i="2"/>
  <c r="K63" i="2"/>
  <c r="K64" i="2"/>
  <c r="K65" i="2"/>
  <c r="K69" i="2"/>
  <c r="K70" i="2"/>
  <c r="K71" i="2"/>
  <c r="K72" i="2"/>
  <c r="K73" i="2"/>
  <c r="I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4" i="2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2" i="18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2" i="18"/>
  <c r="M43" i="21" a="1"/>
  <c r="M43" i="21" s="1"/>
  <c r="M55" i="21" a="1"/>
  <c r="M55" i="21" s="1"/>
  <c r="M7" i="21" a="1"/>
  <c r="M7" i="21" s="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7" i="15"/>
  <c r="P17" i="15"/>
  <c r="N17" i="15"/>
  <c r="P16" i="15"/>
  <c r="N16" i="15"/>
  <c r="F7" i="15"/>
  <c r="C1" i="2"/>
  <c r="F9" i="23" l="1"/>
  <c r="H6" i="21"/>
  <c r="H7" i="21"/>
  <c r="H9" i="21"/>
  <c r="H16" i="21"/>
  <c r="H17" i="21"/>
  <c r="H24" i="21"/>
  <c r="H25" i="21"/>
  <c r="H31" i="21"/>
  <c r="H32" i="21"/>
  <c r="H40" i="21"/>
  <c r="O39" i="2"/>
  <c r="O38" i="2"/>
  <c r="O37" i="2"/>
  <c r="O31" i="2"/>
  <c r="O30" i="2"/>
  <c r="O29" i="2"/>
  <c r="S20" i="2"/>
  <c r="S12" i="2"/>
  <c r="S4" i="2"/>
  <c r="F78" i="21"/>
  <c r="F77" i="21"/>
  <c r="G77" i="21" s="1"/>
  <c r="H77" i="21" s="1" a="1"/>
  <c r="H77" i="21" s="1"/>
  <c r="F76" i="21"/>
  <c r="G75" i="21"/>
  <c r="F75" i="21"/>
  <c r="G74" i="21"/>
  <c r="F74" i="21"/>
  <c r="F73" i="21"/>
  <c r="G73" i="21" s="1"/>
  <c r="H73" i="21" s="1" a="1"/>
  <c r="H73" i="21" s="1"/>
  <c r="G72" i="21"/>
  <c r="I72" i="21" s="1" a="1"/>
  <c r="I72" i="21" s="1"/>
  <c r="F72" i="21"/>
  <c r="F71" i="21"/>
  <c r="G71" i="21" s="1"/>
  <c r="F70" i="21"/>
  <c r="F69" i="21"/>
  <c r="G69" i="21" s="1"/>
  <c r="H69" i="21" s="1" a="1"/>
  <c r="H69" i="21" s="1"/>
  <c r="F68" i="21"/>
  <c r="F67" i="21"/>
  <c r="F66" i="21"/>
  <c r="F65" i="21"/>
  <c r="G65" i="21" s="1"/>
  <c r="H65" i="21" s="1" a="1"/>
  <c r="H65" i="21" s="1"/>
  <c r="F64" i="21"/>
  <c r="G64" i="21" s="1"/>
  <c r="F63" i="21"/>
  <c r="G62" i="21"/>
  <c r="F62" i="21"/>
  <c r="F61" i="21"/>
  <c r="G61" i="21" s="1"/>
  <c r="H61" i="21" s="1" a="1"/>
  <c r="H61" i="21" s="1"/>
  <c r="F60" i="21"/>
  <c r="G60" i="21" s="1"/>
  <c r="F59" i="21"/>
  <c r="G59" i="21" s="1"/>
  <c r="G58" i="21"/>
  <c r="F58" i="21"/>
  <c r="F57" i="21"/>
  <c r="G57" i="21" s="1"/>
  <c r="H57" i="21" s="1" a="1"/>
  <c r="H57" i="21" s="1"/>
  <c r="F56" i="21"/>
  <c r="G56" i="21" s="1"/>
  <c r="F55" i="21"/>
  <c r="F54" i="21"/>
  <c r="G54" i="21" s="1"/>
  <c r="F53" i="21"/>
  <c r="G53" i="21" s="1"/>
  <c r="H53" i="21" s="1" a="1"/>
  <c r="H53" i="21" s="1"/>
  <c r="I52" i="21" a="1"/>
  <c r="I52" i="21" s="1"/>
  <c r="G52" i="21"/>
  <c r="H52" i="21" s="1" a="1"/>
  <c r="H52" i="21" s="1"/>
  <c r="F52" i="21"/>
  <c r="F51" i="21"/>
  <c r="G51" i="21" s="1"/>
  <c r="H51" i="21" s="1" a="1"/>
  <c r="H51" i="21" s="1"/>
  <c r="F50" i="21"/>
  <c r="G50" i="21" s="1"/>
  <c r="F49" i="21"/>
  <c r="G49" i="21" s="1"/>
  <c r="H49" i="21" s="1" a="1"/>
  <c r="H49" i="21" s="1"/>
  <c r="F48" i="21"/>
  <c r="F47" i="21"/>
  <c r="F46" i="21"/>
  <c r="F45" i="21"/>
  <c r="G45" i="21" s="1"/>
  <c r="H45" i="21" s="1" a="1"/>
  <c r="H45" i="21" s="1"/>
  <c r="F44" i="21"/>
  <c r="F40" i="21"/>
  <c r="G40" i="21" s="1"/>
  <c r="F39" i="21"/>
  <c r="F38" i="21"/>
  <c r="G38" i="21" s="1"/>
  <c r="F37" i="21"/>
  <c r="F36" i="21"/>
  <c r="F35" i="21"/>
  <c r="G35" i="21" s="1"/>
  <c r="F34" i="21"/>
  <c r="G34" i="21" s="1"/>
  <c r="G33" i="21"/>
  <c r="F33" i="21"/>
  <c r="F32" i="21"/>
  <c r="G32" i="21" s="1"/>
  <c r="F31" i="21"/>
  <c r="G31" i="21" s="1"/>
  <c r="F30" i="21"/>
  <c r="F29" i="21"/>
  <c r="G29" i="21" s="1"/>
  <c r="F28" i="21"/>
  <c r="G28" i="21" s="1"/>
  <c r="F27" i="21"/>
  <c r="G27" i="21" s="1"/>
  <c r="G26" i="21"/>
  <c r="F26" i="21"/>
  <c r="H26" i="21" s="1"/>
  <c r="F25" i="21"/>
  <c r="G25" i="21" s="1"/>
  <c r="F24" i="21"/>
  <c r="G24" i="21" s="1"/>
  <c r="F23" i="21"/>
  <c r="G23" i="21" s="1"/>
  <c r="F22" i="21"/>
  <c r="G22" i="21" s="1"/>
  <c r="F21" i="21"/>
  <c r="G21" i="21" s="1"/>
  <c r="F20" i="21"/>
  <c r="G20" i="21" s="1"/>
  <c r="F19" i="21"/>
  <c r="G19" i="21" s="1"/>
  <c r="F18" i="21"/>
  <c r="G18" i="21" s="1"/>
  <c r="F17" i="21"/>
  <c r="G17" i="21" s="1"/>
  <c r="F16" i="21"/>
  <c r="G16" i="21" s="1"/>
  <c r="F15" i="21"/>
  <c r="G15" i="21" s="1"/>
  <c r="F14" i="21"/>
  <c r="F13" i="21"/>
  <c r="G13" i="21" s="1"/>
  <c r="G12" i="21"/>
  <c r="F12" i="21"/>
  <c r="H12" i="21" s="1"/>
  <c r="F11" i="21"/>
  <c r="G11" i="21" s="1"/>
  <c r="F10" i="21"/>
  <c r="F9" i="21"/>
  <c r="G9" i="21" s="1"/>
  <c r="F8" i="21"/>
  <c r="G8" i="21" s="1"/>
  <c r="F7" i="21"/>
  <c r="G7" i="21" s="1"/>
  <c r="G6" i="21"/>
  <c r="F6" i="21"/>
  <c r="F41" i="15"/>
  <c r="F40" i="15"/>
  <c r="G40" i="15" s="1"/>
  <c r="F39" i="15"/>
  <c r="F38" i="15"/>
  <c r="G38" i="15" s="1"/>
  <c r="I38" i="15" s="1"/>
  <c r="F37" i="15"/>
  <c r="F36" i="15"/>
  <c r="G36" i="15" s="1"/>
  <c r="I36" i="15" s="1"/>
  <c r="F35" i="15"/>
  <c r="F34" i="15"/>
  <c r="G34" i="15" s="1"/>
  <c r="I34" i="15" s="1"/>
  <c r="F33" i="15"/>
  <c r="F32" i="15"/>
  <c r="G32" i="15" s="1"/>
  <c r="I32" i="15" s="1"/>
  <c r="F31" i="15"/>
  <c r="G31" i="15" s="1"/>
  <c r="F30" i="15"/>
  <c r="G30" i="15" s="1"/>
  <c r="I30" i="15" s="1"/>
  <c r="G29" i="15"/>
  <c r="F29" i="15"/>
  <c r="F28" i="15"/>
  <c r="G28" i="15" s="1"/>
  <c r="F27" i="15"/>
  <c r="G27" i="15" s="1"/>
  <c r="I26" i="15"/>
  <c r="F26" i="15"/>
  <c r="G26" i="15" s="1"/>
  <c r="F25" i="15"/>
  <c r="G25" i="15" s="1"/>
  <c r="F24" i="15"/>
  <c r="G24" i="15" s="1"/>
  <c r="F23" i="15"/>
  <c r="F22" i="15"/>
  <c r="G22" i="15" s="1"/>
  <c r="I22" i="15" s="1"/>
  <c r="F21" i="15"/>
  <c r="I20" i="15"/>
  <c r="F20" i="15"/>
  <c r="G20" i="15" s="1"/>
  <c r="F19" i="15"/>
  <c r="F18" i="15"/>
  <c r="G18" i="15" s="1"/>
  <c r="I18" i="15" s="1"/>
  <c r="F17" i="15"/>
  <c r="F16" i="15"/>
  <c r="G16" i="15" s="1"/>
  <c r="I16" i="15" s="1"/>
  <c r="F15" i="15"/>
  <c r="G15" i="15" s="1"/>
  <c r="F14" i="15"/>
  <c r="G14" i="15" s="1"/>
  <c r="I14" i="15" s="1"/>
  <c r="G13" i="15"/>
  <c r="F13" i="15"/>
  <c r="F12" i="15"/>
  <c r="G12" i="15" s="1"/>
  <c r="F11" i="15"/>
  <c r="F10" i="15"/>
  <c r="G10" i="15" s="1"/>
  <c r="I10" i="15" s="1"/>
  <c r="F9" i="15"/>
  <c r="G9" i="15" s="1"/>
  <c r="F8" i="15"/>
  <c r="G8" i="15" s="1"/>
  <c r="G7" i="15"/>
  <c r="I7" i="15" s="1"/>
  <c r="H39" i="21" l="1"/>
  <c r="H56" i="21" a="1"/>
  <c r="H56" i="21" s="1"/>
  <c r="I56" i="21" a="1"/>
  <c r="I56" i="21" s="1"/>
  <c r="H33" i="21"/>
  <c r="G14" i="21"/>
  <c r="H66" i="21" a="1"/>
  <c r="H66" i="21" s="1"/>
  <c r="H72" i="21" a="1"/>
  <c r="H72" i="21" s="1"/>
  <c r="G78" i="21"/>
  <c r="H78" i="21" s="1" a="1"/>
  <c r="H78" i="21" s="1"/>
  <c r="H8" i="21"/>
  <c r="G39" i="21"/>
  <c r="G66" i="21"/>
  <c r="I66" i="21" s="1" a="1"/>
  <c r="I66" i="21" s="1"/>
  <c r="G76" i="21"/>
  <c r="I76" i="21" s="1" a="1"/>
  <c r="I76" i="21" s="1"/>
  <c r="H23" i="21"/>
  <c r="H15" i="21"/>
  <c r="I40" i="15"/>
  <c r="I69" i="21" a="1"/>
  <c r="I69" i="21" s="1"/>
  <c r="H76" i="21" a="1"/>
  <c r="H76" i="21" s="1"/>
  <c r="H22" i="21"/>
  <c r="H14" i="21"/>
  <c r="G30" i="21"/>
  <c r="I60" i="21" a="1"/>
  <c r="I60" i="21" s="1"/>
  <c r="H64" i="21" a="1"/>
  <c r="H64" i="21" s="1"/>
  <c r="H29" i="21"/>
  <c r="H21" i="21"/>
  <c r="H13" i="21"/>
  <c r="I9" i="15"/>
  <c r="I24" i="15"/>
  <c r="G36" i="21"/>
  <c r="G44" i="21"/>
  <c r="I44" i="21" s="1" a="1"/>
  <c r="I44" i="21" s="1"/>
  <c r="G48" i="21"/>
  <c r="I48" i="21" s="1" a="1"/>
  <c r="I48" i="21" s="1"/>
  <c r="H58" i="21" a="1"/>
  <c r="H58" i="21" s="1"/>
  <c r="G68" i="21"/>
  <c r="I68" i="21" s="1" a="1"/>
  <c r="I68" i="21" s="1"/>
  <c r="G70" i="21"/>
  <c r="H70" i="21" s="1" a="1"/>
  <c r="H70" i="21" s="1"/>
  <c r="H74" i="21" a="1"/>
  <c r="H74" i="21" s="1"/>
  <c r="H28" i="21"/>
  <c r="H20" i="21"/>
  <c r="I49" i="21" a="1"/>
  <c r="I49" i="21" s="1"/>
  <c r="H60" i="21" a="1"/>
  <c r="H60" i="21" s="1"/>
  <c r="G10" i="21"/>
  <c r="H10" i="21" s="1"/>
  <c r="H38" i="21"/>
  <c r="I12" i="15"/>
  <c r="I28" i="15"/>
  <c r="I64" i="21" a="1"/>
  <c r="I64" i="21" s="1"/>
  <c r="H35" i="21"/>
  <c r="H27" i="21"/>
  <c r="H19" i="21"/>
  <c r="H11" i="21"/>
  <c r="G37" i="21"/>
  <c r="H62" i="21" a="1"/>
  <c r="H62" i="21" s="1"/>
  <c r="I77" i="21" a="1"/>
  <c r="I77" i="21" s="1"/>
  <c r="H34" i="21"/>
  <c r="H18" i="21"/>
  <c r="I15" i="15"/>
  <c r="G21" i="15"/>
  <c r="I21" i="15" s="1"/>
  <c r="I31" i="15"/>
  <c r="G37" i="15"/>
  <c r="I37" i="15" s="1"/>
  <c r="I45" i="21" a="1"/>
  <c r="I45" i="21" s="1"/>
  <c r="H54" i="21" a="1"/>
  <c r="H54" i="21" s="1"/>
  <c r="I54" i="21" a="1"/>
  <c r="I54" i="21" s="1"/>
  <c r="G63" i="21"/>
  <c r="H63" i="21" s="1" a="1"/>
  <c r="H63" i="21" s="1"/>
  <c r="I65" i="21" a="1"/>
  <c r="I65" i="21" s="1"/>
  <c r="I19" i="15"/>
  <c r="G41" i="15"/>
  <c r="I41" i="15" s="1"/>
  <c r="I55" i="21" a="1"/>
  <c r="I55" i="21" s="1"/>
  <c r="I73" i="21" a="1"/>
  <c r="I73" i="21" s="1"/>
  <c r="I35" i="15"/>
  <c r="I13" i="15"/>
  <c r="G19" i="15"/>
  <c r="I29" i="15"/>
  <c r="G35" i="15"/>
  <c r="G46" i="21"/>
  <c r="H46" i="21" s="1" a="1"/>
  <c r="H46" i="21" s="1"/>
  <c r="I51" i="21" a="1"/>
  <c r="I51" i="21" s="1"/>
  <c r="G55" i="21"/>
  <c r="I61" i="21" a="1"/>
  <c r="I61" i="21" s="1"/>
  <c r="I71" i="21" a="1"/>
  <c r="I71" i="21" s="1"/>
  <c r="H71" i="21" a="1"/>
  <c r="H71" i="21" s="1"/>
  <c r="I8" i="15"/>
  <c r="I39" i="15"/>
  <c r="I47" i="21" a="1"/>
  <c r="I47" i="21" s="1"/>
  <c r="H55" i="21" a="1"/>
  <c r="H55" i="21" s="1"/>
  <c r="I67" i="21" a="1"/>
  <c r="I67" i="21" s="1"/>
  <c r="I25" i="15"/>
  <c r="H50" i="21" a="1"/>
  <c r="H50" i="21" s="1"/>
  <c r="I50" i="21" a="1"/>
  <c r="I50" i="21" s="1"/>
  <c r="I59" i="21" a="1"/>
  <c r="I59" i="21" s="1"/>
  <c r="H59" i="21" a="1"/>
  <c r="H59" i="21" s="1"/>
  <c r="I23" i="15"/>
  <c r="G11" i="15"/>
  <c r="G23" i="15"/>
  <c r="I33" i="15"/>
  <c r="G39" i="15"/>
  <c r="G47" i="21"/>
  <c r="I57" i="21" a="1"/>
  <c r="I57" i="21" s="1"/>
  <c r="G67" i="21"/>
  <c r="H67" i="21" s="1" a="1"/>
  <c r="H67" i="21" s="1"/>
  <c r="I11" i="15"/>
  <c r="G17" i="15"/>
  <c r="I17" i="15" s="1"/>
  <c r="I27" i="15"/>
  <c r="G33" i="15"/>
  <c r="H47" i="21" a="1"/>
  <c r="H47" i="21" s="1"/>
  <c r="I53" i="21" a="1"/>
  <c r="I53" i="21" s="1"/>
  <c r="I75" i="21" a="1"/>
  <c r="I75" i="21" s="1"/>
  <c r="H75" i="21" a="1"/>
  <c r="H75" i="21" s="1"/>
  <c r="I58" i="21" a="1"/>
  <c r="I58" i="21" s="1"/>
  <c r="I62" i="21" a="1"/>
  <c r="I62" i="21" s="1"/>
  <c r="I74" i="21" a="1"/>
  <c r="I74" i="21" s="1"/>
  <c r="I78" i="21" a="1"/>
  <c r="I78" i="21" s="1"/>
  <c r="R37" i="2"/>
  <c r="Q37" i="2"/>
  <c r="I70" i="21" l="1" a="1"/>
  <c r="I70" i="21" s="1"/>
  <c r="H48" i="21" a="1"/>
  <c r="H48" i="21" s="1"/>
  <c r="H30" i="21"/>
  <c r="H36" i="21"/>
  <c r="H68" i="21" a="1"/>
  <c r="H68" i="21" s="1"/>
  <c r="H37" i="21"/>
  <c r="H44" i="21" a="1"/>
  <c r="H44" i="21" s="1"/>
  <c r="Q39" i="2"/>
  <c r="R38" i="2"/>
  <c r="S39" i="2" s="1"/>
  <c r="Q38" i="2"/>
  <c r="R39" i="2"/>
  <c r="I63" i="21" a="1"/>
  <c r="I63" i="21" s="1"/>
  <c r="I46" i="21" a="1"/>
  <c r="I46" i="2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5" authorId="0" shapeId="0" xr:uid="{AAAD4F61-6AF5-49AF-95BA-901A37DE095A}">
      <text>
        <r>
          <rPr>
            <sz val="9"/>
            <color indexed="81"/>
            <rFont val="Tahoma"/>
            <family val="2"/>
            <charset val="204"/>
          </rPr>
          <t xml:space="preserve">Резултатите от теста в лист "Резултати тест" трябва да се умножат по 1,25 и да се закръглят до цяло число с функция. </t>
        </r>
      </text>
    </comment>
    <comment ref="G6" authorId="0" shapeId="0" xr:uid="{1F13E2D9-677B-4F92-8AD5-997956B41C15}">
      <text>
        <r>
          <rPr>
            <sz val="9"/>
            <color indexed="81"/>
            <rFont val="Tahoma"/>
            <family val="2"/>
            <charset val="204"/>
          </rPr>
          <t xml:space="preserve">Текущ контрол + точки от изпит.
За неявилите се - празен текстов низ.
</t>
        </r>
      </text>
    </comment>
    <comment ref="H6" authorId="0" shapeId="0" xr:uid="{16916700-6815-489F-B4A6-5511EE1C109C}">
      <text>
        <r>
          <rPr>
            <sz val="9"/>
            <color indexed="81"/>
            <rFont val="Tahoma"/>
            <family val="2"/>
            <charset val="204"/>
          </rPr>
          <t>Оценката с която съответства на точките.
За неявилите се - празен текстов низ.</t>
        </r>
      </text>
    </comment>
    <comment ref="I6" authorId="0" shapeId="0" xr:uid="{DDB80804-000A-44E8-9573-0A52AD15EF3F}">
      <text>
        <r>
          <rPr>
            <sz val="9"/>
            <color indexed="81"/>
            <rFont val="Tahoma"/>
            <family val="2"/>
            <charset val="204"/>
          </rPr>
          <t>Оценката с цифри, която съответства на оценката с думи.
За неявилите се студенти да се изведе: "Неявил се".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5" authorId="0" shapeId="0" xr:uid="{6195B8C3-EBA4-48EF-8C24-4BB9F525E3C6}">
      <text>
        <r>
          <rPr>
            <sz val="9"/>
            <color indexed="81"/>
            <rFont val="Tahoma"/>
            <family val="2"/>
            <charset val="204"/>
          </rPr>
          <t>Резултатите от теста в лист "Резултати тест" трябва да се умножат по 1,25 и да се закръглят до цяло число с функция. 
За неявилите се - празен текстов низ.</t>
        </r>
      </text>
    </comment>
    <comment ref="G5" authorId="0" shapeId="0" xr:uid="{1ABDA3C7-6A8A-4113-BA79-83596AA5C4DC}">
      <text>
        <r>
          <rPr>
            <sz val="9"/>
            <color indexed="81"/>
            <rFont val="Tahoma"/>
            <family val="2"/>
            <charset val="204"/>
          </rPr>
          <t xml:space="preserve">Текущ контрол + точки от изпит.
За неявилите се - празен текстов низ.
</t>
        </r>
      </text>
    </comment>
    <comment ref="H5" authorId="0" shapeId="0" xr:uid="{FCA5AF76-22E1-487D-98C5-FB37B3AE20DC}">
      <text>
        <r>
          <rPr>
            <sz val="9"/>
            <color indexed="81"/>
            <rFont val="Tahoma"/>
            <family val="2"/>
            <charset val="204"/>
          </rPr>
          <t xml:space="preserve">От таблица "Оценки_ подредени" с търсене в колона "До".
</t>
        </r>
      </text>
    </comment>
    <comment ref="I5" authorId="0" shapeId="0" xr:uid="{618173C5-9B50-4964-8107-28206F8F2903}">
      <text>
        <r>
          <rPr>
            <sz val="9"/>
            <color indexed="81"/>
            <rFont val="Tahoma"/>
            <family val="2"/>
            <charset val="204"/>
          </rPr>
          <t>От таблица "Оценки_ неподредени" с търсене в колона "До".
За неявилите се студенти да се изведе: "Неявил се".</t>
        </r>
      </text>
    </comment>
    <comment ref="M6" authorId="0" shapeId="0" xr:uid="{2B1AD1F8-79A5-4B26-9113-A73D1FF6F20A}">
      <text>
        <r>
          <rPr>
            <sz val="9"/>
            <color indexed="81"/>
            <rFont val="Tahoma"/>
            <family val="2"/>
            <charset val="204"/>
          </rPr>
          <t>Да се изведатданните от протокола за студента с въведения в клетката фак. номер. Ако няма такъв студент, да се изведе подходящо съобщение.</t>
        </r>
      </text>
    </comment>
    <comment ref="M32" authorId="0" shapeId="0" xr:uid="{CB728762-7769-4489-9CAC-733D3FC0E5C3}">
      <text>
        <r>
          <rPr>
            <sz val="9"/>
            <color indexed="81"/>
            <rFont val="Tahoma"/>
            <family val="2"/>
            <charset val="204"/>
          </rPr>
          <t xml:space="preserve">Да се изведатданните от протокола за студента на основата на въведени данни в една от клеткитe: M26:M28. Ако няма такъв студент, да се изведе подходящо съобщение.
</t>
        </r>
      </text>
    </comment>
    <comment ref="F43" authorId="0" shapeId="0" xr:uid="{7F15C008-A8AF-4C7E-8FBD-6D441BCDBEA4}">
      <text>
        <r>
          <rPr>
            <sz val="9"/>
            <color indexed="81"/>
            <rFont val="Tahoma"/>
            <family val="2"/>
            <charset val="204"/>
          </rPr>
          <t>Резултатите от теста в лист "Резултати тест" трябва да се умножат по 1,25 и да се закръглят до цяло число с функция. 
За неявилите се - празен текстов низ.</t>
        </r>
      </text>
    </comment>
    <comment ref="G43" authorId="0" shapeId="0" xr:uid="{1BEBD9CA-BF96-45CF-A31A-1AFCDE99F5C2}">
      <text>
        <r>
          <rPr>
            <sz val="9"/>
            <color indexed="81"/>
            <rFont val="Tahoma"/>
            <family val="2"/>
            <charset val="204"/>
          </rPr>
          <t xml:space="preserve">Текущ контрол + точки от изпит.
За неявилите се - празен текстов низ.
</t>
        </r>
      </text>
    </comment>
    <comment ref="H43" authorId="0" shapeId="0" xr:uid="{442417BB-5D37-42C6-9BA2-F4D5F08163E9}">
      <text>
        <r>
          <rPr>
            <sz val="9"/>
            <color indexed="81"/>
            <rFont val="Tahoma"/>
            <family val="2"/>
            <charset val="204"/>
          </rPr>
          <t xml:space="preserve">От таблица "Оценки_ подредени" с търсене в колона "От".
</t>
        </r>
      </text>
    </comment>
    <comment ref="I43" authorId="0" shapeId="0" xr:uid="{245FBD32-F8E7-416F-8E42-EAB5F8EADC97}">
      <text>
        <r>
          <rPr>
            <sz val="9"/>
            <color indexed="81"/>
            <rFont val="Tahoma"/>
            <family val="2"/>
            <charset val="204"/>
          </rPr>
          <t>От таблица "Оценки_ неподредени" с търсене в колона "От".
За неявилите се студенти да се изведе: "Неявил се".</t>
        </r>
      </text>
    </comment>
    <comment ref="M43" authorId="0" shapeId="0" xr:uid="{918A3A1D-A90E-41B0-85F3-14523781DB6D}">
      <text>
        <r>
          <rPr>
            <sz val="9"/>
            <color indexed="81"/>
            <rFont val="Tahoma"/>
            <family val="2"/>
            <charset val="204"/>
          </rPr>
          <t xml:space="preserve">Да се изведатданните от протокола за студента на основата на въведени данни в една от клеткитe: M26:M28. Ако няма такъв студент, да се изведе подходящо съобщение.
</t>
        </r>
      </text>
    </comment>
    <comment ref="M55" authorId="0" shapeId="0" xr:uid="{F9B030C3-FF9A-43D4-84A8-6591B1EC0FE2}">
      <text>
        <r>
          <rPr>
            <sz val="9"/>
            <color indexed="81"/>
            <rFont val="Tahoma"/>
            <family val="2"/>
            <charset val="204"/>
          </rPr>
          <t xml:space="preserve">Да се изведатданните от протокола за студента на основата на въведени данни в една от клеткитe: M26:M28. Ако няма такъв студент, да се изведе подходящо съобщение.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1" authorId="0" shapeId="0" xr:uid="{FADEDF3E-3206-4CA7-A93F-97908CAF231D}">
      <text>
        <r>
          <rPr>
            <sz val="9"/>
            <color indexed="81"/>
            <rFont val="Tahoma"/>
            <family val="2"/>
            <charset val="204"/>
          </rPr>
          <t xml:space="preserve">Да се доълни с текущата дата.
</t>
        </r>
      </text>
    </comment>
    <comment ref="F3" authorId="0" shapeId="0" xr:uid="{EDB841B3-D514-4691-932A-EDE3EA1480CA}">
      <text>
        <r>
          <rPr>
            <b/>
            <sz val="9"/>
            <color indexed="81"/>
            <rFont val="Tahoma"/>
            <family val="2"/>
            <charset val="204"/>
          </rPr>
          <t>От лист "Грант по страни"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3" authorId="0" shapeId="0" xr:uid="{8ADC6069-E2E4-4082-B153-8D02335D692C}">
      <text>
        <r>
          <rPr>
            <b/>
            <sz val="9"/>
            <color indexed="81"/>
            <rFont val="Tahoma"/>
            <family val="2"/>
            <charset val="204"/>
          </rPr>
          <t>Край на престоя - начало на престоя +1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3" authorId="0" shapeId="0" xr:uid="{85553F95-F449-40DF-9FC7-E804E4FAD113}">
      <text>
        <r>
          <rPr>
            <b/>
            <sz val="9"/>
            <color indexed="81"/>
            <rFont val="Tahoma"/>
            <family val="2"/>
            <charset val="204"/>
          </rPr>
          <t>Престой като част от годината*12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3" authorId="0" shapeId="0" xr:uid="{E8A7515E-A818-40C2-984B-28437FAD711D}">
      <text>
        <r>
          <rPr>
            <sz val="9"/>
            <color indexed="81"/>
            <rFont val="Tahoma"/>
            <family val="2"/>
            <charset val="204"/>
          </rPr>
          <t>Престой в месеци * Месечен грант
Оцветете в избран от вас цвят всички стойности, които са над средната стойност.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B53CA56C-B303-4158-A43B-B680C3EC2FEC}">
      <text>
        <r>
          <rPr>
            <b/>
            <sz val="9"/>
            <color indexed="81"/>
            <rFont val="Tahoma"/>
            <family val="2"/>
            <charset val="204"/>
          </rPr>
          <t>Чрез подходяща функция</t>
        </r>
      </text>
    </comment>
    <comment ref="I4" authorId="0" shapeId="0" xr:uid="{5B71C2C1-6D8D-4376-894D-29CD2C9BE07E}">
      <text>
        <r>
          <rPr>
            <b/>
            <sz val="9"/>
            <color indexed="81"/>
            <rFont val="Tahoma"/>
            <family val="2"/>
            <charset val="204"/>
          </rPr>
          <t>Чрез SUM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5" authorId="0" shapeId="0" xr:uid="{C463A97A-E264-4CB2-B5F5-EFAE5CE8D532}">
      <text>
        <r>
          <rPr>
            <b/>
            <sz val="9"/>
            <color indexed="81"/>
            <rFont val="Tahoma"/>
            <family val="2"/>
            <charset val="204"/>
          </rPr>
          <t>От колона "Общо"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 xr:uid="{FFC098CC-4337-4FBC-932B-C1926561422F}">
      <text>
        <r>
          <rPr>
            <b/>
            <sz val="9"/>
            <color indexed="81"/>
            <rFont val="Tahoma"/>
            <family val="2"/>
            <charset val="204"/>
          </rPr>
          <t>Вложени функции XLOOKUP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" authorId="0" shapeId="0" xr:uid="{C6239C4E-2B27-4AF4-8207-BA60773F3027}">
      <text>
        <r>
          <rPr>
            <sz val="9"/>
            <color indexed="81"/>
            <rFont val="Tahoma"/>
            <family val="2"/>
            <charset val="204"/>
          </rPr>
          <t xml:space="preserve">От лист "Месечен грант"
</t>
        </r>
      </text>
    </comment>
    <comment ref="C1" authorId="0" shapeId="0" xr:uid="{F670F0C7-96D5-481A-92DA-82E9F12B367E}">
      <text>
        <r>
          <rPr>
            <sz val="9"/>
            <color indexed="81"/>
            <rFont val="Tahoma"/>
            <family val="2"/>
            <charset val="204"/>
          </rPr>
          <t xml:space="preserve">От лист "Месечен грант"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<sst xmlns="http://schemas.openxmlformats.org/spreadsheetml/2006/main" count="780" uniqueCount="276">
  <si>
    <t>Име</t>
  </si>
  <si>
    <t>Университет</t>
  </si>
  <si>
    <t>Факултет</t>
  </si>
  <si>
    <t>Специалност</t>
  </si>
  <si>
    <t>Месечен грант (евро/месец)</t>
  </si>
  <si>
    <t>Начало на престоя</t>
  </si>
  <si>
    <t>Край на престоя</t>
  </si>
  <si>
    <t>Общ грант</t>
  </si>
  <si>
    <t>Иван Стоянов Андреев</t>
  </si>
  <si>
    <t>Естония</t>
  </si>
  <si>
    <t>Колеж Лене-Виру, Мъдрику (EE LAANE-VO2)</t>
  </si>
  <si>
    <t>Факултет "Управление"</t>
  </si>
  <si>
    <t>Мениджмънт</t>
  </si>
  <si>
    <t>Петя Иванова Добрева</t>
  </si>
  <si>
    <t>Гърция</t>
  </si>
  <si>
    <t>Университет Западна Атика (G EGALEO 02)</t>
  </si>
  <si>
    <t>Стопански факултет</t>
  </si>
  <si>
    <t>Аграрен бизнес</t>
  </si>
  <si>
    <t>Стоян Генов Иванов</t>
  </si>
  <si>
    <t>Белгия</t>
  </si>
  <si>
    <t>Висше училище Карл Велики, Антверпен (B ANTWERP 59)</t>
  </si>
  <si>
    <t>Финансово-счетоводен факултет</t>
  </si>
  <si>
    <t>Финанси</t>
  </si>
  <si>
    <t>Християн Атанасов Младенов</t>
  </si>
  <si>
    <t>Великобритания</t>
  </si>
  <si>
    <t>Бизнес училище Нотингам (UK NOTTING02)</t>
  </si>
  <si>
    <t>Предприемачество и инвестиционен мениджмънт</t>
  </si>
  <si>
    <t>Михаил Стоянов Йорданов</t>
  </si>
  <si>
    <t>Естонска академия по сигурността, Талин (EE TALLINN10)</t>
  </si>
  <si>
    <t>Даниел Златанов Тонев</t>
  </si>
  <si>
    <t>Факултет "Информатика"</t>
  </si>
  <si>
    <t>Информатика</t>
  </si>
  <si>
    <t>Самуил Драгомиров Янев</t>
  </si>
  <si>
    <t>Германия</t>
  </si>
  <si>
    <t>Висше училище Висмар (D WISMAR01)</t>
  </si>
  <si>
    <t>Счетоводство и финанси</t>
  </si>
  <si>
    <t>Татяна Калоянова Дечева</t>
  </si>
  <si>
    <t>Международни икономически отношения</t>
  </si>
  <si>
    <t>Владимир Мирославов Цветанов</t>
  </si>
  <si>
    <t>Испания</t>
  </si>
  <si>
    <t>Университет Гранада - Икономика (E GRANADA01)</t>
  </si>
  <si>
    <t>Бизнес икономика</t>
  </si>
  <si>
    <t>Лъчезар Боянов Красимиров</t>
  </si>
  <si>
    <t>Ирландия</t>
  </si>
  <si>
    <t>Университет Лимерик (IRL LIMERIC01)</t>
  </si>
  <si>
    <t>Бизнес информационни системи</t>
  </si>
  <si>
    <t>Теодор Боянов Желязков</t>
  </si>
  <si>
    <t>Италия</t>
  </si>
  <si>
    <t>Университет на Парма (I PARMA01)</t>
  </si>
  <si>
    <t>Никол Драгомирова Янкова</t>
  </si>
  <si>
    <t>Висше училище Баден-Вюртемберг (D HEIDEN 02)</t>
  </si>
  <si>
    <t>Маркетинг</t>
  </si>
  <si>
    <t>Албена Калинова Светославова</t>
  </si>
  <si>
    <t>Кипър</t>
  </si>
  <si>
    <t>Колеж "Сити Юнити" Никозия (CY NICOSIA35)</t>
  </si>
  <si>
    <t>Икономика и търговия</t>
  </si>
  <si>
    <t>Даниел Константинов Страхилов</t>
  </si>
  <si>
    <t>Латвия</t>
  </si>
  <si>
    <t>Латвийски селскостопански университет, Йелгава (LV JELGAVA01)</t>
  </si>
  <si>
    <t>Гергана Огнянова Любомирова</t>
  </si>
  <si>
    <t>Нидерландия</t>
  </si>
  <si>
    <t>ВУ Фонтис, Айндховен (NL EINHOV03)</t>
  </si>
  <si>
    <t>Дигитални медии и ПР</t>
  </si>
  <si>
    <t>Осман Копук Реджеб</t>
  </si>
  <si>
    <t>Логистика</t>
  </si>
  <si>
    <t>Христо Калинов Трифонов</t>
  </si>
  <si>
    <t>Никола Боянов Людмилов</t>
  </si>
  <si>
    <t>Армения</t>
  </si>
  <si>
    <t>Арменски държавен икономически университет - Икономика (Yerevan)</t>
  </si>
  <si>
    <t>Информатика и компютърни науки</t>
  </si>
  <si>
    <t>Даниел Марианов Йорданов</t>
  </si>
  <si>
    <t>Публична администрация</t>
  </si>
  <si>
    <t>Емил Петров Светославов</t>
  </si>
  <si>
    <t>Кристиян Пламенов Петров</t>
  </si>
  <si>
    <t>Недвижими имоти и инвестиции</t>
  </si>
  <si>
    <t>Кристиян Красимиров Богданов</t>
  </si>
  <si>
    <t>Университет на Генуа (I GENOVA01)</t>
  </si>
  <si>
    <t>Емине Талипоглу Мехмед</t>
  </si>
  <si>
    <t>Турция</t>
  </si>
  <si>
    <t>Университет Алтънбаш - Истанбул (TR ISTANBU38)</t>
  </si>
  <si>
    <t>Борислав Дениславов Димов</t>
  </si>
  <si>
    <t>Пламена Владимирова Йорданова</t>
  </si>
  <si>
    <t>Чехия</t>
  </si>
  <si>
    <t>Политехнически колеж Ихлава (CZ JIHLAVA02)</t>
  </si>
  <si>
    <t>Симона Дениславова Ангелова</t>
  </si>
  <si>
    <t>Хърватия</t>
  </si>
  <si>
    <t>Университет Дубровник (HR DUBROVN01)</t>
  </si>
  <si>
    <t>Осман Хюсеин Сюлейман</t>
  </si>
  <si>
    <t>Мерал Мюся Осман</t>
  </si>
  <si>
    <t>Полша</t>
  </si>
  <si>
    <t>Висше училище - Ниса (PL NYSA01)</t>
  </si>
  <si>
    <t>Ирен Стоянова Златева</t>
  </si>
  <si>
    <t>Португалия</t>
  </si>
  <si>
    <t>Политехнически институт Коимбра - Икономика (P COIMBRA01)</t>
  </si>
  <si>
    <t>Счетоводство и одит</t>
  </si>
  <si>
    <t>Ивайло Мирославов Константинов</t>
  </si>
  <si>
    <t>Унгария</t>
  </si>
  <si>
    <t>Университет Обуда, Будапеща (HU BUDAPES16)</t>
  </si>
  <si>
    <t>Симеон Деянов Янков</t>
  </si>
  <si>
    <t>Румъния</t>
  </si>
  <si>
    <t>Румънско - Американски университет (RO BUCURES18)</t>
  </si>
  <si>
    <t>Христо Стоянов Любомиров</t>
  </si>
  <si>
    <t>Франция</t>
  </si>
  <si>
    <t>Приморски университет, Дюнкерк (F DUNKERQ09)</t>
  </si>
  <si>
    <t>Дилек Ерол Юсеин</t>
  </si>
  <si>
    <t>Казахстан</t>
  </si>
  <si>
    <t>Турански университет - Алмати (Kazakhstan)</t>
  </si>
  <si>
    <t>Лъчезар Павлов Дечев</t>
  </si>
  <si>
    <t>Борислав Йорданов Веселинов</t>
  </si>
  <si>
    <t>Национален университет за дистанционно образование - Мадрид (E MADRID01)</t>
  </si>
  <si>
    <t>Цанко Трифонов Недялков</t>
  </si>
  <si>
    <t>Австрия</t>
  </si>
  <si>
    <t>Университет по приложни науки за мениджмънт и комуникация Виена (A WIEN21)</t>
  </si>
  <si>
    <t>Симеон Йорданов Драгомиров</t>
  </si>
  <si>
    <t>Константин Запрянов Младенов</t>
  </si>
  <si>
    <t>Кипърски университет, Никозия (CY NICOSIA01)</t>
  </si>
  <si>
    <t>Лъчезар Ангелов Мирославов</t>
  </si>
  <si>
    <t>Златина Павлова Антонова</t>
  </si>
  <si>
    <t>Висше училище по икономика Варшава (PL WARSZAW03)</t>
  </si>
  <si>
    <t>Международен туризъм (с преподаване на руски език)</t>
  </si>
  <si>
    <t>Зейнеб Метин Юсеин</t>
  </si>
  <si>
    <t>Счетоводство (с преподаване на английски език)</t>
  </si>
  <si>
    <t>Лъчезар Янков Добрев</t>
  </si>
  <si>
    <t>Университет Мишколц (HU MISCOLC01)</t>
  </si>
  <si>
    <t>Димитър Минков Николаев</t>
  </si>
  <si>
    <t>Висше училище Бон-Райн-Зийг (D ST-AUGU02)</t>
  </si>
  <si>
    <t>Сава Минков Пламенов</t>
  </si>
  <si>
    <t>Владислав Кирилов Мирославов</t>
  </si>
  <si>
    <t>Албания</t>
  </si>
  <si>
    <t>Университет на Тирана (TIRANA)</t>
  </si>
  <si>
    <t>Строителен бизнес и предприемачество</t>
  </si>
  <si>
    <t>Лъчезар Томов Вълев</t>
  </si>
  <si>
    <t>Застраховане и осигуряване</t>
  </si>
  <si>
    <t>Самуил Янков Людмилов</t>
  </si>
  <si>
    <t>Университет Алмерия (E ALMERIA 01)</t>
  </si>
  <si>
    <t>Туризъм</t>
  </si>
  <si>
    <t>Любомир Валентинов Минков</t>
  </si>
  <si>
    <t>Даниел Атанасов Дениславов</t>
  </si>
  <si>
    <t>Борислав Атанасов Христов</t>
  </si>
  <si>
    <t>Финландия</t>
  </si>
  <si>
    <t>Висше училище Сейнайоки (SF SEINAJO06)</t>
  </si>
  <si>
    <t>Кристиян Димов Вълев</t>
  </si>
  <si>
    <t>Юлияна Боянова Харитонова</t>
  </si>
  <si>
    <t>Християн Томов Димов</t>
  </si>
  <si>
    <t>Университет Дебрецен (HU DEBRECE01)</t>
  </si>
  <si>
    <t>Никола Минов Страхилов</t>
  </si>
  <si>
    <t>Любомир Христов Бориславов</t>
  </si>
  <si>
    <t>Университет Мендел в Бърно (CZ BRNO02)</t>
  </si>
  <si>
    <t>Симеон Петров Димов</t>
  </si>
  <si>
    <t>Борислав Антонов Тонев</t>
  </si>
  <si>
    <t>Лъчезар Валентинов Георгиев</t>
  </si>
  <si>
    <t>Петя Пламенова Трифонова</t>
  </si>
  <si>
    <t>Борислав Деянов Людмилов</t>
  </si>
  <si>
    <t>Словения</t>
  </si>
  <si>
    <t>Университет Марибор (SI MARIBOR01)</t>
  </si>
  <si>
    <t>Никола Ангелов Василев</t>
  </si>
  <si>
    <t>Цветанка Ростиславова Хаджиева</t>
  </si>
  <si>
    <t>Ивайло Кирилов Марианов</t>
  </si>
  <si>
    <t>Сава Запрянов Станчев</t>
  </si>
  <si>
    <t>Висше училище Форматик Барна, Барселона (E BARCELO102)</t>
  </si>
  <si>
    <t>Самуил Минков Вълев</t>
  </si>
  <si>
    <t>Университет Каляри - Бизнес и Управление (I CAGLIAR01)</t>
  </si>
  <si>
    <t>Кристиян Паскалев Павлов</t>
  </si>
  <si>
    <t>Варминско-мазурски Университет в Олщин (PL OLSZTYN 01)</t>
  </si>
  <si>
    <t>Златко Трифонов Долапчиев</t>
  </si>
  <si>
    <t>Никол Паскалева Дамянова</t>
  </si>
  <si>
    <t>Никола Богданов Мартинов</t>
  </si>
  <si>
    <t>Живко Богданов Петров</t>
  </si>
  <si>
    <t>Политехнически институт Коимбра - Туризъм (P COIMBRA02)</t>
  </si>
  <si>
    <t>Брой дни престой</t>
  </si>
  <si>
    <t>Общо</t>
  </si>
  <si>
    <t>Изплатен Еразъм+ грант за обучение на студенти по факултети</t>
  </si>
  <si>
    <t>Брой студенти, осъществили мобилност с цел обучение по програма Еразъм+ , по факултети</t>
  </si>
  <si>
    <t>Средна стойност на изплатения Еразъм+ грант за обучение на  един студент по факултети</t>
  </si>
  <si>
    <t>Приложение на функциите SUMIF, COUNTIF и AVERAGEIF</t>
  </si>
  <si>
    <t>Страна:</t>
  </si>
  <si>
    <t>Страни</t>
  </si>
  <si>
    <t>Страна</t>
  </si>
  <si>
    <t>Приложение на функциите SUMIFS, COUNTIFS и AVERAGEIFS</t>
  </si>
  <si>
    <t>Еразъм+ грант в евро</t>
  </si>
  <si>
    <t>Брой студенти</t>
  </si>
  <si>
    <t>Еразъм+ грант в евро (средно на студент)</t>
  </si>
  <si>
    <t>№</t>
  </si>
  <si>
    <t>Пламен Станимиров Златанов</t>
  </si>
  <si>
    <t>Златко Емилов Абаджиев</t>
  </si>
  <si>
    <t>Габриела Николаева Димова</t>
  </si>
  <si>
    <t>Ахмед Ремзи Адем</t>
  </si>
  <si>
    <t>Галина Янкова Георгиова</t>
  </si>
  <si>
    <t>Цветан Любомиров Бориславов</t>
  </si>
  <si>
    <t>Георги Красимиров Долапчиев</t>
  </si>
  <si>
    <t>Григор Янков Долапчиев</t>
  </si>
  <si>
    <t>Яна Енчева Веселинова</t>
  </si>
  <si>
    <t>Надежда Атанасова Буюклиева</t>
  </si>
  <si>
    <t>Енчо Димов Арабаджиев</t>
  </si>
  <si>
    <t>Таня Стоянова Станимирова</t>
  </si>
  <si>
    <t>Габриела Славова Недялкова</t>
  </si>
  <si>
    <t>Лиляна Калинова Танева</t>
  </si>
  <si>
    <t>Исмет Адем Айхан</t>
  </si>
  <si>
    <t>Алпер Талипоглу Ибрахим</t>
  </si>
  <si>
    <t>Владимир Емилов Енчев</t>
  </si>
  <si>
    <t>Дилек Дженгизова Яшарова</t>
  </si>
  <si>
    <t>Яна Цветанова Тасева</t>
  </si>
  <si>
    <t>Неслихан Месудова Мехмедова</t>
  </si>
  <si>
    <t>Ерсин Хюсеин Исмаил</t>
  </si>
  <si>
    <t>Янко Руменов Трифонов</t>
  </si>
  <si>
    <t>Мерал Дженгизова Гюнаева</t>
  </si>
  <si>
    <t>Весела Христова Любомирова</t>
  </si>
  <si>
    <t>Мария Ростиславова Недялкова</t>
  </si>
  <si>
    <t>,</t>
  </si>
  <si>
    <t>Търсена дума от името на специалостта</t>
  </si>
  <si>
    <t>бизнес</t>
  </si>
  <si>
    <t>Протокол №--- за редовна сесия</t>
  </si>
  <si>
    <t>Слаб</t>
  </si>
  <si>
    <t>Среден</t>
  </si>
  <si>
    <t>Добър</t>
  </si>
  <si>
    <t>Фак. номер</t>
  </si>
  <si>
    <t>СИН номер</t>
  </si>
  <si>
    <t>Имена</t>
  </si>
  <si>
    <t>Текущ контрол</t>
  </si>
  <si>
    <t>Точки от изпит</t>
  </si>
  <si>
    <t>Крайна оценка</t>
  </si>
  <si>
    <t>Мн. добър</t>
  </si>
  <si>
    <t>Точки</t>
  </si>
  <si>
    <t>С думи и цифри</t>
  </si>
  <si>
    <t>Отличен</t>
  </si>
  <si>
    <t>От</t>
  </si>
  <si>
    <t>До</t>
  </si>
  <si>
    <t>Група</t>
  </si>
  <si>
    <t>Държава</t>
  </si>
  <si>
    <t>Група 1 (страни, участващи в програмата, с висок стандарт на живот)</t>
  </si>
  <si>
    <t> Великобритания, Дания, Исландия, Ирландия, Лихтенщайн, Люксембург, Норвегия, Финландия,  Швеция</t>
  </si>
  <si>
    <t>Група 2 (страни, участващи в програмата, със среден стандарт на живот)</t>
  </si>
  <si>
    <t>Австрия,Белгия, Германия, Гърция, Испания, Италия,Кипър, Нидерландия, Малта, Португалия,Франция</t>
  </si>
  <si>
    <t>Група 3 (страни, участващи в програмата, с нисък стандарт на живот)</t>
  </si>
  <si>
    <t>Естония, Латвия, Литва, Полша, Румъния,Северна  Македония,  Словакия, Словения, Сърбия, Турция, Унгария, Хърватия, Чехия,</t>
  </si>
  <si>
    <t>Група 4 (партниращи държави-страни, участващи в програмата, извън рамките на ЕС)</t>
  </si>
  <si>
    <t>Албания, Армения, Индия, Казахстан, Руска Федерация, Северна Македония, Черна гора, Украйна</t>
  </si>
  <si>
    <t>Индия</t>
  </si>
  <si>
    <t>Литва</t>
  </si>
  <si>
    <t>Руска федерация</t>
  </si>
  <si>
    <t>Северна Македония</t>
  </si>
  <si>
    <t>Словакия</t>
  </si>
  <si>
    <t>Сърбия</t>
  </si>
  <si>
    <t>Украйна</t>
  </si>
  <si>
    <t>Черна гора</t>
  </si>
  <si>
    <t>ИКОНОМИЧЕСКИ УНИВЕРСИТЕТ - ВАРНА</t>
  </si>
  <si>
    <t>ИЗПИТЕН ПРОТОКОЛ</t>
  </si>
  <si>
    <t>Преподавател:</t>
  </si>
  <si>
    <t>Дата:</t>
  </si>
  <si>
    <t>Дисциплина:</t>
  </si>
  <si>
    <t>Фак.№</t>
  </si>
  <si>
    <t>СИН</t>
  </si>
  <si>
    <t>Курс</t>
  </si>
  <si>
    <t>Верни</t>
  </si>
  <si>
    <t>Грешни</t>
  </si>
  <si>
    <t>Неотговорени</t>
  </si>
  <si>
    <t>Група: 6</t>
  </si>
  <si>
    <r>
      <t xml:space="preserve">Специалност </t>
    </r>
    <r>
      <rPr>
        <sz val="11"/>
        <color rgb="FF000000"/>
        <rFont val="Calibri"/>
        <family val="2"/>
        <charset val="204"/>
        <scheme val="minor"/>
      </rPr>
      <t xml:space="preserve">: </t>
    </r>
    <r>
      <rPr>
        <b/>
        <sz val="11"/>
        <color rgb="FF000000"/>
        <rFont val="Calibri"/>
        <family val="2"/>
        <charset val="204"/>
        <scheme val="minor"/>
      </rPr>
      <t>---</t>
    </r>
  </si>
  <si>
    <r>
      <t xml:space="preserve">Дисциплина </t>
    </r>
    <r>
      <rPr>
        <sz val="11"/>
        <color rgb="FF000000"/>
        <rFont val="Calibri"/>
        <family val="2"/>
        <charset val="204"/>
        <scheme val="minor"/>
      </rPr>
      <t xml:space="preserve">: </t>
    </r>
    <r>
      <rPr>
        <b/>
        <sz val="11"/>
        <color rgb="FF000000"/>
        <rFont val="Calibri"/>
        <family val="2"/>
        <charset val="204"/>
        <scheme val="minor"/>
      </rPr>
      <t>----</t>
    </r>
  </si>
  <si>
    <t>с цифри</t>
  </si>
  <si>
    <t>с думи</t>
  </si>
  <si>
    <t>Оценка с думи</t>
  </si>
  <si>
    <t>Оценка с цифри</t>
  </si>
  <si>
    <t>точки</t>
  </si>
  <si>
    <t>Въведете данни само в една от клетките за търсения студент.</t>
  </si>
  <si>
    <t>Крайна оценка с точки</t>
  </si>
  <si>
    <t>Крайна оценка с думи</t>
  </si>
  <si>
    <t>Крайна оценка с цифри</t>
  </si>
  <si>
    <t>Престой в месеци</t>
  </si>
  <si>
    <t>Престой в дни</t>
  </si>
  <si>
    <t>Брой студентски мобилности по страни и факултети</t>
  </si>
  <si>
    <t>Брой мобилности</t>
  </si>
  <si>
    <t>Въведете едновременно страна и факултет</t>
  </si>
  <si>
    <t>Въведете страна</t>
  </si>
  <si>
    <t>Студент с оценка "Слаб" и крайна оценка с точки над 40 т. при търсене от началото</t>
  </si>
  <si>
    <t>Студент с оценка "Слаб" и крайна оценка с точки над 40 т. при търсене от края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</si>
</sst>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"/>
    <numFmt numFmtId="165" formatCode="0;;&quot;-&quot;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212529"/>
      <name val="Helvetica"/>
      <family val="2"/>
      <charset val="204"/>
    </font>
    <font>
      <b/>
      <sz val="11"/>
      <color rgb="FF212529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11"/>
      <color rgb="FF00000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/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3" borderId="12" xfId="0" applyFont="1" applyFill="1" applyBorder="1"/>
    <xf numFmtId="0" fontId="0" fillId="4" borderId="13" xfId="0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0" fillId="7" borderId="7" xfId="0" applyFill="1" applyBorder="1"/>
    <xf numFmtId="0" fontId="0" fillId="7" borderId="1" xfId="0" applyFill="1" applyBorder="1" applyAlignment="1">
      <alignment horizontal="center"/>
    </xf>
    <xf numFmtId="0" fontId="7" fillId="8" borderId="16" xfId="0" applyFont="1" applyFill="1" applyBorder="1" applyAlignment="1">
      <alignment horizontal="center" vertical="center" wrapText="1"/>
    </xf>
    <xf numFmtId="0" fontId="8" fillId="8" borderId="17" xfId="0" applyFont="1" applyFill="1" applyBorder="1" applyAlignment="1">
      <alignment horizontal="center" vertical="center" wrapText="1"/>
    </xf>
    <xf numFmtId="0" fontId="8" fillId="8" borderId="17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0" borderId="0" xfId="0" applyFont="1"/>
    <xf numFmtId="0" fontId="5" fillId="8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 applyProtection="1">
      <alignment horizontal="center" vertical="center" wrapText="1"/>
      <protection hidden="1"/>
    </xf>
    <xf numFmtId="0" fontId="5" fillId="7" borderId="7" xfId="0" applyFont="1" applyFill="1" applyBorder="1" applyAlignment="1" applyProtection="1">
      <alignment horizontal="left" vertical="center" wrapText="1"/>
      <protection hidden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0" fontId="5" fillId="8" borderId="0" xfId="0" applyFont="1" applyFill="1" applyAlignment="1">
      <alignment vertical="center"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0" borderId="1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0" xfId="0" applyFont="1" applyBorder="1" applyAlignment="1">
      <alignment horizontal="left"/>
    </xf>
    <xf numFmtId="0" fontId="5" fillId="0" borderId="21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6" borderId="1" xfId="0" applyFill="1" applyBorder="1"/>
    <xf numFmtId="0" fontId="5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right" wrapText="1"/>
    </xf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10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 applyProtection="1">
      <alignment horizontal="center" vertical="center" wrapText="1"/>
      <protection hidden="1"/>
    </xf>
    <xf numFmtId="0" fontId="5" fillId="0" borderId="7" xfId="0" applyFont="1" applyBorder="1" applyAlignment="1" applyProtection="1">
      <alignment horizontal="left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5" fillId="0" borderId="23" xfId="0" applyFont="1" applyBorder="1" applyAlignment="1">
      <alignment horizontal="center" vertical="center" wrapText="1"/>
    </xf>
    <xf numFmtId="0" fontId="5" fillId="0" borderId="23" xfId="0" applyFont="1" applyBorder="1" applyAlignment="1" applyProtection="1">
      <alignment horizontal="center" vertical="center" wrapText="1"/>
      <protection hidden="1"/>
    </xf>
    <xf numFmtId="0" fontId="5" fillId="0" borderId="23" xfId="0" applyFont="1" applyBorder="1" applyAlignment="1" applyProtection="1">
      <alignment horizontal="left" vertical="center" wrapText="1"/>
      <protection hidden="1"/>
    </xf>
    <xf numFmtId="0" fontId="5" fillId="0" borderId="22" xfId="0" applyFont="1" applyBorder="1" applyAlignment="1" applyProtection="1">
      <alignment horizontal="center" vertical="center" wrapText="1"/>
      <protection hidden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0" fillId="0" borderId="20" xfId="0" applyBorder="1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0" fontId="1" fillId="7" borderId="4" xfId="0" applyFont="1" applyFill="1" applyBorder="1" applyAlignment="1">
      <alignment horizontal="center" vertical="center" wrapText="1"/>
    </xf>
    <xf numFmtId="2" fontId="0" fillId="7" borderId="1" xfId="0" applyNumberFormat="1" applyFill="1" applyBorder="1"/>
    <xf numFmtId="164" fontId="0" fillId="7" borderId="1" xfId="0" applyNumberFormat="1" applyFill="1" applyBorder="1"/>
    <xf numFmtId="165" fontId="0" fillId="0" borderId="0" xfId="0" applyNumberFormat="1"/>
    <xf numFmtId="0" fontId="1" fillId="0" borderId="0" xfId="0" applyFont="1"/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6" borderId="15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6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vertical="center" wrapText="1"/>
    </xf>
  </cellXfs>
  <cellStyles count="1">
    <cellStyle name="Normal" xfId="0" builtinId="0"/>
  </cellStyles>
  <dxfs count="50">
    <dxf>
      <numFmt numFmtId="165" formatCode="0;;&quot;-&quot;"/>
    </dxf>
    <dxf>
      <numFmt numFmtId="165" formatCode="0;;&quot;-&quot;"/>
    </dxf>
    <dxf>
      <numFmt numFmtId="165" formatCode="0;;&quot;-&quot;"/>
    </dxf>
    <dxf>
      <numFmt numFmtId="165" formatCode="0;;&quot;-&quot;"/>
    </dxf>
    <dxf>
      <numFmt numFmtId="165" formatCode="0;;&quot;-&quot;"/>
    </dxf>
    <dxf>
      <numFmt numFmtId="165" formatCode="0;;&quot;-&quot;"/>
    </dxf>
    <dxf>
      <numFmt numFmtId="165" formatCode="0;;&quot;-&quot;"/>
    </dxf>
    <dxf>
      <numFmt numFmtId="165" formatCode="0;;&quot;-&quot;"/>
    </dxf>
    <dxf>
      <numFmt numFmtId="165" formatCode="0;;&quot;-&quot;"/>
    </dxf>
    <dxf>
      <numFmt numFmtId="165" formatCode="0;;&quot;-&quot;"/>
    </dxf>
    <dxf>
      <fill>
        <patternFill>
          <bgColor theme="5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107674</xdr:colOff>
      <xdr:row>26</xdr:row>
      <xdr:rowOff>82826</xdr:rowOff>
    </xdr:from>
    <xdr:to>
      <xdr:col>26</xdr:col>
      <xdr:colOff>36940</xdr:colOff>
      <xdr:row>41</xdr:row>
      <xdr:rowOff>168183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4B0D74-6D71-4450-9290-ED6374364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8924" y="6578876"/>
          <a:ext cx="2643891" cy="29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552450</xdr:colOff>
      <xdr:row>0</xdr:row>
      <xdr:rowOff>19049</xdr:rowOff>
    </xdr:from>
    <xdr:to>
      <xdr:col>29</xdr:col>
      <xdr:colOff>600075</xdr:colOff>
      <xdr:row>14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CCD187-5769-43CD-BEE3-A286493FFC7D}"/>
            </a:ext>
          </a:extLst>
        </xdr:cNvPr>
        <xdr:cNvSpPr txBox="1"/>
      </xdr:nvSpPr>
      <xdr:spPr>
        <a:xfrm>
          <a:off x="23393400" y="19049"/>
          <a:ext cx="4924425" cy="580072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g-BG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Функцията</a:t>
          </a:r>
          <a:r>
            <a:rPr lang="bg-BG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SUMIF</a:t>
          </a:r>
          <a:endParaRPr lang="bg-BG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bg-BG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bg-BG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Можете да използвате функцията 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SUMIF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bg-BG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 да сумирате стойностите в диапазон, които отговарят на зададен от вас критерий.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SUMIF(range; criteria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[sum_range])</a:t>
          </a:r>
          <a:endParaRPr lang="bg-BG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 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диапазонът от клетки, за които искате да приложите критерия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endParaRPr lang="bg-BG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критерият във вид на число, израз, адре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 на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клетка, текст или функция, която определя кои клетки ще се сумират. 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критерия могат да бъдат включени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глобалните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заместващи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символи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(? 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*).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Използването на заместващи символи като въпросителен знак (?) и звездичка (*) в </a:t>
          </a:r>
          <a:r>
            <a:rPr lang="bg-BG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критерия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може да Ви помогне да намерите съвпадения, които са сходни, но не точни. 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шаблона в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ъпросителният знак (?)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замества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произволен единичен символ, а звездичката (*), произволна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поредица от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символи. Ако искате да намерите самия въпросителен знак или звездичка, напишете тилда (~)  преди знака.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SUMIF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игнорира разликата между главни и малки букви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 текстовите низове.</a:t>
          </a:r>
          <a:endParaRPr lang="en-GB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Всеки текстов критерий или всеки критерий, който включва логически или математически символи, трябва да е ограден с двойни кавички ("). Ако критерият е число, двойните кавички не са необходими. 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Ако критерият съдържа операциите за сравнение</a:t>
          </a:r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(=, &gt;, &lt;, &gt;=, &lt;=, &lt;&gt;)</a:t>
          </a:r>
          <a:r>
            <a:rPr lang="bg-BG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 адрес на клетка или функция, те трябва да бъдат долепени, напр. чрез използване на операцията за долепяне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(&amp;) </a:t>
          </a:r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или функцията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CONCAT.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bg-BG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sum_range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незадължителен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аргумент на функцията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)- 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диапазонът от клетки,  които искате да сумирате. Ако този аргумент е пропуснат,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 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сумира стойностите от клетките, посочени в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(същите клетки, към които е приложен критерият).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Sum_range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трябва да бъде със същия размер и форма като 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Ако не е, формулата ще сумира диапазона от клетки, който започва с първата клетка в </a:t>
          </a:r>
          <a:r>
            <a:rPr lang="en-GB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sum_range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но има същите размери като 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bg-BG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  <xdr:twoCellAnchor>
    <xdr:from>
      <xdr:col>31</xdr:col>
      <xdr:colOff>19050</xdr:colOff>
      <xdr:row>0</xdr:row>
      <xdr:rowOff>19051</xdr:rowOff>
    </xdr:from>
    <xdr:to>
      <xdr:col>39</xdr:col>
      <xdr:colOff>38100</xdr:colOff>
      <xdr:row>10</xdr:row>
      <xdr:rowOff>457200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31724AB-4A7D-4F09-A42B-EB807610AEC6}"/>
            </a:ext>
          </a:extLst>
        </xdr:cNvPr>
        <xdr:cNvSpPr txBox="1"/>
      </xdr:nvSpPr>
      <xdr:spPr>
        <a:xfrm>
          <a:off x="28689300" y="19051"/>
          <a:ext cx="4895850" cy="42671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g-BG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Функцията</a:t>
          </a:r>
          <a:r>
            <a:rPr lang="bg-BG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SUMIF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endParaRPr lang="bg-BG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GB" sz="1100">
            <a:effectLst/>
          </a:endParaRPr>
        </a:p>
        <a:p>
          <a:r>
            <a:rPr lang="bg-BG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Можете да използвате функцията 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SUMIFS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bg-BG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 да сумирате стойностите в диапазон, които отговарят на зададени от вас критерии.</a:t>
          </a:r>
        </a:p>
        <a:p>
          <a:endParaRPr lang="en-GB">
            <a:effectLst/>
          </a:endParaRP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SUMIFS(sum_range; criteria_range1; criteria1</a:t>
          </a:r>
          <a:r>
            <a:rPr lang="en-GB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[criteria_range2; criteria2]; ...)</a:t>
          </a:r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sum_range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задължителен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аргумент на функцията, за разлика от функцията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SUMIF) - 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диапазонът от клетки,  които искате да сумирате. При изчисляването на сумата участват само клетките от този диапазон, за  които всички зададени съответстващи критерии са изпълнени.</a:t>
          </a:r>
          <a:endParaRPr lang="en-GB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bg-BG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criteria_range1 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диапазонът, който се проверява чрез 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criteria1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С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riteria_range1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criteria1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задават двойка за търсене.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bg-BG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criteria1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критерият, който се проверява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за диапазона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criteria_range1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Изискванията</a:t>
          </a:r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към критерия са същите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както при функцията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SUMIF.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criteria_range2, criteria2; ...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незадължителни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аргументи на функцията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допълнителни диапазони и свързани с тях критерии. Можете да въведете до 127 двойки диапазон/критерий.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bg-BG" sz="1100" b="0" i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Обърнете</a:t>
          </a:r>
          <a:r>
            <a:rPr lang="bg-BG" sz="1100" b="0" i="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внимание, че за разлика от функцията </a:t>
          </a:r>
          <a:r>
            <a:rPr lang="en-US" sz="1100" b="1" i="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SUMIF</a:t>
          </a:r>
          <a:r>
            <a:rPr lang="bg-BG" sz="1100" b="0" i="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, при функцията </a:t>
          </a:r>
          <a:r>
            <a:rPr lang="en-GB" sz="1100" b="1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SUMIF</a:t>
          </a:r>
          <a:r>
            <a:rPr lang="en-US" sz="1100" b="1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bg-BG" sz="1100" b="1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 i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sum_range</a:t>
          </a:r>
          <a:r>
            <a:rPr lang="bg-BG" sz="1100" b="1" i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0" i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е първи и освен това задължителен аргумент!</a:t>
          </a:r>
          <a:endParaRPr lang="en-US" sz="1100" b="0" i="0">
            <a:solidFill>
              <a:schemeClr val="accent6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  <xdr:twoCellAnchor>
    <xdr:from>
      <xdr:col>21</xdr:col>
      <xdr:colOff>581025</xdr:colOff>
      <xdr:row>16</xdr:row>
      <xdr:rowOff>57149</xdr:rowOff>
    </xdr:from>
    <xdr:to>
      <xdr:col>30</xdr:col>
      <xdr:colOff>19050</xdr:colOff>
      <xdr:row>30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F090C9-E126-47A6-9EEF-618B4DD7A443}"/>
            </a:ext>
          </a:extLst>
        </xdr:cNvPr>
        <xdr:cNvSpPr txBox="1"/>
      </xdr:nvSpPr>
      <xdr:spPr>
        <a:xfrm>
          <a:off x="23421975" y="6572249"/>
          <a:ext cx="4924425" cy="64198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g-BG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Функцията</a:t>
          </a:r>
          <a:r>
            <a:rPr lang="bg-BG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AVERAGEIF</a:t>
          </a:r>
          <a:endParaRPr lang="bg-BG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bg-BG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bg-BG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Можете да използвате функцията 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bg-BG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 да усредните стойностите в диапазон, които отговарят на зададен от вас критерий.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AVERAGEIF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(range; criteria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[average_range])</a:t>
          </a:r>
          <a:endParaRPr lang="bg-BG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 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диапазонът от клетки, за които искате да приложите критерия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endParaRPr lang="bg-BG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критерият във вид на число, израз, адре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 на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клетка, текст или функция, която определя кои клетки ще се сумират. 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критерия могат да бъдат включени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глобалните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заместващи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симво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ли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(? 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*).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Използването на заместващи символи като въпросителен знак (?) и звездичка (*) в </a:t>
          </a:r>
          <a:r>
            <a:rPr lang="bg-BG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критерия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може да Ви помогне да намерите съвпадения, които са сходни, но не точни. 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шаблона в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ъпросителният знак (?)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замества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произволен единичен символ, а звездичката (*), произволна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поредица от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символи. Ако искате да намерите самия въпросителен знак или звездичка, напишете тилда (~)  преди знака. Имайте предвид, че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AVERAGEIF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игнорира разликата между главни и малки букви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 текстовите низове.</a:t>
          </a:r>
          <a:endParaRPr lang="en-GB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Всеки текстов критерий или всеки критерий, който включва логически или математически символи, трябва да е ограден с двойни кавички ("). Ако критерият е число, двойните кавички не са необходими. 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Ако критерият съдържа операциите за сравнение</a:t>
          </a:r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(=, &gt;, &lt;, &gt;=, &lt;=, &lt;&gt;)</a:t>
          </a:r>
          <a:r>
            <a:rPr lang="bg-BG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 адрес на клетка или функция, те трябва да бъдат долепени, напр. чрез използване на операцията за долепяне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(&amp;) </a:t>
          </a:r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или функцията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CONCAT.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bg-BG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average_range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незадължителен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аргумент на функцията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)- 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диапазонът от клетки,  които искате да усредните. Ако този аргумент е пропуснат,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 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усреднявя стойностите от клетките, посочени в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(същите клетки, към които е приложен критерият).</a:t>
          </a:r>
        </a:p>
        <a:p>
          <a:endParaRPr lang="bg-BG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Резултатът от функцията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AVERAGEIF</a:t>
          </a:r>
          <a:r>
            <a:rPr lang="bg-BG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е 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DIV0!</a:t>
          </a:r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следните случаи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bg-BG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ако диапазонът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average_range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е празен или е текстова стойност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GB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ако клетките в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average_range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не могат да се превърнат в числа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GB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ако няма клетки, които да отговарят на критерия.</a:t>
          </a:r>
          <a:endParaRPr lang="en-GB">
            <a:effectLst/>
          </a:endParaRPr>
        </a:p>
      </xdr:txBody>
    </xdr:sp>
    <xdr:clientData/>
  </xdr:twoCellAnchor>
  <xdr:twoCellAnchor>
    <xdr:from>
      <xdr:col>30</xdr:col>
      <xdr:colOff>609599</xdr:colOff>
      <xdr:row>16</xdr:row>
      <xdr:rowOff>66675</xdr:rowOff>
    </xdr:from>
    <xdr:to>
      <xdr:col>39</xdr:col>
      <xdr:colOff>76200</xdr:colOff>
      <xdr:row>29</xdr:row>
      <xdr:rowOff>590550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8EED1D8-3EA2-4E8D-AB95-DE9DC5F75E80}"/>
            </a:ext>
          </a:extLst>
        </xdr:cNvPr>
        <xdr:cNvSpPr txBox="1"/>
      </xdr:nvSpPr>
      <xdr:spPr>
        <a:xfrm>
          <a:off x="28936949" y="6581775"/>
          <a:ext cx="4953001" cy="6143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g-BG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Функцията</a:t>
          </a:r>
          <a:r>
            <a:rPr lang="bg-BG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AVERAGEIF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endParaRPr lang="bg-BG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GB" sz="1100">
            <a:effectLst/>
          </a:endParaRPr>
        </a:p>
        <a:p>
          <a:r>
            <a:rPr lang="bg-BG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Можете да използвате функцията 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AVERAGEIF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bg-BG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 да намерите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средната стойност (средна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аритметична) на всички клетки, които отговарят на множество критерии.</a:t>
          </a:r>
        </a:p>
        <a:p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AVERAGEI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FS(average_range; criteria_range1; criteria1</a:t>
          </a:r>
          <a:r>
            <a:rPr lang="en-GB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[criteria_range2, criteria2]; ...)</a:t>
          </a:r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average_range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задължителен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аргумент на функцията, за разлика от функцията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AVERAGEIF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- 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диапазонът от клетки,  които искате да усредните. При изчисляването на средната стойност участват само клетките от този диапазон, за  които всички зададени съответстващи критерии са изпълнени.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criteria_range1 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диапазонът, който се проверява чрез 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criteria1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С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riteria_range1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criteria1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задават двойка за търсене.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criteria1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критерият, който се проверява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за диапазона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criteria_range1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Изискванията</a:t>
          </a:r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към критерия са същите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както при функцията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AVERAGEIF.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criteria_range2, criteria2; ...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незадължителни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аргументи на функцията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допълнителни диапазони и свързани с тях критерии. Можете да въведете до 127 двойки диапазон/критерий.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bg-BG" sz="1100" b="0" i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Обърнете</a:t>
          </a:r>
          <a:r>
            <a:rPr lang="bg-BG" sz="1100" b="0" i="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внимание, че за разлика от функцията </a:t>
          </a:r>
          <a:r>
            <a:rPr lang="en-US" sz="1100" b="0" i="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="1" i="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VERAGEIF</a:t>
          </a:r>
          <a:r>
            <a:rPr lang="bg-BG" sz="1100" b="0" i="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, при функцията</a:t>
          </a:r>
          <a:r>
            <a:rPr lang="en-US" sz="1100" b="0" i="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AVERAGE</a:t>
          </a:r>
          <a:r>
            <a:rPr lang="en-GB" sz="1100" b="1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 b="1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bg-BG" sz="1100" b="1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 i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average_range</a:t>
          </a:r>
          <a:r>
            <a:rPr lang="bg-BG" sz="1100" b="1" i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0" i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е първи и освен това задължителен аргумент!</a:t>
          </a:r>
          <a:endParaRPr lang="en-US" sz="1100" b="0" i="0">
            <a:solidFill>
              <a:schemeClr val="accent6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>
            <a:solidFill>
              <a:schemeClr val="accent6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Резултатът от функцията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AVERAGEIF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bg-BG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е 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DIV0!</a:t>
          </a:r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следните случаи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algn="ctr"/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ако диапазонът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average_range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е празен или е текстова стойност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ако клетките в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average_range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не могат да се превърнат в числа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ако няма клетки, които да отговарят на всички критерии.</a:t>
          </a:r>
          <a:endParaRPr lang="en-GB" sz="1100"/>
        </a:p>
      </xdr:txBody>
    </xdr:sp>
    <xdr:clientData/>
  </xdr:twoCellAnchor>
  <xdr:twoCellAnchor>
    <xdr:from>
      <xdr:col>21</xdr:col>
      <xdr:colOff>552450</xdr:colOff>
      <xdr:row>30</xdr:row>
      <xdr:rowOff>266701</xdr:rowOff>
    </xdr:from>
    <xdr:to>
      <xdr:col>29</xdr:col>
      <xdr:colOff>600075</xdr:colOff>
      <xdr:row>38</xdr:row>
      <xdr:rowOff>781051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41E2A62-3E9D-4DCF-A5AD-CDC4420772FA}"/>
            </a:ext>
          </a:extLst>
        </xdr:cNvPr>
        <xdr:cNvSpPr txBox="1"/>
      </xdr:nvSpPr>
      <xdr:spPr>
        <a:xfrm>
          <a:off x="23393400" y="13192126"/>
          <a:ext cx="4924425" cy="4743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g-BG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Функцията</a:t>
          </a:r>
          <a:r>
            <a:rPr lang="bg-BG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endParaRPr lang="bg-BG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bg-BG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bg-BG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Можете да използвате функцията 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 да преброите клетките, които отговарят на даден критерий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bg-BG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(range; criteria)</a:t>
          </a:r>
          <a:endParaRPr lang="bg-BG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 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диапазонът от клетки, които искате да преброите , ако отговарят на зададения критерий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endParaRPr lang="bg-BG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критерият във вид на число, израз, адре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 на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клетка, текст или функция, която определя кои клетки ще бъдат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преброени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критерия могат да бъдат включени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глобалните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заместващи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символи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(? 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*).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Използването на заместващи символи като въпросителен знак (?) и звездичка (*) в </a:t>
          </a:r>
          <a:r>
            <a:rPr lang="bg-BG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критерия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може да ви помогне да намерите съвпадения, които са сходни, но не точни. 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шаблона в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ъпросителният знак (?)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замества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произволен единичен символ, а звездичката (*), произволна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поредица от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символи. Ако искате да намерите самия въпросителен знак или звездичка, напишете тилда (~)  преди знака. Имайте предвид, че 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COUNTIF 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игнорира разликата между главни и малки букви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 текстовите низове.</a:t>
          </a:r>
          <a:endParaRPr lang="en-GB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Всеки текстов критерий или всеки критерий, който включва логически или математически символи, трябва да е ограден с двойни кавички ("). 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Ако критерият е число, двойните кавички не са необходими. Ако критерият съдържа операциите за сравнение</a:t>
          </a:r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(=, &gt;, &lt;, &gt;=, &lt;=, &lt;&gt;)</a:t>
          </a:r>
          <a:r>
            <a:rPr lang="bg-BG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 адрес на клетка или функция, те трябва да бъдат долепени, напр. чрез използване на операцията за долепяне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(&amp;) </a:t>
          </a:r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или функцията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CONCAT.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0</xdr:colOff>
      <xdr:row>30</xdr:row>
      <xdr:rowOff>276227</xdr:rowOff>
    </xdr:from>
    <xdr:to>
      <xdr:col>39</xdr:col>
      <xdr:colOff>76201</xdr:colOff>
      <xdr:row>38</xdr:row>
      <xdr:rowOff>590551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3DB5923-091F-4160-829A-5D74AF16493A}"/>
            </a:ext>
          </a:extLst>
        </xdr:cNvPr>
        <xdr:cNvSpPr txBox="1"/>
      </xdr:nvSpPr>
      <xdr:spPr>
        <a:xfrm>
          <a:off x="28936950" y="13201652"/>
          <a:ext cx="4953001" cy="4543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g-BG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Функцията</a:t>
          </a:r>
          <a:r>
            <a:rPr lang="bg-BG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IFS</a:t>
          </a:r>
          <a:endParaRPr lang="bg-BG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GB" sz="1100">
            <a:effectLst/>
          </a:endParaRPr>
        </a:p>
        <a:p>
          <a:r>
            <a:rPr lang="bg-BG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Можете да използвате функцията 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IFS</a:t>
          </a:r>
          <a:r>
            <a:rPr lang="bg-BG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bg-BG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за да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приложите критерии към клетки в няколко диапазона и да преброите колко пъти са изпълнени всички критерии.</a:t>
          </a:r>
          <a:endParaRPr lang="en-GB">
            <a:effectLst/>
          </a:endParaRP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S(criteria_range1; criteria1</a:t>
          </a:r>
          <a:r>
            <a:rPr lang="en-GB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[criteria_range2, criteria2]; ...)</a:t>
          </a:r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criteria_range1 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диапазонът, който се проверява чрез 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criteria1 (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първият диапазон за проверка на свързаните критерии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bg-BG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criteria1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критерият, който се проверява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за диапазона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criteria_range1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Изискванията</a:t>
          </a:r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към критерия са същите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bg-BG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както при функцията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criteria_range2, criteria2; ...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незадължителни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аргументи на функцията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bg-BG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допълнителни диапазони и свързани с тях критерии. Можете да въведете до 127 двойки диапазон/критерий.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Всеки допълнителен диапазон трябва да има същия брой редове и колони като аргумента 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criteria_range1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Не е необходимо диапазоните да са съседни.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даден момент критерият на всеки диапазон се прилага само върху една клетка. Ако 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всички първи клетки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отговарят на свързаните с тях критерии, броят се увеличава с 1. Ако </a:t>
          </a:r>
          <a:r>
            <a:rPr lang="bg-BG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всички втори клетки </a:t>
          </a:r>
          <a:r>
            <a:rPr lang="bg-BG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отговарят на свързаните с тях критерии, броят се увеличава с още 1 и така, докато се оценят всички клетки.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>
            <a:effectLst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DEED4-8045-4508-A838-46F9BD64D1E5}" name="Оценки_подредени" displayName="Оценки_подредени" ref="O2:R7" totalsRowShown="0" headerRowDxfId="49" headerRowBorderDxfId="48" tableBorderDxfId="47" totalsRowBorderDxfId="46">
  <autoFilter ref="O2:R7" xr:uid="{D65DEED4-8045-4508-A838-46F9BD64D1E5}"/>
  <tableColumns count="4">
    <tableColumn id="1" xr3:uid="{C85F35D2-1F2B-4EC2-9495-07A017E5C1AE}" name="От" dataDxfId="45"/>
    <tableColumn id="2" xr3:uid="{C9764A26-6C82-4D25-B216-EAD3648B1904}" name="До" dataDxfId="44"/>
    <tableColumn id="3" xr3:uid="{93A88CFA-9BAF-4A08-AB84-22F44E7D3973}" name="Оценка с думи" dataDxfId="43"/>
    <tableColumn id="4" xr3:uid="{84586D0F-E753-4CB8-B517-DFEC539BF70F}" name="Оценка с цифри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E29555-3F0E-4D82-9E75-DFD0598E1026}" name="Оценки_неподредени" displayName="Оценки_неподредени" ref="O11:R16" totalsRowShown="0" headerRowBorderDxfId="41" tableBorderDxfId="40" totalsRowBorderDxfId="39">
  <autoFilter ref="O11:R16" xr:uid="{2CE29555-3F0E-4D82-9E75-DFD0598E1026}"/>
  <tableColumns count="4">
    <tableColumn id="1" xr3:uid="{6B4DA59E-B7C6-41A0-B2CC-7329CD143BD5}" name="От" dataDxfId="38"/>
    <tableColumn id="2" xr3:uid="{AE93D619-AA0F-47E4-AEEB-140696806086}" name="До" dataDxfId="37"/>
    <tableColumn id="3" xr3:uid="{DCCF4FC1-87BA-4B55-A554-EF97D4DC594A}" name="Оценка с думи" dataDxfId="36"/>
    <tableColumn id="4" xr3:uid="{309783D6-401C-47F3-94B7-9A431551C4D9}" name="Оценка с цифри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355975-3A84-485D-93E7-17E74955287B}" name="Протокол1" displayName="Протокол1" ref="A5:I40" totalsRowShown="0" headerRowDxfId="34" dataDxfId="33" tableBorderDxfId="32">
  <autoFilter ref="A5:I40" xr:uid="{7A355975-3A84-485D-93E7-17E74955287B}"/>
  <tableColumns count="9">
    <tableColumn id="1" xr3:uid="{1C49E14E-4C6A-4BE4-AA5F-16A71D3905F3}" name="№" dataDxfId="31"/>
    <tableColumn id="2" xr3:uid="{9F053886-E7AF-4BB1-A104-34CCCD4ACE7A}" name="Фак. номер" dataDxfId="30"/>
    <tableColumn id="3" xr3:uid="{5CFEF948-D152-4023-918B-44728D347C72}" name="СИН номер" dataDxfId="29"/>
    <tableColumn id="4" xr3:uid="{78697EBD-8749-4283-ABEB-34E756958A07}" name="Имена" dataDxfId="28"/>
    <tableColumn id="5" xr3:uid="{88DFDC9E-62A1-4C82-8487-7D5921616C38}" name="Текущ контрол" dataDxfId="27"/>
    <tableColumn id="6" xr3:uid="{DD5D8087-7831-4A19-A286-9675D5C4CC28}" name="Точки от изпит" dataDxfId="26">
      <calculatedColumnFormula>_xlfn.IFNA(ROUND(_xlfn.XLOOKUP(Протокол1[[#This Row],[Фак. номер]],'Резултати тест'!$A$9:$A$39,'Резултати тест'!$F$9:$F$39)*1.25,0),"")</calculatedColumnFormula>
    </tableColumn>
    <tableColumn id="7" xr3:uid="{3E60E5F6-D224-48FD-89E7-02AD619A3691}" name="Крайна оценка с точки" dataDxfId="25">
      <calculatedColumnFormula>IF(Протокол1[[#This Row],[Точки от изпит]]="","",Протокол1[[#This Row],[Текущ контрол]]+Протокол1[[#This Row],[Точки от изпит]])</calculatedColumnFormula>
    </tableColumn>
    <tableColumn id="8" xr3:uid="{DD563372-BA2D-4538-B9A2-366BC2E8C2B6}" name="Крайна оценка с думи" dataDxfId="24">
      <calculatedColumnFormula>IF(Протокол1[[#This Row],[Точки от изпит]]&lt;10,"Слаб",_xlfn.XLOOKUP(Протокол1[[#This Row],[Крайна оценка с точки]],Оценки_подредени[До],Оценки_подредени[Оценка с думи],"",1))</calculatedColumnFormula>
    </tableColumn>
    <tableColumn id="9" xr3:uid="{5CC123AF-3482-4128-84E2-DE06293394CE}" name="Крайна оценка с цифри" dataDxfId="23">
      <calculatedColumnFormula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0D75C1-29D6-4FA3-A08C-F369E1F36143}" name="Протокол2" displayName="Протокол2" ref="A43:I78" totalsRowShown="0" headerRowDxfId="22" dataDxfId="21" tableBorderDxfId="20">
  <autoFilter ref="A43:I78" xr:uid="{FA0D75C1-29D6-4FA3-A08C-F369E1F36143}"/>
  <tableColumns count="9">
    <tableColumn id="1" xr3:uid="{3703E8B4-15D6-48E6-878D-FF27442D5AE1}" name="№" dataDxfId="19"/>
    <tableColumn id="2" xr3:uid="{DFAB70CD-732C-4059-BD68-80EBE0AF3741}" name="Фак. номер" dataDxfId="18"/>
    <tableColumn id="3" xr3:uid="{81AFFD7A-56E4-4D43-AD95-A79DAF3DE83E}" name="СИН номер" dataDxfId="17"/>
    <tableColumn id="4" xr3:uid="{156900D9-14D5-49EB-B42E-F1CE7596BAB2}" name="Имена" dataDxfId="16"/>
    <tableColumn id="5" xr3:uid="{9599DBFE-5B38-4F33-80AD-A15213A63A7B}" name="Текущ контрол" dataDxfId="15"/>
    <tableColumn id="6" xr3:uid="{47F3BA18-8249-4F85-BD4E-0BFF16BDA5E8}" name="Точки от изпит" dataDxfId="14">
      <calculatedColumnFormula>_xlfn.IFNA(ROUND(_xlfn.XLOOKUP(Протокол2[[#This Row],[Фак. номер]],'Резултати тест'!$A$9:$A$39,'Резултати тест'!$F$9:$F$39)*1.25,0),"")</calculatedColumnFormula>
    </tableColumn>
    <tableColumn id="7" xr3:uid="{53216293-9417-4CB8-ABAD-42D46DB2C8BB}" name="Крайна оценка с точки" dataDxfId="13">
      <calculatedColumnFormula>IF(Протокол2[[#This Row],[Точки от изпит]]="","",Протокол2[[#This Row],[Текущ контрол]]+Протокол2[[#This Row],[Точки от изпит]])</calculatedColumnFormula>
    </tableColumn>
    <tableColumn id="8" xr3:uid="{E698A3CA-0530-4EED-96E1-9DB116F5E5FE}" name="Крайна оценка с думи" dataDxfId="12">
      <calculatedColumnFormula array="1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calculatedColumnFormula>
    </tableColumn>
    <tableColumn id="9" xr3:uid="{F8551BF7-BD6C-48E8-B2B8-56AD0DC8DDFB}" name="Крайна оценка с цифри" dataDxfId="11">
      <calculatedColumnFormula array="1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53FB8C-6686-4B0E-BED5-BF93A7B1E9FE}" name="Table6" displayName="Table6" ref="A3:F29" totalsRowCount="1">
  <autoFilter ref="A3:F28" xr:uid="{DA53FB8C-6686-4B0E-BED5-BF93A7B1E9FE}"/>
  <tableColumns count="6">
    <tableColumn id="1" xr3:uid="{799094AB-2E30-4576-A162-DB6940C5679A}" name="Страна" totalsRowLabel="Общо"/>
    <tableColumn id="2" xr3:uid="{E7F64D40-A828-4C21-9914-EBBA4A64F547}" name="Стопански факултет" totalsRowFunction="custom" dataDxfId="9" totalsRowDxfId="8">
      <calculatedColumnFormula array="1">COUNTIFS(Еразъм!$B$4:$B$73,Table6[[#This Row],[Страна]:[Страна]],Еразъм!$D$4:$D$73,Table6[[#Headers],[Стопански факултет]])</calculatedColumnFormula>
      <totalsRowFormula>SUM(Table6[Стопански факултет])</totalsRowFormula>
    </tableColumn>
    <tableColumn id="3" xr3:uid="{5E803D61-0DE1-402D-9B58-3203BD13270C}" name="Факултет &quot;Информатика&quot;" totalsRowFunction="custom" dataDxfId="7" totalsRowDxfId="6">
      <calculatedColumnFormula array="1">COUNTIFS(Еразъм!$B$4:$B$73,Table6[[#This Row],[Страна]:[Страна]],Еразъм!$D$4:$D$73,Table6[[#Headers],[Факултет "Информатика"]])</calculatedColumnFormula>
      <totalsRowFormula>SUM(Table6[Факултет "Информатика"])</totalsRowFormula>
    </tableColumn>
    <tableColumn id="4" xr3:uid="{95339D00-6D74-48D9-A0C0-D0841E795742}" name="Факултет &quot;Управление&quot;" totalsRowFunction="custom" dataDxfId="5" totalsRowDxfId="4">
      <calculatedColumnFormula array="1">COUNTIFS(Еразъм!$B$4:$B$73,Table6[[#This Row],[Страна]:[Страна]],Еразъм!$D$4:$D$73,Table6[[#Headers],[Факултет "Управление"]])</calculatedColumnFormula>
      <totalsRowFormula>SUM(Table6[Факултет "Управление"])</totalsRowFormula>
    </tableColumn>
    <tableColumn id="5" xr3:uid="{793ED493-2469-4A20-8FFE-10AF8886E859}" name="Финансово-счетоводен факултет" totalsRowFunction="custom" dataDxfId="3" totalsRowDxfId="2">
      <calculatedColumnFormula array="1">COUNTIFS(Еразъм!$B$4:$B$73,Table6[[#This Row],[Страна]:[Страна]],Еразъм!$D$4:$D$73,Table6[[#Headers],[Финансово-счетоводен факултет]])</calculatedColumnFormula>
      <totalsRowFormula>SUM(Table6[Финансово-счетоводен факултет])</totalsRowFormula>
    </tableColumn>
    <tableColumn id="6" xr3:uid="{9FE0807C-045E-4F1A-92CF-64FE08B5B870}" name="Общо" totalsRowFunction="custom" dataDxfId="1" totalsRowDxfId="0">
      <calculatedColumnFormula>SUM(Table6[[#This Row],[Стопански факултет]:[Финансово-счетоводен факултет]])</calculatedColumnFormula>
      <totalsRowFormula>SUM(Table6[Общо])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vmlDrawing" Target="../drawings/vmlDrawing2.vml"/><Relationship Id="rId7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E848-FB0B-4AF0-A0C4-B649608ABE32}">
  <dimension ref="A1:Q41"/>
  <sheetViews>
    <sheetView zoomScale="85" zoomScaleNormal="85" workbookViewId="0">
      <selection activeCell="J12" sqref="J12"/>
    </sheetView>
  </sheetViews>
  <sheetFormatPr defaultRowHeight="15" x14ac:dyDescent="0.25"/>
  <cols>
    <col min="1" max="1" width="5.85546875" customWidth="1"/>
    <col min="2" max="2" width="9.85546875" bestFit="1" customWidth="1"/>
    <col min="3" max="3" width="8" style="30" customWidth="1"/>
    <col min="4" max="4" width="38.42578125" customWidth="1"/>
    <col min="5" max="5" width="11.42578125" style="30" customWidth="1"/>
    <col min="6" max="6" width="12.42578125" customWidth="1"/>
    <col min="7" max="7" width="11.140625" style="30" customWidth="1"/>
    <col min="8" max="8" width="11.28515625" style="46" customWidth="1"/>
    <col min="9" max="9" width="25.5703125" style="30" customWidth="1"/>
    <col min="10" max="10" width="12.7109375" customWidth="1"/>
    <col min="25" max="25" width="13.28515625" customWidth="1"/>
  </cols>
  <sheetData>
    <row r="1" spans="1:17" x14ac:dyDescent="0.25">
      <c r="A1" s="47" t="s">
        <v>211</v>
      </c>
      <c r="D1" s="30"/>
    </row>
    <row r="2" spans="1:17" x14ac:dyDescent="0.25">
      <c r="A2" s="47" t="s">
        <v>257</v>
      </c>
    </row>
    <row r="3" spans="1:17" x14ac:dyDescent="0.25">
      <c r="A3" s="47" t="s">
        <v>258</v>
      </c>
    </row>
    <row r="4" spans="1:17" x14ac:dyDescent="0.25">
      <c r="B4" s="48" t="s">
        <v>256</v>
      </c>
      <c r="C4" s="49"/>
    </row>
    <row r="5" spans="1:17" x14ac:dyDescent="0.25">
      <c r="A5" s="112" t="s">
        <v>182</v>
      </c>
      <c r="B5" s="112" t="s">
        <v>215</v>
      </c>
      <c r="C5" s="112" t="s">
        <v>216</v>
      </c>
      <c r="D5" s="112" t="s">
        <v>217</v>
      </c>
      <c r="E5" s="112" t="s">
        <v>218</v>
      </c>
      <c r="F5" s="112" t="s">
        <v>219</v>
      </c>
      <c r="G5" s="112" t="s">
        <v>220</v>
      </c>
      <c r="H5" s="112"/>
      <c r="I5" s="112"/>
    </row>
    <row r="6" spans="1:17" ht="36.6" customHeight="1" thickBot="1" x14ac:dyDescent="0.3">
      <c r="A6" s="113"/>
      <c r="B6" s="113"/>
      <c r="C6" s="113"/>
      <c r="D6" s="113"/>
      <c r="E6" s="113"/>
      <c r="F6" s="113"/>
      <c r="G6" s="51" t="s">
        <v>263</v>
      </c>
      <c r="H6" s="51" t="s">
        <v>260</v>
      </c>
      <c r="I6" s="51" t="s">
        <v>259</v>
      </c>
      <c r="J6" s="52"/>
      <c r="K6" s="76"/>
    </row>
    <row r="7" spans="1:17" ht="30.75" thickTop="1" x14ac:dyDescent="0.25">
      <c r="A7" s="53">
        <v>1</v>
      </c>
      <c r="B7" s="54">
        <v>130450</v>
      </c>
      <c r="C7" s="53">
        <v>7200</v>
      </c>
      <c r="D7" s="54" t="s">
        <v>183</v>
      </c>
      <c r="E7" s="53">
        <v>50</v>
      </c>
      <c r="F7" s="55">
        <f>_xlfn.IFNA(ROUND(VLOOKUP(B7,'Резултати тест'!$A$9:$F$39,6,0)*1.25,0),"")</f>
        <v>46</v>
      </c>
      <c r="G7" s="56">
        <f>IF(F7="","",E7+F7)</f>
        <v>96</v>
      </c>
      <c r="H7" s="57" t="str">
        <f>_xlfn.IFNA(IF(F7&lt;10,"Слаб",VLOOKUP(G7,$N$8:$Q$12,3,1)),"")</f>
        <v>Отличен</v>
      </c>
      <c r="I7" s="56">
        <f>IF(F7="","Неявил се",VLOOKUP(H7,$P$8:$Q$12,2,0))</f>
        <v>6</v>
      </c>
      <c r="N7" s="25" t="s">
        <v>225</v>
      </c>
      <c r="O7" s="25" t="s">
        <v>226</v>
      </c>
      <c r="P7" s="63" t="s">
        <v>261</v>
      </c>
      <c r="Q7" s="63" t="s">
        <v>262</v>
      </c>
    </row>
    <row r="8" spans="1:17" x14ac:dyDescent="0.25">
      <c r="A8" s="58">
        <v>2</v>
      </c>
      <c r="B8" s="59">
        <v>130451</v>
      </c>
      <c r="C8" s="58">
        <v>7201</v>
      </c>
      <c r="D8" s="59" t="s">
        <v>184</v>
      </c>
      <c r="E8" s="58">
        <v>29</v>
      </c>
      <c r="F8" s="55">
        <f>_xlfn.IFNA(ROUND(VLOOKUP(B8,'Резултати тест'!$A$9:$F$39,6,0)*1.25,0),"")</f>
        <v>36</v>
      </c>
      <c r="G8" s="56">
        <f t="shared" ref="G8:G41" si="0">IF(F8="","",E8+F8)</f>
        <v>65</v>
      </c>
      <c r="H8" s="57" t="str">
        <f t="shared" ref="H8:H41" si="1">_xlfn.IFNA(IF(F8&lt;10,"Слаб",VLOOKUP(G8,$N$8:$Q$12,3,1)),"")</f>
        <v>Добър</v>
      </c>
      <c r="I8" s="56">
        <f t="shared" ref="I8:I41" si="2">IF(F8="","Неявил се",VLOOKUP(H8,$P$8:$Q$12,2,0))</f>
        <v>4</v>
      </c>
      <c r="N8" s="34">
        <v>0</v>
      </c>
      <c r="O8" s="29">
        <v>40</v>
      </c>
      <c r="P8" s="75" t="s">
        <v>212</v>
      </c>
      <c r="Q8" s="75">
        <v>2</v>
      </c>
    </row>
    <row r="9" spans="1:17" ht="15.6" customHeight="1" x14ac:dyDescent="0.25">
      <c r="A9" s="58">
        <v>3</v>
      </c>
      <c r="B9" s="59">
        <v>130452</v>
      </c>
      <c r="C9" s="58">
        <v>7202</v>
      </c>
      <c r="D9" s="59" t="s">
        <v>185</v>
      </c>
      <c r="E9" s="58">
        <v>28</v>
      </c>
      <c r="F9" s="55">
        <f>_xlfn.IFNA(ROUND(VLOOKUP(B9,'Резултати тест'!$A$9:$F$39,6,0)*1.25,0),"")</f>
        <v>36</v>
      </c>
      <c r="G9" s="56">
        <f t="shared" si="0"/>
        <v>64</v>
      </c>
      <c r="H9" s="57" t="str">
        <f t="shared" si="1"/>
        <v>Добър</v>
      </c>
      <c r="I9" s="56">
        <f t="shared" si="2"/>
        <v>4</v>
      </c>
      <c r="N9" s="34">
        <v>41</v>
      </c>
      <c r="O9" s="29">
        <v>55</v>
      </c>
      <c r="P9" s="75" t="s">
        <v>213</v>
      </c>
      <c r="Q9" s="75">
        <v>3</v>
      </c>
    </row>
    <row r="10" spans="1:17" ht="15.6" customHeight="1" x14ac:dyDescent="0.25">
      <c r="A10" s="58">
        <v>4</v>
      </c>
      <c r="B10" s="59">
        <v>130453</v>
      </c>
      <c r="C10" s="58">
        <v>7203</v>
      </c>
      <c r="D10" s="59" t="s">
        <v>186</v>
      </c>
      <c r="E10" s="58">
        <v>34</v>
      </c>
      <c r="F10" s="55">
        <f>_xlfn.IFNA(ROUND(VLOOKUP(B10,'Резултати тест'!$A$9:$F$39,6,0)*1.25,0),"")</f>
        <v>39</v>
      </c>
      <c r="G10" s="56">
        <f t="shared" si="0"/>
        <v>73</v>
      </c>
      <c r="H10" s="57" t="str">
        <f t="shared" si="1"/>
        <v>Мн. добър</v>
      </c>
      <c r="I10" s="56">
        <f t="shared" si="2"/>
        <v>5</v>
      </c>
      <c r="N10" s="34">
        <v>56</v>
      </c>
      <c r="O10" s="29">
        <v>70</v>
      </c>
      <c r="P10" s="75" t="s">
        <v>214</v>
      </c>
      <c r="Q10" s="75">
        <v>4</v>
      </c>
    </row>
    <row r="11" spans="1:17" ht="15.6" customHeight="1" x14ac:dyDescent="0.25">
      <c r="A11" s="58">
        <v>5</v>
      </c>
      <c r="B11" s="59">
        <v>130454</v>
      </c>
      <c r="C11" s="58">
        <v>7204</v>
      </c>
      <c r="D11" s="59" t="s">
        <v>138</v>
      </c>
      <c r="E11" s="58">
        <v>36</v>
      </c>
      <c r="F11" s="55">
        <f>_xlfn.IFNA(ROUND(VLOOKUP(B11,'Резултати тест'!$A$9:$F$39,6,0)*1.25,0),"")</f>
        <v>48</v>
      </c>
      <c r="G11" s="56">
        <f t="shared" si="0"/>
        <v>84</v>
      </c>
      <c r="H11" s="57" t="str">
        <f t="shared" si="1"/>
        <v>Мн. добър</v>
      </c>
      <c r="I11" s="56">
        <f t="shared" si="2"/>
        <v>5</v>
      </c>
      <c r="N11" s="34">
        <v>71</v>
      </c>
      <c r="O11" s="29">
        <v>85</v>
      </c>
      <c r="P11" s="75" t="s">
        <v>221</v>
      </c>
      <c r="Q11" s="75">
        <v>5</v>
      </c>
    </row>
    <row r="12" spans="1:17" ht="15.6" customHeight="1" x14ac:dyDescent="0.25">
      <c r="A12" s="58">
        <v>6</v>
      </c>
      <c r="B12" s="59">
        <v>130455</v>
      </c>
      <c r="C12" s="58">
        <v>7205</v>
      </c>
      <c r="D12" s="59" t="s">
        <v>187</v>
      </c>
      <c r="E12" s="58">
        <v>20</v>
      </c>
      <c r="F12" s="55">
        <f>_xlfn.IFNA(ROUND(VLOOKUP(B12,'Резултати тест'!$A$9:$F$39,6,0)*1.25,0),"")</f>
        <v>34</v>
      </c>
      <c r="G12" s="56">
        <f t="shared" si="0"/>
        <v>54</v>
      </c>
      <c r="H12" s="57" t="str">
        <f t="shared" si="1"/>
        <v>Среден</v>
      </c>
      <c r="I12" s="56">
        <f t="shared" si="2"/>
        <v>3</v>
      </c>
      <c r="N12" s="34">
        <v>87</v>
      </c>
      <c r="O12" s="34">
        <v>100</v>
      </c>
      <c r="P12" s="75" t="s">
        <v>224</v>
      </c>
      <c r="Q12" s="75">
        <v>6</v>
      </c>
    </row>
    <row r="13" spans="1:17" x14ac:dyDescent="0.25">
      <c r="A13" s="58">
        <v>7</v>
      </c>
      <c r="B13" s="59">
        <v>130456</v>
      </c>
      <c r="C13" s="58">
        <v>7206</v>
      </c>
      <c r="D13" s="59" t="s">
        <v>188</v>
      </c>
      <c r="E13" s="58">
        <v>50</v>
      </c>
      <c r="F13" s="55">
        <f>_xlfn.IFNA(ROUND(VLOOKUP(B13,'Резултати тест'!$A$9:$F$39,6,0)*1.25,0),"")</f>
        <v>44</v>
      </c>
      <c r="G13" s="56">
        <f t="shared" si="0"/>
        <v>94</v>
      </c>
      <c r="H13" s="57" t="str">
        <f t="shared" si="1"/>
        <v>Отличен</v>
      </c>
      <c r="I13" s="56">
        <f t="shared" si="2"/>
        <v>6</v>
      </c>
    </row>
    <row r="14" spans="1:17" x14ac:dyDescent="0.25">
      <c r="A14" s="58">
        <v>8</v>
      </c>
      <c r="B14" s="59">
        <v>130457</v>
      </c>
      <c r="C14" s="58">
        <v>7207</v>
      </c>
      <c r="D14" s="59" t="s">
        <v>189</v>
      </c>
      <c r="E14" s="58">
        <v>45</v>
      </c>
      <c r="F14" s="55">
        <f>_xlfn.IFNA(ROUND(VLOOKUP(B14,'Резултати тест'!$A$9:$F$39,6,0)*1.25,0),"")</f>
        <v>8</v>
      </c>
      <c r="G14" s="56">
        <f t="shared" si="0"/>
        <v>53</v>
      </c>
      <c r="H14" s="57" t="str">
        <f t="shared" si="1"/>
        <v>Слаб</v>
      </c>
      <c r="I14" s="56">
        <f t="shared" si="2"/>
        <v>2</v>
      </c>
    </row>
    <row r="15" spans="1:17" x14ac:dyDescent="0.25">
      <c r="A15" s="58">
        <v>9</v>
      </c>
      <c r="B15" s="59">
        <v>130458</v>
      </c>
      <c r="C15" s="58">
        <v>7208</v>
      </c>
      <c r="D15" s="59" t="s">
        <v>190</v>
      </c>
      <c r="E15" s="58">
        <v>33</v>
      </c>
      <c r="F15" s="55">
        <f>_xlfn.IFNA(ROUND(VLOOKUP(B15,'Резултати тест'!$A$9:$F$39,6,0)*1.25,0),"")</f>
        <v>9</v>
      </c>
      <c r="G15" s="56">
        <f t="shared" si="0"/>
        <v>42</v>
      </c>
      <c r="H15" s="57" t="str">
        <f t="shared" si="1"/>
        <v>Слаб</v>
      </c>
      <c r="I15" s="56">
        <f t="shared" si="2"/>
        <v>2</v>
      </c>
    </row>
    <row r="16" spans="1:17" x14ac:dyDescent="0.25">
      <c r="A16" s="58">
        <v>10</v>
      </c>
      <c r="B16" s="59">
        <v>130459</v>
      </c>
      <c r="C16" s="58">
        <v>7209</v>
      </c>
      <c r="D16" s="59" t="s">
        <v>142</v>
      </c>
      <c r="E16" s="58">
        <v>25</v>
      </c>
      <c r="F16" s="55">
        <f>_xlfn.IFNA(ROUND(VLOOKUP(B16,'Резултати тест'!$A$9:$F$39,6,0)*1.25,0),"")</f>
        <v>18</v>
      </c>
      <c r="G16" s="56">
        <f t="shared" si="0"/>
        <v>43</v>
      </c>
      <c r="H16" s="57" t="str">
        <f t="shared" si="1"/>
        <v>Среден</v>
      </c>
      <c r="I16" s="56">
        <f t="shared" si="2"/>
        <v>3</v>
      </c>
      <c r="N16" t="str">
        <f>""</f>
        <v/>
      </c>
      <c r="O16">
        <v>10</v>
      </c>
      <c r="P16" t="b">
        <f>N16&lt;O16</f>
        <v>0</v>
      </c>
    </row>
    <row r="17" spans="1:16" x14ac:dyDescent="0.25">
      <c r="A17" s="58">
        <v>11</v>
      </c>
      <c r="B17" s="59">
        <v>130460</v>
      </c>
      <c r="C17" s="58">
        <v>7210</v>
      </c>
      <c r="D17" s="59" t="s">
        <v>191</v>
      </c>
      <c r="E17" s="58">
        <v>39</v>
      </c>
      <c r="F17" s="55">
        <f>_xlfn.IFNA(ROUND(VLOOKUP(B17,'Резултати тест'!$A$9:$F$39,6,0)*1.25,0),"")</f>
        <v>46</v>
      </c>
      <c r="G17" s="56">
        <f t="shared" si="0"/>
        <v>85</v>
      </c>
      <c r="H17" s="57" t="str">
        <f t="shared" si="1"/>
        <v>Мн. добър</v>
      </c>
      <c r="I17" s="56">
        <f t="shared" si="2"/>
        <v>5</v>
      </c>
      <c r="N17" t="str">
        <f>""</f>
        <v/>
      </c>
      <c r="O17">
        <v>11</v>
      </c>
      <c r="P17" t="b">
        <f>N17&lt;O17</f>
        <v>0</v>
      </c>
    </row>
    <row r="18" spans="1:16" x14ac:dyDescent="0.25">
      <c r="A18" s="58">
        <v>12</v>
      </c>
      <c r="B18" s="59">
        <v>130461</v>
      </c>
      <c r="C18" s="58">
        <v>7211</v>
      </c>
      <c r="D18" s="59" t="s">
        <v>52</v>
      </c>
      <c r="E18" s="58">
        <v>14</v>
      </c>
      <c r="F18" s="55">
        <f>_xlfn.IFNA(ROUND(VLOOKUP(B18,'Резултати тест'!$A$9:$F$39,6,0)*1.25,0),"")</f>
        <v>24</v>
      </c>
      <c r="G18" s="56">
        <f t="shared" si="0"/>
        <v>38</v>
      </c>
      <c r="H18" s="57" t="str">
        <f t="shared" si="1"/>
        <v>Слаб</v>
      </c>
      <c r="I18" s="56">
        <f t="shared" si="2"/>
        <v>2</v>
      </c>
    </row>
    <row r="19" spans="1:16" x14ac:dyDescent="0.25">
      <c r="A19" s="58">
        <v>13</v>
      </c>
      <c r="B19" s="59">
        <v>130462</v>
      </c>
      <c r="C19" s="58">
        <v>7212</v>
      </c>
      <c r="D19" s="59" t="s">
        <v>87</v>
      </c>
      <c r="E19" s="58">
        <v>20</v>
      </c>
      <c r="F19" s="55" t="str">
        <f>_xlfn.IFNA(ROUND(VLOOKUP(B19,'Резултати тест'!$A$9:$F$39,6,0)*1.25,0),"")</f>
        <v/>
      </c>
      <c r="G19" s="56" t="str">
        <f t="shared" si="0"/>
        <v/>
      </c>
      <c r="H19" s="57" t="str">
        <f t="shared" si="1"/>
        <v/>
      </c>
      <c r="I19" s="56" t="str">
        <f t="shared" si="2"/>
        <v>Неявил се</v>
      </c>
    </row>
    <row r="20" spans="1:16" x14ac:dyDescent="0.25">
      <c r="A20" s="58">
        <v>14</v>
      </c>
      <c r="B20" s="59">
        <v>130463</v>
      </c>
      <c r="C20" s="58">
        <v>7213</v>
      </c>
      <c r="D20" s="59" t="s">
        <v>72</v>
      </c>
      <c r="E20" s="58">
        <v>11</v>
      </c>
      <c r="F20" s="55" t="str">
        <f>_xlfn.IFNA(ROUND(VLOOKUP(B20,'Резултати тест'!$A$9:$F$39,6,0)*1.25,0),"")</f>
        <v/>
      </c>
      <c r="G20" s="56" t="str">
        <f t="shared" si="0"/>
        <v/>
      </c>
      <c r="H20" s="57" t="str">
        <f t="shared" si="1"/>
        <v/>
      </c>
      <c r="I20" s="56" t="str">
        <f t="shared" si="2"/>
        <v>Неявил се</v>
      </c>
    </row>
    <row r="21" spans="1:16" x14ac:dyDescent="0.25">
      <c r="A21" s="58">
        <v>15</v>
      </c>
      <c r="B21" s="59">
        <v>130464</v>
      </c>
      <c r="C21" s="58">
        <v>7214</v>
      </c>
      <c r="D21" s="59" t="s">
        <v>192</v>
      </c>
      <c r="E21" s="58">
        <v>29</v>
      </c>
      <c r="F21" s="55">
        <f>_xlfn.IFNA(ROUND(VLOOKUP(B21,'Резултати тест'!$A$9:$F$39,6,0)*1.25,0),"")</f>
        <v>41</v>
      </c>
      <c r="G21" s="56">
        <f t="shared" si="0"/>
        <v>70</v>
      </c>
      <c r="H21" s="57" t="str">
        <f t="shared" si="1"/>
        <v>Добър</v>
      </c>
      <c r="I21" s="56">
        <f t="shared" si="2"/>
        <v>4</v>
      </c>
    </row>
    <row r="22" spans="1:16" x14ac:dyDescent="0.25">
      <c r="A22" s="58">
        <v>16</v>
      </c>
      <c r="B22" s="59">
        <v>130465</v>
      </c>
      <c r="C22" s="58">
        <v>7215</v>
      </c>
      <c r="D22" s="59" t="s">
        <v>193</v>
      </c>
      <c r="E22" s="58">
        <v>50</v>
      </c>
      <c r="F22" s="55">
        <f>_xlfn.IFNA(ROUND(VLOOKUP(B22,'Резултати тест'!$A$9:$F$39,6,0)*1.25,0),"")</f>
        <v>29</v>
      </c>
      <c r="G22" s="56">
        <f t="shared" si="0"/>
        <v>79</v>
      </c>
      <c r="H22" s="57" t="str">
        <f t="shared" si="1"/>
        <v>Мн. добър</v>
      </c>
      <c r="I22" s="56">
        <f t="shared" si="2"/>
        <v>5</v>
      </c>
    </row>
    <row r="23" spans="1:16" x14ac:dyDescent="0.25">
      <c r="A23" s="58">
        <v>17</v>
      </c>
      <c r="B23" s="59">
        <v>130466</v>
      </c>
      <c r="C23" s="58">
        <v>7216</v>
      </c>
      <c r="D23" s="59" t="s">
        <v>38</v>
      </c>
      <c r="E23" s="58">
        <v>30</v>
      </c>
      <c r="F23" s="55">
        <f>_xlfn.IFNA(ROUND(VLOOKUP(B23,'Резултати тест'!$A$9:$F$39,6,0)*1.25,0),"")</f>
        <v>13</v>
      </c>
      <c r="G23" s="56">
        <f t="shared" si="0"/>
        <v>43</v>
      </c>
      <c r="H23" s="57" t="str">
        <f t="shared" si="1"/>
        <v>Среден</v>
      </c>
      <c r="I23" s="56">
        <f t="shared" si="2"/>
        <v>3</v>
      </c>
    </row>
    <row r="24" spans="1:16" x14ac:dyDescent="0.25">
      <c r="A24" s="58">
        <v>18</v>
      </c>
      <c r="B24" s="59">
        <v>130467</v>
      </c>
      <c r="C24" s="58">
        <v>7217</v>
      </c>
      <c r="D24" s="59" t="s">
        <v>194</v>
      </c>
      <c r="E24" s="58">
        <v>18</v>
      </c>
      <c r="F24" s="55">
        <f>_xlfn.IFNA(ROUND(VLOOKUP(B24,'Резултати тест'!$A$9:$F$39,6,0)*1.25,0),"")</f>
        <v>33</v>
      </c>
      <c r="G24" s="56">
        <f t="shared" si="0"/>
        <v>51</v>
      </c>
      <c r="H24" s="57" t="str">
        <f t="shared" si="1"/>
        <v>Среден</v>
      </c>
      <c r="I24" s="56">
        <f t="shared" si="2"/>
        <v>3</v>
      </c>
    </row>
    <row r="25" spans="1:16" x14ac:dyDescent="0.25">
      <c r="A25" s="58">
        <v>19</v>
      </c>
      <c r="B25" s="59">
        <v>130468</v>
      </c>
      <c r="C25" s="58">
        <v>7218</v>
      </c>
      <c r="D25" s="59" t="s">
        <v>195</v>
      </c>
      <c r="E25" s="58">
        <v>36</v>
      </c>
      <c r="F25" s="55">
        <f>_xlfn.IFNA(ROUND(VLOOKUP(B25,'Резултати тест'!$A$9:$F$39,6,0)*1.25,0),"")</f>
        <v>36</v>
      </c>
      <c r="G25" s="56">
        <f t="shared" si="0"/>
        <v>72</v>
      </c>
      <c r="H25" s="57" t="str">
        <f t="shared" si="1"/>
        <v>Мн. добър</v>
      </c>
      <c r="I25" s="56">
        <f t="shared" si="2"/>
        <v>5</v>
      </c>
    </row>
    <row r="26" spans="1:16" x14ac:dyDescent="0.25">
      <c r="A26" s="58">
        <v>20</v>
      </c>
      <c r="B26" s="59">
        <v>130469</v>
      </c>
      <c r="C26" s="58">
        <v>7219</v>
      </c>
      <c r="D26" s="59" t="s">
        <v>196</v>
      </c>
      <c r="E26" s="58">
        <v>49</v>
      </c>
      <c r="F26" s="55">
        <f>_xlfn.IFNA(ROUND(VLOOKUP(B26,'Резултати тест'!$A$9:$F$39,6,0)*1.25,0),"")</f>
        <v>24</v>
      </c>
      <c r="G26" s="56">
        <f t="shared" si="0"/>
        <v>73</v>
      </c>
      <c r="H26" s="57" t="str">
        <f t="shared" si="1"/>
        <v>Мн. добър</v>
      </c>
      <c r="I26" s="56">
        <f t="shared" si="2"/>
        <v>5</v>
      </c>
    </row>
    <row r="27" spans="1:16" x14ac:dyDescent="0.25">
      <c r="A27" s="58">
        <v>21</v>
      </c>
      <c r="B27" s="59">
        <v>130470</v>
      </c>
      <c r="C27" s="58">
        <v>7220</v>
      </c>
      <c r="D27" s="59" t="s">
        <v>197</v>
      </c>
      <c r="E27" s="58">
        <v>30</v>
      </c>
      <c r="F27" s="55">
        <f>_xlfn.IFNA(ROUND(VLOOKUP(B27,'Резултати тест'!$A$9:$F$39,6,0)*1.25,0),"")</f>
        <v>46</v>
      </c>
      <c r="G27" s="56">
        <f t="shared" si="0"/>
        <v>76</v>
      </c>
      <c r="H27" s="57" t="str">
        <f t="shared" si="1"/>
        <v>Мн. добър</v>
      </c>
      <c r="I27" s="56">
        <f t="shared" si="2"/>
        <v>5</v>
      </c>
    </row>
    <row r="28" spans="1:16" x14ac:dyDescent="0.25">
      <c r="A28" s="58">
        <v>22</v>
      </c>
      <c r="B28" s="59">
        <v>130471</v>
      </c>
      <c r="C28" s="58">
        <v>7221</v>
      </c>
      <c r="D28" s="59" t="s">
        <v>101</v>
      </c>
      <c r="E28" s="58">
        <v>50</v>
      </c>
      <c r="F28" s="55">
        <f>_xlfn.IFNA(ROUND(VLOOKUP(B28,'Резултати тест'!$A$9:$F$39,6,0)*1.25,0),"")</f>
        <v>40</v>
      </c>
      <c r="G28" s="56">
        <f t="shared" si="0"/>
        <v>90</v>
      </c>
      <c r="H28" s="57" t="str">
        <f t="shared" si="1"/>
        <v>Отличен</v>
      </c>
      <c r="I28" s="56">
        <f t="shared" si="2"/>
        <v>6</v>
      </c>
    </row>
    <row r="29" spans="1:16" x14ac:dyDescent="0.25">
      <c r="A29" s="58">
        <v>23</v>
      </c>
      <c r="B29" s="9">
        <v>130472</v>
      </c>
      <c r="C29" s="29">
        <v>7222</v>
      </c>
      <c r="D29" s="9" t="s">
        <v>146</v>
      </c>
      <c r="E29" s="29">
        <v>36</v>
      </c>
      <c r="F29" s="55">
        <f>_xlfn.IFNA(ROUND(VLOOKUP(B29,'Резултати тест'!$A$9:$F$39,6,0)*1.25,0),"")</f>
        <v>41</v>
      </c>
      <c r="G29" s="56">
        <f t="shared" si="0"/>
        <v>77</v>
      </c>
      <c r="H29" s="57" t="str">
        <f t="shared" si="1"/>
        <v>Мн. добър</v>
      </c>
      <c r="I29" s="56">
        <f t="shared" si="2"/>
        <v>5</v>
      </c>
    </row>
    <row r="30" spans="1:16" x14ac:dyDescent="0.25">
      <c r="A30" s="58">
        <v>24</v>
      </c>
      <c r="B30" s="9">
        <v>130473</v>
      </c>
      <c r="C30" s="29">
        <v>7223</v>
      </c>
      <c r="D30" s="9" t="s">
        <v>198</v>
      </c>
      <c r="E30" s="29">
        <v>31</v>
      </c>
      <c r="F30" s="55">
        <f>_xlfn.IFNA(ROUND(VLOOKUP(B30,'Резултати тест'!$A$9:$F$39,6,0)*1.25,0),"")</f>
        <v>44</v>
      </c>
      <c r="G30" s="56">
        <f t="shared" si="0"/>
        <v>75</v>
      </c>
      <c r="H30" s="57" t="str">
        <f t="shared" si="1"/>
        <v>Мн. добър</v>
      </c>
      <c r="I30" s="56">
        <f t="shared" si="2"/>
        <v>5</v>
      </c>
    </row>
    <row r="31" spans="1:16" x14ac:dyDescent="0.25">
      <c r="A31" s="58">
        <v>25</v>
      </c>
      <c r="B31" s="9">
        <v>130474</v>
      </c>
      <c r="C31" s="29">
        <v>7224</v>
      </c>
      <c r="D31" s="9" t="s">
        <v>199</v>
      </c>
      <c r="E31" s="29">
        <v>28</v>
      </c>
      <c r="F31" s="55">
        <f>_xlfn.IFNA(ROUND(VLOOKUP(B31,'Резултати тест'!$A$9:$F$39,6,0)*1.25,0),"")</f>
        <v>15</v>
      </c>
      <c r="G31" s="56">
        <f t="shared" si="0"/>
        <v>43</v>
      </c>
      <c r="H31" s="57" t="str">
        <f t="shared" si="1"/>
        <v>Среден</v>
      </c>
      <c r="I31" s="56">
        <f t="shared" si="2"/>
        <v>3</v>
      </c>
    </row>
    <row r="32" spans="1:16" x14ac:dyDescent="0.25">
      <c r="A32" s="58">
        <v>26</v>
      </c>
      <c r="B32" s="9">
        <v>130475</v>
      </c>
      <c r="C32" s="29">
        <v>7225</v>
      </c>
      <c r="D32" s="9" t="s">
        <v>200</v>
      </c>
      <c r="E32" s="29">
        <v>31</v>
      </c>
      <c r="F32" s="55">
        <f>_xlfn.IFNA(ROUND(VLOOKUP(B32,'Резултати тест'!$A$9:$F$39,6,0)*1.25,0),"")</f>
        <v>21</v>
      </c>
      <c r="G32" s="56">
        <f t="shared" si="0"/>
        <v>52</v>
      </c>
      <c r="H32" s="57" t="str">
        <f t="shared" si="1"/>
        <v>Среден</v>
      </c>
      <c r="I32" s="56">
        <f t="shared" si="2"/>
        <v>3</v>
      </c>
    </row>
    <row r="33" spans="1:9" x14ac:dyDescent="0.25">
      <c r="A33" s="58">
        <v>27</v>
      </c>
      <c r="B33" s="9">
        <v>130476</v>
      </c>
      <c r="C33" s="29">
        <v>7226</v>
      </c>
      <c r="D33" s="9" t="s">
        <v>201</v>
      </c>
      <c r="E33" s="29">
        <v>35</v>
      </c>
      <c r="F33" s="55">
        <f>_xlfn.IFNA(ROUND(VLOOKUP(B33,'Резултати тест'!$A$9:$F$39,6,0)*1.25,0),"")</f>
        <v>23</v>
      </c>
      <c r="G33" s="56">
        <f t="shared" si="0"/>
        <v>58</v>
      </c>
      <c r="H33" s="57" t="str">
        <f t="shared" si="1"/>
        <v>Добър</v>
      </c>
      <c r="I33" s="56">
        <f t="shared" si="2"/>
        <v>4</v>
      </c>
    </row>
    <row r="34" spans="1:9" x14ac:dyDescent="0.25">
      <c r="A34" s="58">
        <v>28</v>
      </c>
      <c r="B34" s="9">
        <v>130477</v>
      </c>
      <c r="C34" s="29">
        <v>7227</v>
      </c>
      <c r="D34" s="9" t="s">
        <v>81</v>
      </c>
      <c r="E34" s="29">
        <v>25</v>
      </c>
      <c r="F34" s="55">
        <f>_xlfn.IFNA(ROUND(VLOOKUP(B34,'Резултати тест'!$A$9:$F$39,6,0)*1.25,0),"")</f>
        <v>20</v>
      </c>
      <c r="G34" s="56">
        <f t="shared" si="0"/>
        <v>45</v>
      </c>
      <c r="H34" s="57" t="str">
        <f t="shared" si="1"/>
        <v>Среден</v>
      </c>
      <c r="I34" s="56">
        <f t="shared" si="2"/>
        <v>3</v>
      </c>
    </row>
    <row r="35" spans="1:9" x14ac:dyDescent="0.25">
      <c r="A35" s="58">
        <v>29</v>
      </c>
      <c r="B35" s="9">
        <v>130478</v>
      </c>
      <c r="C35" s="29">
        <v>7228</v>
      </c>
      <c r="D35" s="9" t="s">
        <v>202</v>
      </c>
      <c r="E35" s="29">
        <v>14</v>
      </c>
      <c r="F35" s="55" t="str">
        <f>_xlfn.IFNA(ROUND(VLOOKUP(B35,'Резултати тест'!$A$9:$F$39,6,0)*1.25,0),"")</f>
        <v/>
      </c>
      <c r="G35" s="56" t="str">
        <f t="shared" si="0"/>
        <v/>
      </c>
      <c r="H35" s="57" t="str">
        <f t="shared" si="1"/>
        <v/>
      </c>
      <c r="I35" s="56" t="str">
        <f t="shared" si="2"/>
        <v>Неявил се</v>
      </c>
    </row>
    <row r="36" spans="1:9" x14ac:dyDescent="0.25">
      <c r="A36" s="58">
        <v>30</v>
      </c>
      <c r="B36" s="9">
        <v>130479</v>
      </c>
      <c r="C36" s="29">
        <v>7229</v>
      </c>
      <c r="D36" s="9" t="s">
        <v>203</v>
      </c>
      <c r="E36" s="29">
        <v>50</v>
      </c>
      <c r="F36" s="55">
        <f>_xlfn.IFNA(ROUND(VLOOKUP(B36,'Резултати тест'!$A$9:$F$39,6,0)*1.25,0),"")</f>
        <v>21</v>
      </c>
      <c r="G36" s="56">
        <f t="shared" si="0"/>
        <v>71</v>
      </c>
      <c r="H36" s="57" t="str">
        <f t="shared" si="1"/>
        <v>Мн. добър</v>
      </c>
      <c r="I36" s="56">
        <f t="shared" si="2"/>
        <v>5</v>
      </c>
    </row>
    <row r="37" spans="1:9" x14ac:dyDescent="0.25">
      <c r="A37" s="58">
        <v>31</v>
      </c>
      <c r="B37" s="9">
        <v>130480</v>
      </c>
      <c r="C37" s="29">
        <v>7230</v>
      </c>
      <c r="D37" s="9" t="s">
        <v>77</v>
      </c>
      <c r="E37" s="29">
        <v>36</v>
      </c>
      <c r="F37" s="55">
        <f>_xlfn.IFNA(ROUND(VLOOKUP(B37,'Резултати тест'!$A$9:$F$39,6,0)*1.25,0),"")</f>
        <v>24</v>
      </c>
      <c r="G37" s="56">
        <f t="shared" si="0"/>
        <v>60</v>
      </c>
      <c r="H37" s="57" t="str">
        <f t="shared" si="1"/>
        <v>Добър</v>
      </c>
      <c r="I37" s="56">
        <f t="shared" si="2"/>
        <v>4</v>
      </c>
    </row>
    <row r="38" spans="1:9" x14ac:dyDescent="0.25">
      <c r="A38" s="58">
        <v>32</v>
      </c>
      <c r="B38" s="9">
        <v>130481</v>
      </c>
      <c r="C38" s="29">
        <v>7231</v>
      </c>
      <c r="D38" s="9" t="s">
        <v>204</v>
      </c>
      <c r="E38" s="29">
        <v>19</v>
      </c>
      <c r="F38" s="55">
        <f>_xlfn.IFNA(ROUND(VLOOKUP(B38,'Резултати тест'!$A$9:$F$39,6,0)*1.25,0),"")</f>
        <v>21</v>
      </c>
      <c r="G38" s="56">
        <f t="shared" si="0"/>
        <v>40</v>
      </c>
      <c r="H38" s="57" t="str">
        <f t="shared" si="1"/>
        <v>Слаб</v>
      </c>
      <c r="I38" s="56">
        <f t="shared" si="2"/>
        <v>2</v>
      </c>
    </row>
    <row r="39" spans="1:9" x14ac:dyDescent="0.25">
      <c r="A39" s="58">
        <v>33</v>
      </c>
      <c r="B39" s="9">
        <v>130482</v>
      </c>
      <c r="C39" s="29">
        <v>7232</v>
      </c>
      <c r="D39" s="9" t="s">
        <v>205</v>
      </c>
      <c r="E39" s="29">
        <v>18</v>
      </c>
      <c r="F39" s="55" t="str">
        <f>_xlfn.IFNA(ROUND(VLOOKUP(B39,'Резултати тест'!$A$9:$F$39,6,0)*1.25,0),"")</f>
        <v/>
      </c>
      <c r="G39" s="56" t="str">
        <f t="shared" si="0"/>
        <v/>
      </c>
      <c r="H39" s="57" t="str">
        <f t="shared" si="1"/>
        <v/>
      </c>
      <c r="I39" s="56" t="str">
        <f t="shared" si="2"/>
        <v>Неявил се</v>
      </c>
    </row>
    <row r="40" spans="1:9" x14ac:dyDescent="0.25">
      <c r="A40" s="58">
        <v>34</v>
      </c>
      <c r="B40" s="9">
        <v>130483</v>
      </c>
      <c r="C40" s="29">
        <v>7233</v>
      </c>
      <c r="D40" s="9" t="s">
        <v>206</v>
      </c>
      <c r="E40" s="29">
        <v>39</v>
      </c>
      <c r="F40" s="55">
        <f>_xlfn.IFNA(ROUND(VLOOKUP(B40,'Резултати тест'!$A$9:$F$39,6,0)*1.25,0),"")</f>
        <v>49</v>
      </c>
      <c r="G40" s="56">
        <f t="shared" si="0"/>
        <v>88</v>
      </c>
      <c r="H40" s="57" t="str">
        <f t="shared" si="1"/>
        <v>Отличен</v>
      </c>
      <c r="I40" s="56">
        <f t="shared" si="2"/>
        <v>6</v>
      </c>
    </row>
    <row r="41" spans="1:9" x14ac:dyDescent="0.25">
      <c r="A41" s="58">
        <v>35</v>
      </c>
      <c r="B41" s="9">
        <v>130484</v>
      </c>
      <c r="C41" s="29">
        <v>7234</v>
      </c>
      <c r="D41" s="9" t="s">
        <v>207</v>
      </c>
      <c r="E41" s="29">
        <v>44</v>
      </c>
      <c r="F41" s="55">
        <f>_xlfn.IFNA(ROUND(VLOOKUP(B41,'Резултати тест'!$A$9:$F$39,6,0)*1.25,0),"")</f>
        <v>21</v>
      </c>
      <c r="G41" s="56">
        <f t="shared" si="0"/>
        <v>65</v>
      </c>
      <c r="H41" s="57" t="str">
        <f t="shared" si="1"/>
        <v>Добър</v>
      </c>
      <c r="I41" s="56">
        <f t="shared" si="2"/>
        <v>4</v>
      </c>
    </row>
  </sheetData>
  <mergeCells count="7">
    <mergeCell ref="G5:I5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06E8-5207-43A4-9110-9F133CAB6911}">
  <dimension ref="A1:S78"/>
  <sheetViews>
    <sheetView topLeftCell="A22" zoomScale="85" zoomScaleNormal="85" workbookViewId="0">
      <selection activeCell="O45" sqref="O45"/>
    </sheetView>
  </sheetViews>
  <sheetFormatPr defaultColWidth="9.140625" defaultRowHeight="15" x14ac:dyDescent="0.25"/>
  <cols>
    <col min="1" max="1" width="5.85546875" customWidth="1"/>
    <col min="2" max="2" width="13.140625" customWidth="1"/>
    <col min="3" max="3" width="12.7109375" style="30" customWidth="1"/>
    <col min="4" max="4" width="38.42578125" customWidth="1"/>
    <col min="5" max="5" width="16.140625" style="30" customWidth="1"/>
    <col min="6" max="6" width="15.85546875" customWidth="1"/>
    <col min="7" max="7" width="22.85546875" style="30" customWidth="1"/>
    <col min="8" max="8" width="22.5703125" style="46" customWidth="1"/>
    <col min="9" max="9" width="25.5703125" style="30" customWidth="1"/>
    <col min="10" max="10" width="12.7109375" customWidth="1"/>
    <col min="11" max="11" width="14" customWidth="1"/>
    <col min="12" max="12" width="15.28515625" style="30" customWidth="1"/>
    <col min="13" max="13" width="26.28515625" style="30" customWidth="1"/>
    <col min="14" max="14" width="15.85546875" style="30" customWidth="1"/>
    <col min="15" max="15" width="12.28515625" customWidth="1"/>
    <col min="16" max="16" width="20.140625" customWidth="1"/>
    <col min="17" max="17" width="17.28515625" customWidth="1"/>
    <col min="18" max="18" width="17" customWidth="1"/>
    <col min="26" max="26" width="13.28515625" customWidth="1"/>
  </cols>
  <sheetData>
    <row r="1" spans="1:19" x14ac:dyDescent="0.25">
      <c r="A1" s="47" t="s">
        <v>211</v>
      </c>
      <c r="D1" s="30"/>
    </row>
    <row r="2" spans="1:19" x14ac:dyDescent="0.25">
      <c r="A2" s="47" t="s">
        <v>257</v>
      </c>
      <c r="O2" s="65" t="s">
        <v>225</v>
      </c>
      <c r="P2" s="66" t="s">
        <v>226</v>
      </c>
      <c r="Q2" s="66" t="s">
        <v>261</v>
      </c>
      <c r="R2" s="67" t="s">
        <v>262</v>
      </c>
    </row>
    <row r="3" spans="1:19" x14ac:dyDescent="0.25">
      <c r="A3" s="47" t="s">
        <v>258</v>
      </c>
      <c r="O3" s="45">
        <v>0</v>
      </c>
      <c r="P3" s="29">
        <v>40</v>
      </c>
      <c r="Q3" s="35" t="s">
        <v>212</v>
      </c>
      <c r="R3" s="64">
        <v>2</v>
      </c>
    </row>
    <row r="4" spans="1:19" x14ac:dyDescent="0.25">
      <c r="B4" s="48"/>
      <c r="C4" s="49"/>
      <c r="O4" s="45">
        <v>41</v>
      </c>
      <c r="P4" s="29">
        <v>55</v>
      </c>
      <c r="Q4" s="35" t="s">
        <v>213</v>
      </c>
      <c r="R4" s="64">
        <v>3</v>
      </c>
    </row>
    <row r="5" spans="1:19" ht="40.15" customHeight="1" thickBot="1" x14ac:dyDescent="0.3">
      <c r="A5" s="82" t="s">
        <v>182</v>
      </c>
      <c r="B5" s="83" t="s">
        <v>215</v>
      </c>
      <c r="C5" s="83" t="s">
        <v>216</v>
      </c>
      <c r="D5" s="83" t="s">
        <v>217</v>
      </c>
      <c r="E5" s="83" t="s">
        <v>218</v>
      </c>
      <c r="F5" s="83" t="s">
        <v>219</v>
      </c>
      <c r="G5" s="84" t="s">
        <v>265</v>
      </c>
      <c r="H5" s="84" t="s">
        <v>266</v>
      </c>
      <c r="I5" s="85" t="s">
        <v>267</v>
      </c>
      <c r="O5" s="45">
        <v>56</v>
      </c>
      <c r="P5" s="29">
        <v>70</v>
      </c>
      <c r="Q5" s="35" t="s">
        <v>214</v>
      </c>
      <c r="R5" s="64">
        <v>4</v>
      </c>
    </row>
    <row r="6" spans="1:19" ht="15.75" thickTop="1" x14ac:dyDescent="0.25">
      <c r="A6" s="94">
        <v>1</v>
      </c>
      <c r="B6" s="95">
        <v>130450</v>
      </c>
      <c r="C6" s="86">
        <v>7200</v>
      </c>
      <c r="D6" s="95" t="s">
        <v>183</v>
      </c>
      <c r="E6" s="86">
        <v>50</v>
      </c>
      <c r="F6" s="86">
        <f>_xlfn.IFNA(ROUND(_xlfn.XLOOKUP(Протокол1[[#This Row],[Фак. номер]],'Резултати тест'!$A$9:$A$39,'Резултати тест'!$F$9:$F$39)*1.25,0),"")</f>
        <v>46</v>
      </c>
      <c r="G6" s="87">
        <f>IF(Протокол1[[#This Row],[Точки от изпит]]="","",Протокол1[[#This Row],[Текущ контрол]]+Протокол1[[#This Row],[Точки от изпит]])</f>
        <v>96</v>
      </c>
      <c r="H6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Отличен</v>
      </c>
      <c r="I6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6</v>
      </c>
      <c r="J6" s="52"/>
      <c r="K6" s="112" t="s">
        <v>215</v>
      </c>
      <c r="L6" s="112"/>
      <c r="M6" s="77">
        <v>130454</v>
      </c>
      <c r="N6"/>
      <c r="O6" s="45">
        <v>71</v>
      </c>
      <c r="P6" s="29">
        <v>85</v>
      </c>
      <c r="Q6" s="35" t="s">
        <v>221</v>
      </c>
      <c r="R6" s="64">
        <v>5</v>
      </c>
    </row>
    <row r="7" spans="1:19" x14ac:dyDescent="0.25">
      <c r="A7" s="96">
        <v>2</v>
      </c>
      <c r="B7" s="97">
        <v>130451</v>
      </c>
      <c r="C7" s="98">
        <v>7201</v>
      </c>
      <c r="D7" s="97" t="s">
        <v>184</v>
      </c>
      <c r="E7" s="98">
        <v>29</v>
      </c>
      <c r="F7" s="86">
        <f>_xlfn.IFNA(ROUND(_xlfn.XLOOKUP(Протокол1[[#This Row],[Фак. номер]],'Резултати тест'!$A$9:$A$39,'Резултати тест'!$F$9:$F$39)*1.25,0),"")</f>
        <v>36</v>
      </c>
      <c r="G7" s="87">
        <f>IF(Протокол1[[#This Row],[Точки от изпит]]="","",Протокол1[[#This Row],[Текущ контрол]]+Протокол1[[#This Row],[Точки от изпит]])</f>
        <v>65</v>
      </c>
      <c r="H7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Добър</v>
      </c>
      <c r="I7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4</v>
      </c>
      <c r="K7" s="112" t="s">
        <v>216</v>
      </c>
      <c r="L7" s="112"/>
      <c r="M7" s="79" cm="1">
        <f t="array" ref="M7:M13">TRANSPOSE(_xlfn.XLOOKUP(M6,Протокол1[Фак. номер],Протокол1[[СИН номер]:[Крайна оценка с цифри]],"Няма студент"))</f>
        <v>7204</v>
      </c>
      <c r="N7"/>
      <c r="O7" s="68">
        <v>87</v>
      </c>
      <c r="P7" s="69">
        <v>100</v>
      </c>
      <c r="Q7" s="70" t="s">
        <v>224</v>
      </c>
      <c r="R7" s="71">
        <v>6</v>
      </c>
    </row>
    <row r="8" spans="1:19" x14ac:dyDescent="0.25">
      <c r="A8" s="96">
        <v>3</v>
      </c>
      <c r="B8" s="97">
        <v>130452</v>
      </c>
      <c r="C8" s="98">
        <v>7202</v>
      </c>
      <c r="D8" s="97" t="s">
        <v>185</v>
      </c>
      <c r="E8" s="98">
        <v>28</v>
      </c>
      <c r="F8" s="86">
        <f>_xlfn.IFNA(ROUND(_xlfn.XLOOKUP(Протокол1[[#This Row],[Фак. номер]],'Резултати тест'!$A$9:$A$39,'Резултати тест'!$F$9:$F$39)*1.25,0),"")</f>
        <v>36</v>
      </c>
      <c r="G8" s="87">
        <f>IF(Протокол1[[#This Row],[Точки от изпит]]="","",Протокол1[[#This Row],[Текущ контрол]]+Протокол1[[#This Row],[Точки от изпит]])</f>
        <v>64</v>
      </c>
      <c r="H8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Добър</v>
      </c>
      <c r="I8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4</v>
      </c>
      <c r="K8" s="112" t="s">
        <v>217</v>
      </c>
      <c r="L8" s="112"/>
      <c r="M8" s="81" t="str">
        <v>Борислав Атанасов Христов</v>
      </c>
      <c r="N8"/>
    </row>
    <row r="9" spans="1:19" x14ac:dyDescent="0.25">
      <c r="A9" s="96">
        <v>4</v>
      </c>
      <c r="B9" s="97">
        <v>130453</v>
      </c>
      <c r="C9" s="98">
        <v>7203</v>
      </c>
      <c r="D9" s="97" t="s">
        <v>186</v>
      </c>
      <c r="E9" s="98">
        <v>34</v>
      </c>
      <c r="F9" s="86">
        <f>_xlfn.IFNA(ROUND(_xlfn.XLOOKUP(Протокол1[[#This Row],[Фак. номер]],'Резултати тест'!$A$9:$A$39,'Резултати тест'!$F$9:$F$39)*1.25,0),"")</f>
        <v>39</v>
      </c>
      <c r="G9" s="87">
        <f>IF(Протокол1[[#This Row],[Точки от изпит]]="","",Протокол1[[#This Row],[Текущ контрол]]+Протокол1[[#This Row],[Точки от изпит]])</f>
        <v>73</v>
      </c>
      <c r="H9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Мн. добър</v>
      </c>
      <c r="I9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5</v>
      </c>
      <c r="K9" s="112" t="s">
        <v>218</v>
      </c>
      <c r="L9" s="112"/>
      <c r="M9" s="81">
        <v>36</v>
      </c>
      <c r="N9"/>
    </row>
    <row r="10" spans="1:19" x14ac:dyDescent="0.25">
      <c r="A10" s="96">
        <v>5</v>
      </c>
      <c r="B10" s="97">
        <v>130454</v>
      </c>
      <c r="C10" s="98">
        <v>7204</v>
      </c>
      <c r="D10" s="97" t="s">
        <v>138</v>
      </c>
      <c r="E10" s="98">
        <v>36</v>
      </c>
      <c r="F10" s="86">
        <f>_xlfn.IFNA(ROUND(_xlfn.XLOOKUP(Протокол1[[#This Row],[Фак. номер]],'Резултати тест'!$A$9:$A$39,'Резултати тест'!$F$9:$F$39)*1.25,0),"")</f>
        <v>48</v>
      </c>
      <c r="G10" s="87">
        <f>IF(Протокол1[[#This Row],[Точки от изпит]]="","",Протокол1[[#This Row],[Текущ контрол]]+Протокол1[[#This Row],[Точки от изпит]])</f>
        <v>84</v>
      </c>
      <c r="H10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Мн. добър</v>
      </c>
      <c r="I10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5</v>
      </c>
      <c r="K10" s="112" t="s">
        <v>219</v>
      </c>
      <c r="L10" s="112"/>
      <c r="M10" s="81">
        <v>48</v>
      </c>
      <c r="N10"/>
    </row>
    <row r="11" spans="1:19" x14ac:dyDescent="0.25">
      <c r="A11" s="96">
        <v>6</v>
      </c>
      <c r="B11" s="97">
        <v>130455</v>
      </c>
      <c r="C11" s="98">
        <v>7205</v>
      </c>
      <c r="D11" s="97" t="s">
        <v>187</v>
      </c>
      <c r="E11" s="98">
        <v>20</v>
      </c>
      <c r="F11" s="86">
        <f>_xlfn.IFNA(ROUND(_xlfn.XLOOKUP(Протокол1[[#This Row],[Фак. номер]],'Резултати тест'!$A$9:$A$39,'Резултати тест'!$F$9:$F$39)*1.25,0),"")</f>
        <v>34</v>
      </c>
      <c r="G11" s="87">
        <f>IF(Протокол1[[#This Row],[Точки от изпит]]="","",Протокол1[[#This Row],[Текущ контрол]]+Протокол1[[#This Row],[Точки от изпит]])</f>
        <v>54</v>
      </c>
      <c r="H11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Среден</v>
      </c>
      <c r="I11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3</v>
      </c>
      <c r="K11" s="112" t="s">
        <v>220</v>
      </c>
      <c r="L11" s="50" t="s">
        <v>222</v>
      </c>
      <c r="M11" s="81">
        <v>84</v>
      </c>
      <c r="N11"/>
      <c r="O11" s="72" t="s">
        <v>225</v>
      </c>
      <c r="P11" s="73" t="s">
        <v>226</v>
      </c>
      <c r="Q11" s="66" t="s">
        <v>261</v>
      </c>
      <c r="R11" s="67" t="s">
        <v>262</v>
      </c>
    </row>
    <row r="12" spans="1:19" x14ac:dyDescent="0.25">
      <c r="A12" s="96">
        <v>7</v>
      </c>
      <c r="B12" s="97">
        <v>130456</v>
      </c>
      <c r="C12" s="98">
        <v>7206</v>
      </c>
      <c r="D12" s="97" t="s">
        <v>188</v>
      </c>
      <c r="E12" s="98">
        <v>50</v>
      </c>
      <c r="F12" s="86">
        <f>_xlfn.IFNA(ROUND(_xlfn.XLOOKUP(Протокол1[[#This Row],[Фак. номер]],'Резултати тест'!$A$9:$A$39,'Резултати тест'!$F$9:$F$39)*1.25,0),"")</f>
        <v>44</v>
      </c>
      <c r="G12" s="87">
        <f>IF(Протокол1[[#This Row],[Точки от изпит]]="","",Протокол1[[#This Row],[Текущ контрол]]+Протокол1[[#This Row],[Точки от изпит]])</f>
        <v>94</v>
      </c>
      <c r="H12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Отличен</v>
      </c>
      <c r="I12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6</v>
      </c>
      <c r="K12" s="112"/>
      <c r="L12" s="112" t="s">
        <v>223</v>
      </c>
      <c r="M12" s="81" t="str">
        <v>Мн. добър</v>
      </c>
      <c r="N12"/>
      <c r="O12" s="45">
        <v>0</v>
      </c>
      <c r="P12" s="29">
        <v>40</v>
      </c>
      <c r="Q12" s="35" t="s">
        <v>212</v>
      </c>
      <c r="R12" s="64">
        <v>2</v>
      </c>
    </row>
    <row r="13" spans="1:19" x14ac:dyDescent="0.25">
      <c r="A13" s="96">
        <v>8</v>
      </c>
      <c r="B13" s="97">
        <v>130457</v>
      </c>
      <c r="C13" s="98">
        <v>7207</v>
      </c>
      <c r="D13" s="97" t="s">
        <v>189</v>
      </c>
      <c r="E13" s="98">
        <v>45</v>
      </c>
      <c r="F13" s="86">
        <f>_xlfn.IFNA(ROUND(_xlfn.XLOOKUP(Протокол1[[#This Row],[Фак. номер]],'Резултати тест'!$A$9:$A$39,'Резултати тест'!$F$9:$F$39)*1.25,0),"")</f>
        <v>8</v>
      </c>
      <c r="G13" s="87">
        <f>IF(Протокол1[[#This Row],[Точки от изпит]]="","",Протокол1[[#This Row],[Текущ контрол]]+Протокол1[[#This Row],[Точки от изпит]])</f>
        <v>53</v>
      </c>
      <c r="H13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Слаб</v>
      </c>
      <c r="I13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2</v>
      </c>
      <c r="K13" s="112"/>
      <c r="L13" s="112"/>
      <c r="M13" s="81">
        <v>5</v>
      </c>
      <c r="N13"/>
      <c r="O13" s="45">
        <v>71</v>
      </c>
      <c r="P13" s="29">
        <v>86</v>
      </c>
      <c r="Q13" s="35" t="s">
        <v>221</v>
      </c>
      <c r="R13" s="64">
        <v>5</v>
      </c>
    </row>
    <row r="14" spans="1:19" x14ac:dyDescent="0.25">
      <c r="A14" s="96">
        <v>9</v>
      </c>
      <c r="B14" s="97">
        <v>130458</v>
      </c>
      <c r="C14" s="98">
        <v>7208</v>
      </c>
      <c r="D14" s="97" t="s">
        <v>190</v>
      </c>
      <c r="E14" s="98">
        <v>33</v>
      </c>
      <c r="F14" s="86">
        <f>_xlfn.IFNA(ROUND(_xlfn.XLOOKUP(Протокол1[[#This Row],[Фак. номер]],'Резултати тест'!$A$9:$A$39,'Резултати тест'!$F$9:$F$39)*1.25,0),"")</f>
        <v>9</v>
      </c>
      <c r="G14" s="87">
        <f>IF(Протокол1[[#This Row],[Точки от изпит]]="","",Протокол1[[#This Row],[Текущ контрол]]+Протокол1[[#This Row],[Точки от изпит]])</f>
        <v>42</v>
      </c>
      <c r="H14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Слаб</v>
      </c>
      <c r="I14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2</v>
      </c>
      <c r="L14"/>
      <c r="M14"/>
      <c r="N14"/>
      <c r="O14" s="45">
        <v>86</v>
      </c>
      <c r="P14" s="34">
        <v>100</v>
      </c>
      <c r="Q14" s="35" t="s">
        <v>224</v>
      </c>
      <c r="R14" s="64">
        <v>6</v>
      </c>
    </row>
    <row r="15" spans="1:19" x14ac:dyDescent="0.25">
      <c r="A15" s="96">
        <v>10</v>
      </c>
      <c r="B15" s="97">
        <v>130459</v>
      </c>
      <c r="C15" s="98">
        <v>7209</v>
      </c>
      <c r="D15" s="97" t="s">
        <v>142</v>
      </c>
      <c r="E15" s="98">
        <v>25</v>
      </c>
      <c r="F15" s="86">
        <f>_xlfn.IFNA(ROUND(_xlfn.XLOOKUP(Протокол1[[#This Row],[Фак. номер]],'Резултати тест'!$A$9:$A$39,'Резултати тест'!$F$9:$F$39)*1.25,0),"")</f>
        <v>18</v>
      </c>
      <c r="G15" s="87">
        <f>IF(Протокол1[[#This Row],[Точки от изпит]]="","",Протокол1[[#This Row],[Текущ контрол]]+Протокол1[[#This Row],[Точки от изпит]])</f>
        <v>43</v>
      </c>
      <c r="H15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Среден</v>
      </c>
      <c r="I15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3</v>
      </c>
      <c r="L15"/>
      <c r="M15"/>
      <c r="N15"/>
      <c r="O15" s="45">
        <v>41</v>
      </c>
      <c r="P15" s="29">
        <v>55</v>
      </c>
      <c r="Q15" s="35" t="s">
        <v>213</v>
      </c>
      <c r="R15" s="64">
        <v>3</v>
      </c>
    </row>
    <row r="16" spans="1:19" x14ac:dyDescent="0.25">
      <c r="A16" s="96">
        <v>11</v>
      </c>
      <c r="B16" s="97">
        <v>130460</v>
      </c>
      <c r="C16" s="98">
        <v>7210</v>
      </c>
      <c r="D16" s="97" t="s">
        <v>191</v>
      </c>
      <c r="E16" s="98">
        <v>39</v>
      </c>
      <c r="F16" s="86">
        <f>_xlfn.IFNA(ROUND(_xlfn.XLOOKUP(Протокол1[[#This Row],[Фак. номер]],'Резултати тест'!$A$9:$A$39,'Резултати тест'!$F$9:$F$39)*1.25,0),"")</f>
        <v>46</v>
      </c>
      <c r="G16" s="87">
        <f>IF(Протокол1[[#This Row],[Точки от изпит]]="","",Протокол1[[#This Row],[Текущ контрол]]+Протокол1[[#This Row],[Точки от изпит]])</f>
        <v>85</v>
      </c>
      <c r="H16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Мн. добър</v>
      </c>
      <c r="I16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5</v>
      </c>
      <c r="L16"/>
      <c r="M16"/>
      <c r="N16"/>
      <c r="O16" s="68">
        <v>56</v>
      </c>
      <c r="P16" s="74">
        <v>70</v>
      </c>
      <c r="Q16" s="70" t="s">
        <v>214</v>
      </c>
      <c r="R16" s="71">
        <v>4</v>
      </c>
      <c r="S16" s="62"/>
    </row>
    <row r="17" spans="1:14" x14ac:dyDescent="0.25">
      <c r="A17" s="96">
        <v>12</v>
      </c>
      <c r="B17" s="97">
        <v>130461</v>
      </c>
      <c r="C17" s="98">
        <v>7211</v>
      </c>
      <c r="D17" s="97" t="s">
        <v>52</v>
      </c>
      <c r="E17" s="98">
        <v>14</v>
      </c>
      <c r="F17" s="86">
        <f>_xlfn.IFNA(ROUND(_xlfn.XLOOKUP(Протокол1[[#This Row],[Фак. номер]],'Резултати тест'!$A$9:$A$39,'Резултати тест'!$F$9:$F$39)*1.25,0),"")</f>
        <v>24</v>
      </c>
      <c r="G17" s="87">
        <f>IF(Протокол1[[#This Row],[Точки от изпит]]="","",Протокол1[[#This Row],[Текущ контрол]]+Протокол1[[#This Row],[Точки от изпит]])</f>
        <v>38</v>
      </c>
      <c r="H17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Слаб</v>
      </c>
      <c r="I17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2</v>
      </c>
      <c r="L17"/>
      <c r="M17"/>
      <c r="N17"/>
    </row>
    <row r="18" spans="1:14" x14ac:dyDescent="0.25">
      <c r="A18" s="96">
        <v>13</v>
      </c>
      <c r="B18" s="97">
        <v>130462</v>
      </c>
      <c r="C18" s="98">
        <v>7212</v>
      </c>
      <c r="D18" s="97" t="s">
        <v>87</v>
      </c>
      <c r="E18" s="98">
        <v>20</v>
      </c>
      <c r="F18" s="86" t="str">
        <f>_xlfn.IFNA(ROUND(_xlfn.XLOOKUP(Протокол1[[#This Row],[Фак. номер]],'Резултати тест'!$A$9:$A$39,'Резултати тест'!$F$9:$F$39)*1.25,0),"")</f>
        <v/>
      </c>
      <c r="G18" s="87" t="str">
        <f>IF(Протокол1[[#This Row],[Точки от изпит]]="","",Протокол1[[#This Row],[Текущ контрол]]+Протокол1[[#This Row],[Точки от изпит]])</f>
        <v/>
      </c>
      <c r="H18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/>
      </c>
      <c r="I18" s="89" t="str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Неявил се</v>
      </c>
      <c r="L18"/>
      <c r="M18"/>
      <c r="N18"/>
    </row>
    <row r="19" spans="1:14" x14ac:dyDescent="0.25">
      <c r="A19" s="96">
        <v>14</v>
      </c>
      <c r="B19" s="97">
        <v>130463</v>
      </c>
      <c r="C19" s="98">
        <v>7213</v>
      </c>
      <c r="D19" s="97" t="s">
        <v>72</v>
      </c>
      <c r="E19" s="98">
        <v>11</v>
      </c>
      <c r="F19" s="86" t="str">
        <f>_xlfn.IFNA(ROUND(_xlfn.XLOOKUP(Протокол1[[#This Row],[Фак. номер]],'Резултати тест'!$A$9:$A$39,'Резултати тест'!$F$9:$F$39)*1.25,0),"")</f>
        <v/>
      </c>
      <c r="G19" s="87" t="str">
        <f>IF(Протокол1[[#This Row],[Точки от изпит]]="","",Протокол1[[#This Row],[Текущ контрол]]+Протокол1[[#This Row],[Точки от изпит]])</f>
        <v/>
      </c>
      <c r="H19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/>
      </c>
      <c r="I19" s="89" t="str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Неявил се</v>
      </c>
    </row>
    <row r="20" spans="1:14" x14ac:dyDescent="0.25">
      <c r="A20" s="96">
        <v>15</v>
      </c>
      <c r="B20" s="97">
        <v>130464</v>
      </c>
      <c r="C20" s="98">
        <v>7214</v>
      </c>
      <c r="D20" s="97" t="s">
        <v>192</v>
      </c>
      <c r="E20" s="98">
        <v>29</v>
      </c>
      <c r="F20" s="86">
        <f>_xlfn.IFNA(ROUND(_xlfn.XLOOKUP(Протокол1[[#This Row],[Фак. номер]],'Резултати тест'!$A$9:$A$39,'Резултати тест'!$F$9:$F$39)*1.25,0),"")</f>
        <v>41</v>
      </c>
      <c r="G20" s="87">
        <f>IF(Протокол1[[#This Row],[Точки от изпит]]="","",Протокол1[[#This Row],[Текущ контрол]]+Протокол1[[#This Row],[Точки от изпит]])</f>
        <v>70</v>
      </c>
      <c r="H20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Добър</v>
      </c>
      <c r="I20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4</v>
      </c>
    </row>
    <row r="21" spans="1:14" x14ac:dyDescent="0.25">
      <c r="A21" s="96">
        <v>16</v>
      </c>
      <c r="B21" s="97">
        <v>130465</v>
      </c>
      <c r="C21" s="98">
        <v>7215</v>
      </c>
      <c r="D21" s="97" t="s">
        <v>193</v>
      </c>
      <c r="E21" s="98">
        <v>50</v>
      </c>
      <c r="F21" s="86">
        <f>_xlfn.IFNA(ROUND(_xlfn.XLOOKUP(Протокол1[[#This Row],[Фак. номер]],'Резултати тест'!$A$9:$A$39,'Резултати тест'!$F$9:$F$39)*1.25,0),"")</f>
        <v>29</v>
      </c>
      <c r="G21" s="87">
        <f>IF(Протокол1[[#This Row],[Точки от изпит]]="","",Протокол1[[#This Row],[Текущ контрол]]+Протокол1[[#This Row],[Точки от изпит]])</f>
        <v>79</v>
      </c>
      <c r="H21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Мн. добър</v>
      </c>
      <c r="I21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5</v>
      </c>
    </row>
    <row r="22" spans="1:14" x14ac:dyDescent="0.25">
      <c r="A22" s="96">
        <v>17</v>
      </c>
      <c r="B22" s="97">
        <v>130466</v>
      </c>
      <c r="C22" s="98">
        <v>7216</v>
      </c>
      <c r="D22" s="97" t="s">
        <v>38</v>
      </c>
      <c r="E22" s="98">
        <v>30</v>
      </c>
      <c r="F22" s="86">
        <f>_xlfn.IFNA(ROUND(_xlfn.XLOOKUP(Протокол1[[#This Row],[Фак. номер]],'Резултати тест'!$A$9:$A$39,'Резултати тест'!$F$9:$F$39)*1.25,0),"")</f>
        <v>13</v>
      </c>
      <c r="G22" s="87">
        <f>IF(Протокол1[[#This Row],[Точки от изпит]]="","",Протокол1[[#This Row],[Текущ контрол]]+Протокол1[[#This Row],[Точки от изпит]])</f>
        <v>43</v>
      </c>
      <c r="H22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Среден</v>
      </c>
      <c r="I22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3</v>
      </c>
    </row>
    <row r="23" spans="1:14" x14ac:dyDescent="0.25">
      <c r="A23" s="96">
        <v>18</v>
      </c>
      <c r="B23" s="97">
        <v>130467</v>
      </c>
      <c r="C23" s="98">
        <v>7217</v>
      </c>
      <c r="D23" s="97" t="s">
        <v>194</v>
      </c>
      <c r="E23" s="98">
        <v>18</v>
      </c>
      <c r="F23" s="86">
        <f>_xlfn.IFNA(ROUND(_xlfn.XLOOKUP(Протокол1[[#This Row],[Фак. номер]],'Резултати тест'!$A$9:$A$39,'Резултати тест'!$F$9:$F$39)*1.25,0),"")</f>
        <v>33</v>
      </c>
      <c r="G23" s="87">
        <f>IF(Протокол1[[#This Row],[Точки от изпит]]="","",Протокол1[[#This Row],[Текущ контрол]]+Протокол1[[#This Row],[Точки от изпит]])</f>
        <v>51</v>
      </c>
      <c r="H23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Среден</v>
      </c>
      <c r="I23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3</v>
      </c>
    </row>
    <row r="24" spans="1:14" x14ac:dyDescent="0.25">
      <c r="A24" s="96">
        <v>19</v>
      </c>
      <c r="B24" s="97">
        <v>130468</v>
      </c>
      <c r="C24" s="98">
        <v>7218</v>
      </c>
      <c r="D24" s="97" t="s">
        <v>195</v>
      </c>
      <c r="E24" s="98">
        <v>36</v>
      </c>
      <c r="F24" s="86">
        <f>_xlfn.IFNA(ROUND(_xlfn.XLOOKUP(Протокол1[[#This Row],[Фак. номер]],'Резултати тест'!$A$9:$A$39,'Резултати тест'!$F$9:$F$39)*1.25,0),"")</f>
        <v>36</v>
      </c>
      <c r="G24" s="87">
        <f>IF(Протокол1[[#This Row],[Точки от изпит]]="","",Протокол1[[#This Row],[Текущ контрол]]+Протокол1[[#This Row],[Точки от изпит]])</f>
        <v>72</v>
      </c>
      <c r="H24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Мн. добър</v>
      </c>
      <c r="I24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5</v>
      </c>
    </row>
    <row r="25" spans="1:14" x14ac:dyDescent="0.25">
      <c r="A25" s="96">
        <v>20</v>
      </c>
      <c r="B25" s="97">
        <v>130469</v>
      </c>
      <c r="C25" s="98">
        <v>7219</v>
      </c>
      <c r="D25" s="97" t="s">
        <v>196</v>
      </c>
      <c r="E25" s="98">
        <v>49</v>
      </c>
      <c r="F25" s="86">
        <f>_xlfn.IFNA(ROUND(_xlfn.XLOOKUP(Протокол1[[#This Row],[Фак. номер]],'Резултати тест'!$A$9:$A$39,'Резултати тест'!$F$9:$F$39)*1.25,0),"")</f>
        <v>24</v>
      </c>
      <c r="G25" s="87">
        <f>IF(Протокол1[[#This Row],[Точки от изпит]]="","",Протокол1[[#This Row],[Текущ контрол]]+Протокол1[[#This Row],[Точки от изпит]])</f>
        <v>73</v>
      </c>
      <c r="H25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Мн. добър</v>
      </c>
      <c r="I25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5</v>
      </c>
      <c r="K25" t="s">
        <v>264</v>
      </c>
    </row>
    <row r="26" spans="1:14" x14ac:dyDescent="0.25">
      <c r="A26" s="96">
        <v>21</v>
      </c>
      <c r="B26" s="97">
        <v>130470</v>
      </c>
      <c r="C26" s="98">
        <v>7220</v>
      </c>
      <c r="D26" s="97" t="s">
        <v>197</v>
      </c>
      <c r="E26" s="98">
        <v>30</v>
      </c>
      <c r="F26" s="86">
        <f>_xlfn.IFNA(ROUND(_xlfn.XLOOKUP(Протокол1[[#This Row],[Фак. номер]],'Резултати тест'!$A$9:$A$39,'Резултати тест'!$F$9:$F$39)*1.25,0),"")</f>
        <v>46</v>
      </c>
      <c r="G26" s="87">
        <f>IF(Протокол1[[#This Row],[Точки от изпит]]="","",Протокол1[[#This Row],[Текущ контрол]]+Протокол1[[#This Row],[Точки от изпит]])</f>
        <v>76</v>
      </c>
      <c r="H26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Мн. добър</v>
      </c>
      <c r="I26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5</v>
      </c>
      <c r="K26" s="112" t="s">
        <v>215</v>
      </c>
      <c r="L26" s="112"/>
      <c r="M26" s="77"/>
      <c r="N26"/>
    </row>
    <row r="27" spans="1:14" x14ac:dyDescent="0.25">
      <c r="A27" s="96">
        <v>22</v>
      </c>
      <c r="B27" s="97">
        <v>130471</v>
      </c>
      <c r="C27" s="98">
        <v>7221</v>
      </c>
      <c r="D27" s="97" t="s">
        <v>101</v>
      </c>
      <c r="E27" s="98">
        <v>50</v>
      </c>
      <c r="F27" s="86">
        <f>_xlfn.IFNA(ROUND(_xlfn.XLOOKUP(Протокол1[[#This Row],[Фак. номер]],'Резултати тест'!$A$9:$A$39,'Резултати тест'!$F$9:$F$39)*1.25,0),"")</f>
        <v>40</v>
      </c>
      <c r="G27" s="87">
        <f>IF(Протокол1[[#This Row],[Точки от изпит]]="","",Протокол1[[#This Row],[Текущ контрол]]+Протокол1[[#This Row],[Точки от изпит]])</f>
        <v>90</v>
      </c>
      <c r="H27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Отличен</v>
      </c>
      <c r="I27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6</v>
      </c>
      <c r="K27" s="112" t="s">
        <v>216</v>
      </c>
      <c r="L27" s="112"/>
      <c r="M27" s="77">
        <v>7217</v>
      </c>
      <c r="N27"/>
    </row>
    <row r="28" spans="1:14" x14ac:dyDescent="0.25">
      <c r="A28" s="96">
        <v>23</v>
      </c>
      <c r="B28" s="9">
        <v>130472</v>
      </c>
      <c r="C28" s="29">
        <v>7222</v>
      </c>
      <c r="D28" s="9" t="s">
        <v>146</v>
      </c>
      <c r="E28" s="29">
        <v>36</v>
      </c>
      <c r="F28" s="86">
        <f>_xlfn.IFNA(ROUND(_xlfn.XLOOKUP(Протокол1[[#This Row],[Фак. номер]],'Резултати тест'!$A$9:$A$39,'Резултати тест'!$F$9:$F$39)*1.25,0),"")</f>
        <v>41</v>
      </c>
      <c r="G28" s="87">
        <f>IF(Протокол1[[#This Row],[Точки от изпит]]="","",Протокол1[[#This Row],[Текущ контрол]]+Протокол1[[#This Row],[Точки от изпит]])</f>
        <v>77</v>
      </c>
      <c r="H28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Мн. добър</v>
      </c>
      <c r="I28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5</v>
      </c>
      <c r="K28" s="112" t="s">
        <v>217</v>
      </c>
      <c r="L28" s="112"/>
      <c r="M28" s="78"/>
      <c r="N28" s="60"/>
    </row>
    <row r="29" spans="1:14" x14ac:dyDescent="0.25">
      <c r="A29" s="96">
        <v>24</v>
      </c>
      <c r="B29" s="9">
        <v>130473</v>
      </c>
      <c r="C29" s="29">
        <v>7223</v>
      </c>
      <c r="D29" s="9" t="s">
        <v>198</v>
      </c>
      <c r="E29" s="29">
        <v>31</v>
      </c>
      <c r="F29" s="86">
        <f>_xlfn.IFNA(ROUND(_xlfn.XLOOKUP(Протокол1[[#This Row],[Фак. номер]],'Резултати тест'!$A$9:$A$39,'Резултати тест'!$F$9:$F$39)*1.25,0),"")</f>
        <v>44</v>
      </c>
      <c r="G29" s="87">
        <f>IF(Протокол1[[#This Row],[Точки от изпит]]="","",Протокол1[[#This Row],[Текущ контрол]]+Протокол1[[#This Row],[Точки от изпит]])</f>
        <v>75</v>
      </c>
      <c r="H29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Мн. добър</v>
      </c>
      <c r="I29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5</v>
      </c>
    </row>
    <row r="30" spans="1:14" x14ac:dyDescent="0.25">
      <c r="A30" s="96">
        <v>25</v>
      </c>
      <c r="B30" s="9">
        <v>130474</v>
      </c>
      <c r="C30" s="29">
        <v>7224</v>
      </c>
      <c r="D30" s="9" t="s">
        <v>199</v>
      </c>
      <c r="E30" s="29">
        <v>28</v>
      </c>
      <c r="F30" s="86">
        <f>_xlfn.IFNA(ROUND(_xlfn.XLOOKUP(Протокол1[[#This Row],[Фак. номер]],'Резултати тест'!$A$9:$A$39,'Резултати тест'!$F$9:$F$39)*1.25,0),"")</f>
        <v>15</v>
      </c>
      <c r="G30" s="87">
        <f>IF(Протокол1[[#This Row],[Точки от изпит]]="","",Протокол1[[#This Row],[Текущ контрол]]+Протокол1[[#This Row],[Точки от изпит]])</f>
        <v>43</v>
      </c>
      <c r="H30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Среден</v>
      </c>
      <c r="I30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3</v>
      </c>
    </row>
    <row r="31" spans="1:14" x14ac:dyDescent="0.25">
      <c r="A31" s="96">
        <v>26</v>
      </c>
      <c r="B31" s="9">
        <v>130475</v>
      </c>
      <c r="C31" s="29">
        <v>7225</v>
      </c>
      <c r="D31" s="9" t="s">
        <v>200</v>
      </c>
      <c r="E31" s="29">
        <v>31</v>
      </c>
      <c r="F31" s="86">
        <f>_xlfn.IFNA(ROUND(_xlfn.XLOOKUP(Протокол1[[#This Row],[Фак. номер]],'Резултати тест'!$A$9:$A$39,'Резултати тест'!$F$9:$F$39)*1.25,0),"")</f>
        <v>21</v>
      </c>
      <c r="G31" s="87">
        <f>IF(Протокол1[[#This Row],[Точки от изпит]]="","",Протокол1[[#This Row],[Текущ контрол]]+Протокол1[[#This Row],[Точки от изпит]])</f>
        <v>52</v>
      </c>
      <c r="H31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Среден</v>
      </c>
      <c r="I31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3</v>
      </c>
    </row>
    <row r="32" spans="1:14" x14ac:dyDescent="0.25">
      <c r="A32" s="96">
        <v>27</v>
      </c>
      <c r="B32" s="9">
        <v>130476</v>
      </c>
      <c r="C32" s="29">
        <v>7226</v>
      </c>
      <c r="D32" s="9" t="s">
        <v>201</v>
      </c>
      <c r="E32" s="29">
        <v>35</v>
      </c>
      <c r="F32" s="86">
        <f>_xlfn.IFNA(ROUND(_xlfn.XLOOKUP(Протокол1[[#This Row],[Фак. номер]],'Резултати тест'!$A$9:$A$39,'Резултати тест'!$F$9:$F$39)*1.25,0),"")</f>
        <v>23</v>
      </c>
      <c r="G32" s="87">
        <f>IF(Протокол1[[#This Row],[Точки от изпит]]="","",Протокол1[[#This Row],[Текущ контрол]]+Протокол1[[#This Row],[Точки от изпит]])</f>
        <v>58</v>
      </c>
      <c r="H32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Добър</v>
      </c>
      <c r="I32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4</v>
      </c>
      <c r="K32" s="112" t="s">
        <v>215</v>
      </c>
      <c r="L32" s="112"/>
      <c r="M32" s="79"/>
      <c r="N32" s="61"/>
    </row>
    <row r="33" spans="1:14" x14ac:dyDescent="0.25">
      <c r="A33" s="96">
        <v>28</v>
      </c>
      <c r="B33" s="9">
        <v>130477</v>
      </c>
      <c r="C33" s="29">
        <v>7227</v>
      </c>
      <c r="D33" s="9" t="s">
        <v>81</v>
      </c>
      <c r="E33" s="29">
        <v>25</v>
      </c>
      <c r="F33" s="86">
        <f>_xlfn.IFNA(ROUND(_xlfn.XLOOKUP(Протокол1[[#This Row],[Фак. номер]],'Резултати тест'!$A$9:$A$39,'Резултати тест'!$F$9:$F$39)*1.25,0),"")</f>
        <v>20</v>
      </c>
      <c r="G33" s="87">
        <f>IF(Протокол1[[#This Row],[Точки от изпит]]="","",Протокол1[[#This Row],[Текущ контрол]]+Протокол1[[#This Row],[Точки от изпит]])</f>
        <v>45</v>
      </c>
      <c r="H33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Среден</v>
      </c>
      <c r="I33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3</v>
      </c>
      <c r="K33" s="112" t="s">
        <v>216</v>
      </c>
      <c r="L33" s="112"/>
      <c r="M33" s="79"/>
      <c r="N33" s="61"/>
    </row>
    <row r="34" spans="1:14" x14ac:dyDescent="0.25">
      <c r="A34" s="96">
        <v>29</v>
      </c>
      <c r="B34" s="9">
        <v>130478</v>
      </c>
      <c r="C34" s="29">
        <v>7228</v>
      </c>
      <c r="D34" s="9" t="s">
        <v>202</v>
      </c>
      <c r="E34" s="29">
        <v>14</v>
      </c>
      <c r="F34" s="86" t="str">
        <f>_xlfn.IFNA(ROUND(_xlfn.XLOOKUP(Протокол1[[#This Row],[Фак. номер]],'Резултати тест'!$A$9:$A$39,'Резултати тест'!$F$9:$F$39)*1.25,0),"")</f>
        <v/>
      </c>
      <c r="G34" s="87" t="str">
        <f>IF(Протокол1[[#This Row],[Точки от изпит]]="","",Протокол1[[#This Row],[Текущ контрол]]+Протокол1[[#This Row],[Точки от изпит]])</f>
        <v/>
      </c>
      <c r="H34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/>
      </c>
      <c r="I34" s="89" t="str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Неявил се</v>
      </c>
      <c r="K34" s="112" t="s">
        <v>217</v>
      </c>
      <c r="L34" s="112"/>
      <c r="M34" s="79"/>
      <c r="N34" s="61"/>
    </row>
    <row r="35" spans="1:14" x14ac:dyDescent="0.25">
      <c r="A35" s="96">
        <v>30</v>
      </c>
      <c r="B35" s="9">
        <v>130479</v>
      </c>
      <c r="C35" s="29">
        <v>7229</v>
      </c>
      <c r="D35" s="9" t="s">
        <v>203</v>
      </c>
      <c r="E35" s="29">
        <v>50</v>
      </c>
      <c r="F35" s="86">
        <f>_xlfn.IFNA(ROUND(_xlfn.XLOOKUP(Протокол1[[#This Row],[Фак. номер]],'Резултати тест'!$A$9:$A$39,'Резултати тест'!$F$9:$F$39)*1.25,0),"")</f>
        <v>21</v>
      </c>
      <c r="G35" s="87">
        <f>IF(Протокол1[[#This Row],[Точки от изпит]]="","",Протокол1[[#This Row],[Текущ контрол]]+Протокол1[[#This Row],[Точки от изпит]])</f>
        <v>71</v>
      </c>
      <c r="H35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Мн. добър</v>
      </c>
      <c r="I35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5</v>
      </c>
      <c r="K35" s="112" t="s">
        <v>218</v>
      </c>
      <c r="L35" s="112"/>
      <c r="M35" s="79"/>
      <c r="N35" s="61"/>
    </row>
    <row r="36" spans="1:14" x14ac:dyDescent="0.25">
      <c r="A36" s="96">
        <v>31</v>
      </c>
      <c r="B36" s="9">
        <v>130480</v>
      </c>
      <c r="C36" s="29">
        <v>7230</v>
      </c>
      <c r="D36" s="9" t="s">
        <v>77</v>
      </c>
      <c r="E36" s="29">
        <v>36</v>
      </c>
      <c r="F36" s="86">
        <f>_xlfn.IFNA(ROUND(_xlfn.XLOOKUP(Протокол1[[#This Row],[Фак. номер]],'Резултати тест'!$A$9:$A$39,'Резултати тест'!$F$9:$F$39)*1.25,0),"")</f>
        <v>24</v>
      </c>
      <c r="G36" s="87">
        <f>IF(Протокол1[[#This Row],[Точки от изпит]]="","",Протокол1[[#This Row],[Текущ контрол]]+Протокол1[[#This Row],[Точки от изпит]])</f>
        <v>60</v>
      </c>
      <c r="H36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Добър</v>
      </c>
      <c r="I36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4</v>
      </c>
      <c r="K36" s="112" t="s">
        <v>219</v>
      </c>
      <c r="L36" s="112"/>
      <c r="M36" s="79"/>
      <c r="N36" s="61"/>
    </row>
    <row r="37" spans="1:14" x14ac:dyDescent="0.25">
      <c r="A37" s="96">
        <v>32</v>
      </c>
      <c r="B37" s="9">
        <v>130481</v>
      </c>
      <c r="C37" s="29">
        <v>7231</v>
      </c>
      <c r="D37" s="9" t="s">
        <v>204</v>
      </c>
      <c r="E37" s="29">
        <v>19</v>
      </c>
      <c r="F37" s="86">
        <f>_xlfn.IFNA(ROUND(_xlfn.XLOOKUP(Протокол1[[#This Row],[Фак. номер]],'Резултати тест'!$A$9:$A$39,'Резултати тест'!$F$9:$F$39)*1.25,0),"")</f>
        <v>21</v>
      </c>
      <c r="G37" s="87">
        <f>IF(Протокол1[[#This Row],[Точки от изпит]]="","",Протокол1[[#This Row],[Текущ контрол]]+Протокол1[[#This Row],[Точки от изпит]])</f>
        <v>40</v>
      </c>
      <c r="H37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Слаб</v>
      </c>
      <c r="I37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2</v>
      </c>
      <c r="K37" s="112" t="s">
        <v>220</v>
      </c>
      <c r="L37" s="50" t="s">
        <v>222</v>
      </c>
      <c r="M37" s="79"/>
      <c r="N37" s="61"/>
    </row>
    <row r="38" spans="1:14" x14ac:dyDescent="0.25">
      <c r="A38" s="96">
        <v>33</v>
      </c>
      <c r="B38" s="9">
        <v>130482</v>
      </c>
      <c r="C38" s="29">
        <v>7232</v>
      </c>
      <c r="D38" s="9" t="s">
        <v>205</v>
      </c>
      <c r="E38" s="29">
        <v>18</v>
      </c>
      <c r="F38" s="86" t="str">
        <f>_xlfn.IFNA(ROUND(_xlfn.XLOOKUP(Протокол1[[#This Row],[Фак. номер]],'Резултати тест'!$A$9:$A$39,'Резултати тест'!$F$9:$F$39)*1.25,0),"")</f>
        <v/>
      </c>
      <c r="G38" s="87" t="str">
        <f>IF(Протокол1[[#This Row],[Точки от изпит]]="","",Протокол1[[#This Row],[Текущ контрол]]+Протокол1[[#This Row],[Точки от изпит]])</f>
        <v/>
      </c>
      <c r="H38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/>
      </c>
      <c r="I38" s="89" t="str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Неявил се</v>
      </c>
      <c r="K38" s="112"/>
      <c r="L38" s="112" t="s">
        <v>223</v>
      </c>
      <c r="M38" s="79"/>
      <c r="N38" s="61"/>
    </row>
    <row r="39" spans="1:14" x14ac:dyDescent="0.25">
      <c r="A39" s="96">
        <v>34</v>
      </c>
      <c r="B39" s="9">
        <v>130483</v>
      </c>
      <c r="C39" s="29">
        <v>7233</v>
      </c>
      <c r="D39" s="9" t="s">
        <v>206</v>
      </c>
      <c r="E39" s="29">
        <v>39</v>
      </c>
      <c r="F39" s="86">
        <f>_xlfn.IFNA(ROUND(_xlfn.XLOOKUP(Протокол1[[#This Row],[Фак. номер]],'Резултати тест'!$A$9:$A$39,'Резултати тест'!$F$9:$F$39)*1.25,0),"")</f>
        <v>49</v>
      </c>
      <c r="G39" s="87">
        <f>IF(Протокол1[[#This Row],[Точки от изпит]]="","",Протокол1[[#This Row],[Текущ контрол]]+Протокол1[[#This Row],[Точки от изпит]])</f>
        <v>88</v>
      </c>
      <c r="H39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Отличен</v>
      </c>
      <c r="I39" s="89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6</v>
      </c>
      <c r="K39" s="112"/>
      <c r="L39" s="112"/>
      <c r="M39" s="79"/>
      <c r="N39" s="61"/>
    </row>
    <row r="40" spans="1:14" x14ac:dyDescent="0.25">
      <c r="A40" s="99">
        <v>35</v>
      </c>
      <c r="B40" s="100">
        <v>130484</v>
      </c>
      <c r="C40" s="74">
        <v>7234</v>
      </c>
      <c r="D40" s="100" t="s">
        <v>207</v>
      </c>
      <c r="E40" s="74">
        <v>44</v>
      </c>
      <c r="F40" s="90">
        <f>_xlfn.IFNA(ROUND(_xlfn.XLOOKUP(Протокол1[[#This Row],[Фак. номер]],'Резултати тест'!$A$9:$A$39,'Резултати тест'!$F$9:$F$39)*1.25,0),"")</f>
        <v>21</v>
      </c>
      <c r="G40" s="91">
        <f>IF(Протокол1[[#This Row],[Точки от изпит]]="","",Протокол1[[#This Row],[Текущ контрол]]+Протокол1[[#This Row],[Точки от изпит]])</f>
        <v>65</v>
      </c>
      <c r="H40" s="88" t="str">
        <f>IF(Протокол1[[#This Row],[Точки от изпит]]&lt;10,"Слаб",_xlfn.XLOOKUP(Протокол1[[#This Row],[Крайна оценка с точки]],Оценки_подредени[До],Оценки_подредени[Оценка с думи],"",1))</f>
        <v>Добър</v>
      </c>
      <c r="I40" s="93">
        <f>IF(Протокол1[[#This Row],[Точки от изпит]]&lt;10,2,_xlfn.XLOOKUP(Протокол1[[#This Row],[Крайна оценка с точки]],Оценки_неподредени[До],Оценки_неподредени[Оценка с цифри],"Неявил се",1))</f>
        <v>4</v>
      </c>
    </row>
    <row r="42" spans="1:14" x14ac:dyDescent="0.25">
      <c r="K42" t="s">
        <v>274</v>
      </c>
    </row>
    <row r="43" spans="1:14" ht="15.75" thickBot="1" x14ac:dyDescent="0.3">
      <c r="A43" s="82" t="s">
        <v>182</v>
      </c>
      <c r="B43" s="83" t="s">
        <v>215</v>
      </c>
      <c r="C43" s="83" t="s">
        <v>216</v>
      </c>
      <c r="D43" s="83" t="s">
        <v>217</v>
      </c>
      <c r="E43" s="83" t="s">
        <v>218</v>
      </c>
      <c r="F43" s="83" t="s">
        <v>219</v>
      </c>
      <c r="G43" s="84" t="s">
        <v>265</v>
      </c>
      <c r="H43" s="84" t="s">
        <v>266</v>
      </c>
      <c r="I43" s="85" t="s">
        <v>267</v>
      </c>
      <c r="K43" s="112" t="s">
        <v>215</v>
      </c>
      <c r="L43" s="112"/>
      <c r="M43" s="79" cm="1">
        <f t="array" ref="M43:M50">TRANSPOSE(_xlfn.XLOOKUP(1,(Протокол2[Крайна оценка с думи] = "Слаб")*(Протокол2[Крайна оценка с точки] &gt; 40),Протокол2[[Фак. номер]:[Крайна оценка с цифри]],"Nqma"))</f>
        <v>130457</v>
      </c>
    </row>
    <row r="44" spans="1:14" ht="15.75" thickTop="1" x14ac:dyDescent="0.25">
      <c r="A44" s="94">
        <v>1</v>
      </c>
      <c r="B44" s="95">
        <v>130450</v>
      </c>
      <c r="C44" s="86">
        <v>7200</v>
      </c>
      <c r="D44" s="95" t="s">
        <v>183</v>
      </c>
      <c r="E44" s="86">
        <v>50</v>
      </c>
      <c r="F44" s="86">
        <f>_xlfn.IFNA(ROUND(_xlfn.XLOOKUP(Протокол2[[#This Row],[Фак. номер]],'Резултати тест'!$A$9:$A$39,'Резултати тест'!$F$9:$F$39)*1.25,0),"")</f>
        <v>46</v>
      </c>
      <c r="G44" s="87">
        <f>IF(Протокол2[[#This Row],[Точки от изпит]]="","",Протокол2[[#This Row],[Текущ контрол]]+Протокол2[[#This Row],[Точки от изпит]])</f>
        <v>96</v>
      </c>
      <c r="H44" s="88" t="str" cm="1">
        <f t="array" ref="H44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Отличен</v>
      </c>
      <c r="I44" s="89" cm="1">
        <f t="array" ref="I44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6</v>
      </c>
      <c r="K44" s="112" t="s">
        <v>216</v>
      </c>
      <c r="L44" s="112"/>
      <c r="M44" s="79">
        <v>7207</v>
      </c>
    </row>
    <row r="45" spans="1:14" ht="28.9" customHeight="1" x14ac:dyDescent="0.25">
      <c r="A45" s="96">
        <v>2</v>
      </c>
      <c r="B45" s="97">
        <v>130451</v>
      </c>
      <c r="C45" s="98">
        <v>7201</v>
      </c>
      <c r="D45" s="97" t="s">
        <v>184</v>
      </c>
      <c r="E45" s="98">
        <v>29</v>
      </c>
      <c r="F45" s="86">
        <f>_xlfn.IFNA(ROUND(_xlfn.XLOOKUP(Протокол2[[#This Row],[Фак. номер]],'Резултати тест'!$A$9:$A$39,'Резултати тест'!$F$9:$F$39)*1.25,0),"")</f>
        <v>36</v>
      </c>
      <c r="G45" s="87">
        <f>IF(Протокол2[[#This Row],[Точки от изпит]]="","",Протокол2[[#This Row],[Текущ контрол]]+Протокол2[[#This Row],[Точки от изпит]])</f>
        <v>65</v>
      </c>
      <c r="H45" s="88" t="str" cm="1">
        <f t="array" ref="H45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Добър</v>
      </c>
      <c r="I45" s="89" cm="1">
        <f t="array" ref="I45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4</v>
      </c>
      <c r="K45" s="112" t="s">
        <v>217</v>
      </c>
      <c r="L45" s="112"/>
      <c r="M45" s="79" t="str">
        <v>Георги Красимиров Долапчиев</v>
      </c>
    </row>
    <row r="46" spans="1:14" ht="14.45" customHeight="1" x14ac:dyDescent="0.25">
      <c r="A46" s="96">
        <v>3</v>
      </c>
      <c r="B46" s="97">
        <v>130452</v>
      </c>
      <c r="C46" s="98">
        <v>7202</v>
      </c>
      <c r="D46" s="97" t="s">
        <v>185</v>
      </c>
      <c r="E46" s="98">
        <v>28</v>
      </c>
      <c r="F46" s="86">
        <f>_xlfn.IFNA(ROUND(_xlfn.XLOOKUP(Протокол2[[#This Row],[Фак. номер]],'Резултати тест'!$A$9:$A$39,'Резултати тест'!$F$9:$F$39)*1.25,0),"")</f>
        <v>36</v>
      </c>
      <c r="G46" s="87">
        <f>IF(Протокол2[[#This Row],[Точки от изпит]]="","",Протокол2[[#This Row],[Текущ контрол]]+Протокол2[[#This Row],[Точки от изпит]])</f>
        <v>64</v>
      </c>
      <c r="H46" s="88" t="str" cm="1">
        <f t="array" ref="H46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Добър</v>
      </c>
      <c r="I46" s="89" cm="1">
        <f t="array" ref="I46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4</v>
      </c>
      <c r="K46" s="112" t="s">
        <v>218</v>
      </c>
      <c r="L46" s="112"/>
      <c r="M46" s="79">
        <v>45</v>
      </c>
    </row>
    <row r="47" spans="1:14" ht="14.45" customHeight="1" x14ac:dyDescent="0.25">
      <c r="A47" s="96">
        <v>4</v>
      </c>
      <c r="B47" s="97">
        <v>130453</v>
      </c>
      <c r="C47" s="98">
        <v>7203</v>
      </c>
      <c r="D47" s="97" t="s">
        <v>186</v>
      </c>
      <c r="E47" s="98">
        <v>34</v>
      </c>
      <c r="F47" s="86">
        <f>_xlfn.IFNA(ROUND(_xlfn.XLOOKUP(Протокол2[[#This Row],[Фак. номер]],'Резултати тест'!$A$9:$A$39,'Резултати тест'!$F$9:$F$39)*1.25,0),"")</f>
        <v>39</v>
      </c>
      <c r="G47" s="87">
        <f>IF(Протокол2[[#This Row],[Точки от изпит]]="","",Протокол2[[#This Row],[Текущ контрол]]+Протокол2[[#This Row],[Точки от изпит]])</f>
        <v>73</v>
      </c>
      <c r="H47" s="88" t="str" cm="1">
        <f t="array" ref="H47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Мн. добър</v>
      </c>
      <c r="I47" s="89" cm="1">
        <f t="array" ref="I47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5</v>
      </c>
      <c r="K47" s="112" t="s">
        <v>219</v>
      </c>
      <c r="L47" s="112"/>
      <c r="M47" s="79">
        <v>8</v>
      </c>
    </row>
    <row r="48" spans="1:14" ht="14.45" customHeight="1" x14ac:dyDescent="0.25">
      <c r="A48" s="96">
        <v>5</v>
      </c>
      <c r="B48" s="97">
        <v>130454</v>
      </c>
      <c r="C48" s="98">
        <v>7204</v>
      </c>
      <c r="D48" s="97" t="s">
        <v>138</v>
      </c>
      <c r="E48" s="98">
        <v>36</v>
      </c>
      <c r="F48" s="86">
        <f>_xlfn.IFNA(ROUND(_xlfn.XLOOKUP(Протокол2[[#This Row],[Фак. номер]],'Резултати тест'!$A$9:$A$39,'Резултати тест'!$F$9:$F$39)*1.25,0),"")</f>
        <v>48</v>
      </c>
      <c r="G48" s="87">
        <f>IF(Протокол2[[#This Row],[Точки от изпит]]="","",Протокол2[[#This Row],[Текущ контрол]]+Протокол2[[#This Row],[Точки от изпит]])</f>
        <v>84</v>
      </c>
      <c r="H48" s="88" t="str" cm="1">
        <f t="array" ref="H48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Мн. добър</v>
      </c>
      <c r="I48" s="89" cm="1">
        <f t="array" ref="I48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5</v>
      </c>
      <c r="K48" s="112" t="s">
        <v>220</v>
      </c>
      <c r="L48" s="50" t="s">
        <v>222</v>
      </c>
      <c r="M48" s="79">
        <v>53</v>
      </c>
    </row>
    <row r="49" spans="1:13" x14ac:dyDescent="0.25">
      <c r="A49" s="96">
        <v>6</v>
      </c>
      <c r="B49" s="97">
        <v>130455</v>
      </c>
      <c r="C49" s="98">
        <v>7205</v>
      </c>
      <c r="D49" s="97" t="s">
        <v>187</v>
      </c>
      <c r="E49" s="98">
        <v>20</v>
      </c>
      <c r="F49" s="86">
        <f>_xlfn.IFNA(ROUND(_xlfn.XLOOKUP(Протокол2[[#This Row],[Фак. номер]],'Резултати тест'!$A$9:$A$39,'Резултати тест'!$F$9:$F$39)*1.25,0),"")</f>
        <v>34</v>
      </c>
      <c r="G49" s="87">
        <f>IF(Протокол2[[#This Row],[Точки от изпит]]="","",Протокол2[[#This Row],[Текущ контрол]]+Протокол2[[#This Row],[Точки от изпит]])</f>
        <v>54</v>
      </c>
      <c r="H49" s="88" t="str" cm="1">
        <f t="array" ref="H49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Среден</v>
      </c>
      <c r="I49" s="89" cm="1">
        <f t="array" ref="I49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3</v>
      </c>
      <c r="K49" s="112"/>
      <c r="L49" s="112" t="s">
        <v>223</v>
      </c>
      <c r="M49" s="79" t="str">
        <v>Слаб</v>
      </c>
    </row>
    <row r="50" spans="1:13" x14ac:dyDescent="0.25">
      <c r="A50" s="96">
        <v>7</v>
      </c>
      <c r="B50" s="97">
        <v>130456</v>
      </c>
      <c r="C50" s="98">
        <v>7206</v>
      </c>
      <c r="D50" s="97" t="s">
        <v>188</v>
      </c>
      <c r="E50" s="98">
        <v>50</v>
      </c>
      <c r="F50" s="86">
        <f>_xlfn.IFNA(ROUND(_xlfn.XLOOKUP(Протокол2[[#This Row],[Фак. номер]],'Резултати тест'!$A$9:$A$39,'Резултати тест'!$F$9:$F$39)*1.25,0),"")</f>
        <v>44</v>
      </c>
      <c r="G50" s="87">
        <f>IF(Протокол2[[#This Row],[Точки от изпит]]="","",Протокол2[[#This Row],[Текущ контрол]]+Протокол2[[#This Row],[Точки от изпит]])</f>
        <v>94</v>
      </c>
      <c r="H50" s="88" t="str" cm="1">
        <f t="array" ref="H50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Отличен</v>
      </c>
      <c r="I50" s="89" cm="1">
        <f t="array" ref="I50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6</v>
      </c>
      <c r="K50" s="112"/>
      <c r="L50" s="112"/>
      <c r="M50" s="79">
        <v>2</v>
      </c>
    </row>
    <row r="51" spans="1:13" x14ac:dyDescent="0.25">
      <c r="A51" s="96">
        <v>8</v>
      </c>
      <c r="B51" s="97">
        <v>130457</v>
      </c>
      <c r="C51" s="98">
        <v>7207</v>
      </c>
      <c r="D51" s="97" t="s">
        <v>189</v>
      </c>
      <c r="E51" s="98">
        <v>45</v>
      </c>
      <c r="F51" s="86">
        <f>_xlfn.IFNA(ROUND(_xlfn.XLOOKUP(Протокол2[[#This Row],[Фак. номер]],'Резултати тест'!$A$9:$A$39,'Резултати тест'!$F$9:$F$39)*1.25,0),"")</f>
        <v>8</v>
      </c>
      <c r="G51" s="87">
        <f>IF(Протокол2[[#This Row],[Точки от изпит]]="","",Протокол2[[#This Row],[Текущ контрол]]+Протокол2[[#This Row],[Точки от изпит]])</f>
        <v>53</v>
      </c>
      <c r="H51" s="88" t="str" cm="1">
        <f t="array" ref="H51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Слаб</v>
      </c>
      <c r="I51" s="89" cm="1">
        <f t="array" ref="I51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2</v>
      </c>
    </row>
    <row r="52" spans="1:13" x14ac:dyDescent="0.25">
      <c r="A52" s="96">
        <v>9</v>
      </c>
      <c r="B52" s="97">
        <v>130458</v>
      </c>
      <c r="C52" s="98">
        <v>7208</v>
      </c>
      <c r="D52" s="97" t="s">
        <v>190</v>
      </c>
      <c r="E52" s="98">
        <v>33</v>
      </c>
      <c r="F52" s="86">
        <f>_xlfn.IFNA(ROUND(_xlfn.XLOOKUP(Протокол2[[#This Row],[Фак. номер]],'Резултати тест'!$A$9:$A$39,'Резултати тест'!$F$9:$F$39)*1.25,0),"")</f>
        <v>9</v>
      </c>
      <c r="G52" s="87">
        <f>IF(Протокол2[[#This Row],[Точки от изпит]]="","",Протокол2[[#This Row],[Текущ контрол]]+Протокол2[[#This Row],[Точки от изпит]])</f>
        <v>42</v>
      </c>
      <c r="H52" s="88" t="str" cm="1">
        <f t="array" ref="H52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Слаб</v>
      </c>
      <c r="I52" s="89" cm="1">
        <f t="array" ref="I52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2</v>
      </c>
    </row>
    <row r="53" spans="1:13" x14ac:dyDescent="0.25">
      <c r="A53" s="96">
        <v>10</v>
      </c>
      <c r="B53" s="97">
        <v>130459</v>
      </c>
      <c r="C53" s="98">
        <v>7209</v>
      </c>
      <c r="D53" s="97" t="s">
        <v>142</v>
      </c>
      <c r="E53" s="98">
        <v>25</v>
      </c>
      <c r="F53" s="86">
        <f>_xlfn.IFNA(ROUND(_xlfn.XLOOKUP(Протокол2[[#This Row],[Фак. номер]],'Резултати тест'!$A$9:$A$39,'Резултати тест'!$F$9:$F$39)*1.25,0),"")</f>
        <v>18</v>
      </c>
      <c r="G53" s="87">
        <f>IF(Протокол2[[#This Row],[Точки от изпит]]="","",Протокол2[[#This Row],[Текущ контрол]]+Протокол2[[#This Row],[Точки от изпит]])</f>
        <v>43</v>
      </c>
      <c r="H53" s="88" t="str" cm="1">
        <f t="array" ref="H53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Среден</v>
      </c>
      <c r="I53" s="89" cm="1">
        <f t="array" ref="I53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3</v>
      </c>
    </row>
    <row r="54" spans="1:13" x14ac:dyDescent="0.25">
      <c r="A54" s="96">
        <v>11</v>
      </c>
      <c r="B54" s="97">
        <v>130460</v>
      </c>
      <c r="C54" s="98">
        <v>7210</v>
      </c>
      <c r="D54" s="97" t="s">
        <v>191</v>
      </c>
      <c r="E54" s="98">
        <v>39</v>
      </c>
      <c r="F54" s="86">
        <f>_xlfn.IFNA(ROUND(_xlfn.XLOOKUP(Протокол2[[#This Row],[Фак. номер]],'Резултати тест'!$A$9:$A$39,'Резултати тест'!$F$9:$F$39)*1.25,0),"")</f>
        <v>46</v>
      </c>
      <c r="G54" s="87">
        <f>IF(Протокол2[[#This Row],[Точки от изпит]]="","",Протокол2[[#This Row],[Текущ контрол]]+Протокол2[[#This Row],[Точки от изпит]])</f>
        <v>85</v>
      </c>
      <c r="H54" s="88" t="str" cm="1">
        <f t="array" ref="H54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Мн. добър</v>
      </c>
      <c r="I54" s="89" cm="1">
        <f t="array" ref="I54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5</v>
      </c>
      <c r="K54" t="s">
        <v>275</v>
      </c>
    </row>
    <row r="55" spans="1:13" x14ac:dyDescent="0.25">
      <c r="A55" s="96">
        <v>12</v>
      </c>
      <c r="B55" s="97">
        <v>130461</v>
      </c>
      <c r="C55" s="98">
        <v>7211</v>
      </c>
      <c r="D55" s="97" t="s">
        <v>52</v>
      </c>
      <c r="E55" s="98">
        <v>14</v>
      </c>
      <c r="F55" s="86">
        <f>_xlfn.IFNA(ROUND(_xlfn.XLOOKUP(Протокол2[[#This Row],[Фак. номер]],'Резултати тест'!$A$9:$A$39,'Резултати тест'!$F$9:$F$39)*1.25,0),"")</f>
        <v>24</v>
      </c>
      <c r="G55" s="87">
        <f>IF(Протокол2[[#This Row],[Точки от изпит]]="","",Протокол2[[#This Row],[Текущ контрол]]+Протокол2[[#This Row],[Точки от изпит]])</f>
        <v>38</v>
      </c>
      <c r="H55" s="88" t="str" cm="1">
        <f t="array" ref="H55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Слаб</v>
      </c>
      <c r="I55" s="89" cm="1">
        <f t="array" ref="I55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2</v>
      </c>
      <c r="K55" s="112" t="s">
        <v>215</v>
      </c>
      <c r="L55" s="112"/>
      <c r="M55" s="79" cm="1">
        <f t="array" ref="M55:M62">TRANSPOSE(_xlfn.XLOOKUP(1,(Протокол2[Крайна оценка с думи] = "Слаб")*(Протокол2[Крайна оценка с точки] &gt; 40),Протокол2[[Фак. номер]:[Крайна оценка с цифри]],"Nqma",,-1))</f>
        <v>130458</v>
      </c>
    </row>
    <row r="56" spans="1:13" x14ac:dyDescent="0.25">
      <c r="A56" s="96">
        <v>13</v>
      </c>
      <c r="B56" s="97">
        <v>130462</v>
      </c>
      <c r="C56" s="98">
        <v>7212</v>
      </c>
      <c r="D56" s="97" t="s">
        <v>87</v>
      </c>
      <c r="E56" s="98">
        <v>20</v>
      </c>
      <c r="F56" s="86" t="str">
        <f>_xlfn.IFNA(ROUND(_xlfn.XLOOKUP(Протокол2[[#This Row],[Фак. номер]],'Резултати тест'!$A$9:$A$39,'Резултати тест'!$F$9:$F$39)*1.25,0),"")</f>
        <v/>
      </c>
      <c r="G56" s="87" t="str">
        <f>IF(Протокол2[[#This Row],[Точки от изпит]]="","",Протокол2[[#This Row],[Текущ контрол]]+Протокол2[[#This Row],[Точки от изпит]])</f>
        <v/>
      </c>
      <c r="H56" s="88" t="str" cm="1">
        <f t="array" ref="H56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/>
      </c>
      <c r="I56" s="89" t="str" cm="1">
        <f t="array" ref="I56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Неявил се</v>
      </c>
      <c r="K56" s="112" t="s">
        <v>216</v>
      </c>
      <c r="L56" s="112"/>
      <c r="M56" s="79">
        <v>7208</v>
      </c>
    </row>
    <row r="57" spans="1:13" x14ac:dyDescent="0.25">
      <c r="A57" s="96">
        <v>14</v>
      </c>
      <c r="B57" s="97">
        <v>130463</v>
      </c>
      <c r="C57" s="98">
        <v>7213</v>
      </c>
      <c r="D57" s="97" t="s">
        <v>72</v>
      </c>
      <c r="E57" s="98">
        <v>11</v>
      </c>
      <c r="F57" s="86" t="str">
        <f>_xlfn.IFNA(ROUND(_xlfn.XLOOKUP(Протокол2[[#This Row],[Фак. номер]],'Резултати тест'!$A$9:$A$39,'Резултати тест'!$F$9:$F$39)*1.25,0),"")</f>
        <v/>
      </c>
      <c r="G57" s="87" t="str">
        <f>IF(Протокол2[[#This Row],[Точки от изпит]]="","",Протокол2[[#This Row],[Текущ контрол]]+Протокол2[[#This Row],[Точки от изпит]])</f>
        <v/>
      </c>
      <c r="H57" s="88" t="str" cm="1">
        <f t="array" ref="H57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/>
      </c>
      <c r="I57" s="89" t="str" cm="1">
        <f t="array" ref="I57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Неявил се</v>
      </c>
      <c r="K57" s="112" t="s">
        <v>217</v>
      </c>
      <c r="L57" s="112"/>
      <c r="M57" s="79" t="str">
        <v>Григор Янков Долапчиев</v>
      </c>
    </row>
    <row r="58" spans="1:13" x14ac:dyDescent="0.25">
      <c r="A58" s="96">
        <v>15</v>
      </c>
      <c r="B58" s="97">
        <v>130464</v>
      </c>
      <c r="C58" s="98">
        <v>7214</v>
      </c>
      <c r="D58" s="97" t="s">
        <v>192</v>
      </c>
      <c r="E58" s="98">
        <v>29</v>
      </c>
      <c r="F58" s="86">
        <f>_xlfn.IFNA(ROUND(_xlfn.XLOOKUP(Протокол2[[#This Row],[Фак. номер]],'Резултати тест'!$A$9:$A$39,'Резултати тест'!$F$9:$F$39)*1.25,0),"")</f>
        <v>41</v>
      </c>
      <c r="G58" s="87">
        <f>IF(Протокол2[[#This Row],[Точки от изпит]]="","",Протокол2[[#This Row],[Текущ контрол]]+Протокол2[[#This Row],[Точки от изпит]])</f>
        <v>70</v>
      </c>
      <c r="H58" s="88" t="str" cm="1">
        <f t="array" ref="H58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Добър</v>
      </c>
      <c r="I58" s="89" cm="1">
        <f t="array" ref="I58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4</v>
      </c>
      <c r="K58" s="112" t="s">
        <v>218</v>
      </c>
      <c r="L58" s="112"/>
      <c r="M58" s="79">
        <v>33</v>
      </c>
    </row>
    <row r="59" spans="1:13" x14ac:dyDescent="0.25">
      <c r="A59" s="96">
        <v>16</v>
      </c>
      <c r="B59" s="97">
        <v>130465</v>
      </c>
      <c r="C59" s="98">
        <v>7215</v>
      </c>
      <c r="D59" s="97" t="s">
        <v>193</v>
      </c>
      <c r="E59" s="98">
        <v>50</v>
      </c>
      <c r="F59" s="86">
        <f>_xlfn.IFNA(ROUND(_xlfn.XLOOKUP(Протокол2[[#This Row],[Фак. номер]],'Резултати тест'!$A$9:$A$39,'Резултати тест'!$F$9:$F$39)*1.25,0),"")</f>
        <v>29</v>
      </c>
      <c r="G59" s="87">
        <f>IF(Протокол2[[#This Row],[Точки от изпит]]="","",Протокол2[[#This Row],[Текущ контрол]]+Протокол2[[#This Row],[Точки от изпит]])</f>
        <v>79</v>
      </c>
      <c r="H59" s="88" t="str" cm="1">
        <f t="array" ref="H59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Мн. добър</v>
      </c>
      <c r="I59" s="89" cm="1">
        <f t="array" ref="I59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5</v>
      </c>
      <c r="K59" s="112" t="s">
        <v>219</v>
      </c>
      <c r="L59" s="112"/>
      <c r="M59" s="79">
        <v>9</v>
      </c>
    </row>
    <row r="60" spans="1:13" x14ac:dyDescent="0.25">
      <c r="A60" s="96">
        <v>17</v>
      </c>
      <c r="B60" s="97">
        <v>130466</v>
      </c>
      <c r="C60" s="98">
        <v>7216</v>
      </c>
      <c r="D60" s="97" t="s">
        <v>38</v>
      </c>
      <c r="E60" s="98">
        <v>30</v>
      </c>
      <c r="F60" s="86">
        <f>_xlfn.IFNA(ROUND(_xlfn.XLOOKUP(Протокол2[[#This Row],[Фак. номер]],'Резултати тест'!$A$9:$A$39,'Резултати тест'!$F$9:$F$39)*1.25,0),"")</f>
        <v>13</v>
      </c>
      <c r="G60" s="87">
        <f>IF(Протокол2[[#This Row],[Точки от изпит]]="","",Протокол2[[#This Row],[Текущ контрол]]+Протокол2[[#This Row],[Точки от изпит]])</f>
        <v>43</v>
      </c>
      <c r="H60" s="88" t="str" cm="1">
        <f t="array" ref="H60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Среден</v>
      </c>
      <c r="I60" s="89" cm="1">
        <f t="array" ref="I60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3</v>
      </c>
      <c r="K60" s="112" t="s">
        <v>220</v>
      </c>
      <c r="L60" s="50" t="s">
        <v>222</v>
      </c>
      <c r="M60" s="79">
        <v>42</v>
      </c>
    </row>
    <row r="61" spans="1:13" x14ac:dyDescent="0.25">
      <c r="A61" s="96">
        <v>18</v>
      </c>
      <c r="B61" s="97">
        <v>130467</v>
      </c>
      <c r="C61" s="98">
        <v>7217</v>
      </c>
      <c r="D61" s="97" t="s">
        <v>194</v>
      </c>
      <c r="E61" s="98">
        <v>18</v>
      </c>
      <c r="F61" s="86">
        <f>_xlfn.IFNA(ROUND(_xlfn.XLOOKUP(Протокол2[[#This Row],[Фак. номер]],'Резултати тест'!$A$9:$A$39,'Резултати тест'!$F$9:$F$39)*1.25,0),"")</f>
        <v>33</v>
      </c>
      <c r="G61" s="87">
        <f>IF(Протокол2[[#This Row],[Точки от изпит]]="","",Протокол2[[#This Row],[Текущ контрол]]+Протокол2[[#This Row],[Точки от изпит]])</f>
        <v>51</v>
      </c>
      <c r="H61" s="88" t="str" cm="1">
        <f t="array" ref="H61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Среден</v>
      </c>
      <c r="I61" s="89" cm="1">
        <f t="array" ref="I61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3</v>
      </c>
      <c r="K61" s="112"/>
      <c r="L61" s="112" t="s">
        <v>223</v>
      </c>
      <c r="M61" s="79" t="str">
        <v>Слаб</v>
      </c>
    </row>
    <row r="62" spans="1:13" x14ac:dyDescent="0.25">
      <c r="A62" s="96">
        <v>19</v>
      </c>
      <c r="B62" s="97">
        <v>130468</v>
      </c>
      <c r="C62" s="98">
        <v>7218</v>
      </c>
      <c r="D62" s="97" t="s">
        <v>195</v>
      </c>
      <c r="E62" s="98">
        <v>36</v>
      </c>
      <c r="F62" s="86">
        <f>_xlfn.IFNA(ROUND(_xlfn.XLOOKUP(Протокол2[[#This Row],[Фак. номер]],'Резултати тест'!$A$9:$A$39,'Резултати тест'!$F$9:$F$39)*1.25,0),"")</f>
        <v>36</v>
      </c>
      <c r="G62" s="87">
        <f>IF(Протокол2[[#This Row],[Точки от изпит]]="","",Протокол2[[#This Row],[Текущ контрол]]+Протокол2[[#This Row],[Точки от изпит]])</f>
        <v>72</v>
      </c>
      <c r="H62" s="88" t="str" cm="1">
        <f t="array" ref="H62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Мн. добър</v>
      </c>
      <c r="I62" s="89" cm="1">
        <f t="array" ref="I62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5</v>
      </c>
      <c r="K62" s="112"/>
      <c r="L62" s="112"/>
      <c r="M62" s="79">
        <v>2</v>
      </c>
    </row>
    <row r="63" spans="1:13" x14ac:dyDescent="0.25">
      <c r="A63" s="96">
        <v>20</v>
      </c>
      <c r="B63" s="97">
        <v>130469</v>
      </c>
      <c r="C63" s="98">
        <v>7219</v>
      </c>
      <c r="D63" s="97" t="s">
        <v>196</v>
      </c>
      <c r="E63" s="98">
        <v>49</v>
      </c>
      <c r="F63" s="86">
        <f>_xlfn.IFNA(ROUND(_xlfn.XLOOKUP(Протокол2[[#This Row],[Фак. номер]],'Резултати тест'!$A$9:$A$39,'Резултати тест'!$F$9:$F$39)*1.25,0),"")</f>
        <v>24</v>
      </c>
      <c r="G63" s="87">
        <f>IF(Протокол2[[#This Row],[Точки от изпит]]="","",Протокол2[[#This Row],[Текущ контрол]]+Протокол2[[#This Row],[Точки от изпит]])</f>
        <v>73</v>
      </c>
      <c r="H63" s="88" t="str" cm="1">
        <f t="array" ref="H63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Мн. добър</v>
      </c>
      <c r="I63" s="89" cm="1">
        <f t="array" ref="I63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5</v>
      </c>
    </row>
    <row r="64" spans="1:13" x14ac:dyDescent="0.25">
      <c r="A64" s="96">
        <v>21</v>
      </c>
      <c r="B64" s="97">
        <v>130470</v>
      </c>
      <c r="C64" s="98">
        <v>7220</v>
      </c>
      <c r="D64" s="97" t="s">
        <v>197</v>
      </c>
      <c r="E64" s="98">
        <v>30</v>
      </c>
      <c r="F64" s="86">
        <f>_xlfn.IFNA(ROUND(_xlfn.XLOOKUP(Протокол2[[#This Row],[Фак. номер]],'Резултати тест'!$A$9:$A$39,'Резултати тест'!$F$9:$F$39)*1.25,0),"")</f>
        <v>46</v>
      </c>
      <c r="G64" s="87">
        <f>IF(Протокол2[[#This Row],[Точки от изпит]]="","",Протокол2[[#This Row],[Текущ контрол]]+Протокол2[[#This Row],[Точки от изпит]])</f>
        <v>76</v>
      </c>
      <c r="H64" s="88" t="str" cm="1">
        <f t="array" ref="H64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Мн. добър</v>
      </c>
      <c r="I64" s="89" cm="1">
        <f t="array" ref="I64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5</v>
      </c>
    </row>
    <row r="65" spans="1:9" x14ac:dyDescent="0.25">
      <c r="A65" s="96">
        <v>22</v>
      </c>
      <c r="B65" s="97">
        <v>130471</v>
      </c>
      <c r="C65" s="98">
        <v>7221</v>
      </c>
      <c r="D65" s="97" t="s">
        <v>101</v>
      </c>
      <c r="E65" s="98">
        <v>50</v>
      </c>
      <c r="F65" s="86">
        <f>_xlfn.IFNA(ROUND(_xlfn.XLOOKUP(Протокол2[[#This Row],[Фак. номер]],'Резултати тест'!$A$9:$A$39,'Резултати тест'!$F$9:$F$39)*1.25,0),"")</f>
        <v>40</v>
      </c>
      <c r="G65" s="87">
        <f>IF(Протокол2[[#This Row],[Точки от изпит]]="","",Протокол2[[#This Row],[Текущ контрол]]+Протокол2[[#This Row],[Точки от изпит]])</f>
        <v>90</v>
      </c>
      <c r="H65" s="88" t="str" cm="1">
        <f t="array" ref="H65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Отличен</v>
      </c>
      <c r="I65" s="89" cm="1">
        <f t="array" ref="I65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6</v>
      </c>
    </row>
    <row r="66" spans="1:9" x14ac:dyDescent="0.25">
      <c r="A66" s="96">
        <v>23</v>
      </c>
      <c r="B66" s="9">
        <v>130472</v>
      </c>
      <c r="C66" s="29">
        <v>7222</v>
      </c>
      <c r="D66" s="9" t="s">
        <v>146</v>
      </c>
      <c r="E66" s="29">
        <v>36</v>
      </c>
      <c r="F66" s="86">
        <f>_xlfn.IFNA(ROUND(_xlfn.XLOOKUP(Протокол2[[#This Row],[Фак. номер]],'Резултати тест'!$A$9:$A$39,'Резултати тест'!$F$9:$F$39)*1.25,0),"")</f>
        <v>41</v>
      </c>
      <c r="G66" s="87">
        <f>IF(Протокол2[[#This Row],[Точки от изпит]]="","",Протокол2[[#This Row],[Текущ контрол]]+Протокол2[[#This Row],[Точки от изпит]])</f>
        <v>77</v>
      </c>
      <c r="H66" s="88" t="str" cm="1">
        <f t="array" ref="H66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Мн. добър</v>
      </c>
      <c r="I66" s="89" cm="1">
        <f t="array" ref="I66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5</v>
      </c>
    </row>
    <row r="67" spans="1:9" x14ac:dyDescent="0.25">
      <c r="A67" s="96">
        <v>24</v>
      </c>
      <c r="B67" s="9">
        <v>130473</v>
      </c>
      <c r="C67" s="29">
        <v>7223</v>
      </c>
      <c r="D67" s="9" t="s">
        <v>198</v>
      </c>
      <c r="E67" s="29">
        <v>31</v>
      </c>
      <c r="F67" s="86">
        <f>_xlfn.IFNA(ROUND(_xlfn.XLOOKUP(Протокол2[[#This Row],[Фак. номер]],'Резултати тест'!$A$9:$A$39,'Резултати тест'!$F$9:$F$39)*1.25,0),"")</f>
        <v>44</v>
      </c>
      <c r="G67" s="87">
        <f>IF(Протокол2[[#This Row],[Точки от изпит]]="","",Протокол2[[#This Row],[Текущ контрол]]+Протокол2[[#This Row],[Точки от изпит]])</f>
        <v>75</v>
      </c>
      <c r="H67" s="88" t="str" cm="1">
        <f t="array" ref="H67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Мн. добър</v>
      </c>
      <c r="I67" s="89" cm="1">
        <f t="array" ref="I67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5</v>
      </c>
    </row>
    <row r="68" spans="1:9" x14ac:dyDescent="0.25">
      <c r="A68" s="96">
        <v>25</v>
      </c>
      <c r="B68" s="9">
        <v>130474</v>
      </c>
      <c r="C68" s="29">
        <v>7224</v>
      </c>
      <c r="D68" s="9" t="s">
        <v>199</v>
      </c>
      <c r="E68" s="29">
        <v>28</v>
      </c>
      <c r="F68" s="86">
        <f>_xlfn.IFNA(ROUND(_xlfn.XLOOKUP(Протокол2[[#This Row],[Фак. номер]],'Резултати тест'!$A$9:$A$39,'Резултати тест'!$F$9:$F$39)*1.25,0),"")</f>
        <v>15</v>
      </c>
      <c r="G68" s="87">
        <f>IF(Протокол2[[#This Row],[Точки от изпит]]="","",Протокол2[[#This Row],[Текущ контрол]]+Протокол2[[#This Row],[Точки от изпит]])</f>
        <v>43</v>
      </c>
      <c r="H68" s="88" t="str" cm="1">
        <f t="array" ref="H68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Среден</v>
      </c>
      <c r="I68" s="89" cm="1">
        <f t="array" ref="I68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3</v>
      </c>
    </row>
    <row r="69" spans="1:9" x14ac:dyDescent="0.25">
      <c r="A69" s="96">
        <v>26</v>
      </c>
      <c r="B69" s="9">
        <v>130475</v>
      </c>
      <c r="C69" s="29">
        <v>7225</v>
      </c>
      <c r="D69" s="9" t="s">
        <v>200</v>
      </c>
      <c r="E69" s="29">
        <v>31</v>
      </c>
      <c r="F69" s="86">
        <f>_xlfn.IFNA(ROUND(_xlfn.XLOOKUP(Протокол2[[#This Row],[Фак. номер]],'Резултати тест'!$A$9:$A$39,'Резултати тест'!$F$9:$F$39)*1.25,0),"")</f>
        <v>21</v>
      </c>
      <c r="G69" s="87">
        <f>IF(Протокол2[[#This Row],[Точки от изпит]]="","",Протокол2[[#This Row],[Текущ контрол]]+Протокол2[[#This Row],[Точки от изпит]])</f>
        <v>52</v>
      </c>
      <c r="H69" s="88" t="str" cm="1">
        <f t="array" ref="H69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Среден</v>
      </c>
      <c r="I69" s="89" cm="1">
        <f t="array" ref="I69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3</v>
      </c>
    </row>
    <row r="70" spans="1:9" x14ac:dyDescent="0.25">
      <c r="A70" s="96">
        <v>27</v>
      </c>
      <c r="B70" s="9">
        <v>130476</v>
      </c>
      <c r="C70" s="29">
        <v>7226</v>
      </c>
      <c r="D70" s="9" t="s">
        <v>201</v>
      </c>
      <c r="E70" s="29">
        <v>35</v>
      </c>
      <c r="F70" s="86">
        <f>_xlfn.IFNA(ROUND(_xlfn.XLOOKUP(Протокол2[[#This Row],[Фак. номер]],'Резултати тест'!$A$9:$A$39,'Резултати тест'!$F$9:$F$39)*1.25,0),"")</f>
        <v>23</v>
      </c>
      <c r="G70" s="87">
        <f>IF(Протокол2[[#This Row],[Точки от изпит]]="","",Протокол2[[#This Row],[Текущ контрол]]+Протокол2[[#This Row],[Точки от изпит]])</f>
        <v>58</v>
      </c>
      <c r="H70" s="88" t="str" cm="1">
        <f t="array" ref="H70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Добър</v>
      </c>
      <c r="I70" s="89" cm="1">
        <f t="array" ref="I70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4</v>
      </c>
    </row>
    <row r="71" spans="1:9" x14ac:dyDescent="0.25">
      <c r="A71" s="96">
        <v>28</v>
      </c>
      <c r="B71" s="9">
        <v>130477</v>
      </c>
      <c r="C71" s="29">
        <v>7227</v>
      </c>
      <c r="D71" s="9" t="s">
        <v>81</v>
      </c>
      <c r="E71" s="29">
        <v>25</v>
      </c>
      <c r="F71" s="86">
        <f>_xlfn.IFNA(ROUND(_xlfn.XLOOKUP(Протокол2[[#This Row],[Фак. номер]],'Резултати тест'!$A$9:$A$39,'Резултати тест'!$F$9:$F$39)*1.25,0),"")</f>
        <v>20</v>
      </c>
      <c r="G71" s="87">
        <f>IF(Протокол2[[#This Row],[Точки от изпит]]="","",Протокол2[[#This Row],[Текущ контрол]]+Протокол2[[#This Row],[Точки от изпит]])</f>
        <v>45</v>
      </c>
      <c r="H71" s="88" t="str" cm="1">
        <f t="array" ref="H71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Среден</v>
      </c>
      <c r="I71" s="89" cm="1">
        <f t="array" ref="I71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3</v>
      </c>
    </row>
    <row r="72" spans="1:9" x14ac:dyDescent="0.25">
      <c r="A72" s="96">
        <v>29</v>
      </c>
      <c r="B72" s="9">
        <v>130478</v>
      </c>
      <c r="C72" s="29">
        <v>7228</v>
      </c>
      <c r="D72" s="9" t="s">
        <v>202</v>
      </c>
      <c r="E72" s="29">
        <v>14</v>
      </c>
      <c r="F72" s="86" t="str">
        <f>_xlfn.IFNA(ROUND(_xlfn.XLOOKUP(Протокол2[[#This Row],[Фак. номер]],'Резултати тест'!$A$9:$A$39,'Резултати тест'!$F$9:$F$39)*1.25,0),"")</f>
        <v/>
      </c>
      <c r="G72" s="87" t="str">
        <f>IF(Протокол2[[#This Row],[Точки от изпит]]="","",Протокол2[[#This Row],[Текущ контрол]]+Протокол2[[#This Row],[Точки от изпит]])</f>
        <v/>
      </c>
      <c r="H72" s="88" t="str" cm="1">
        <f t="array" ref="H72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/>
      </c>
      <c r="I72" s="89" t="str" cm="1">
        <f t="array" ref="I72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Неявил се</v>
      </c>
    </row>
    <row r="73" spans="1:9" x14ac:dyDescent="0.25">
      <c r="A73" s="96">
        <v>30</v>
      </c>
      <c r="B73" s="9">
        <v>130479</v>
      </c>
      <c r="C73" s="29">
        <v>7229</v>
      </c>
      <c r="D73" s="9" t="s">
        <v>203</v>
      </c>
      <c r="E73" s="29">
        <v>50</v>
      </c>
      <c r="F73" s="86">
        <f>_xlfn.IFNA(ROUND(_xlfn.XLOOKUP(Протокол2[[#This Row],[Фак. номер]],'Резултати тест'!$A$9:$A$39,'Резултати тест'!$F$9:$F$39)*1.25,0),"")</f>
        <v>21</v>
      </c>
      <c r="G73" s="87">
        <f>IF(Протокол2[[#This Row],[Точки от изпит]]="","",Протокол2[[#This Row],[Текущ контрол]]+Протокол2[[#This Row],[Точки от изпит]])</f>
        <v>71</v>
      </c>
      <c r="H73" s="88" t="str" cm="1">
        <f t="array" ref="H73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Мн. добър</v>
      </c>
      <c r="I73" s="89" cm="1">
        <f t="array" ref="I73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5</v>
      </c>
    </row>
    <row r="74" spans="1:9" x14ac:dyDescent="0.25">
      <c r="A74" s="96">
        <v>31</v>
      </c>
      <c r="B74" s="9">
        <v>130480</v>
      </c>
      <c r="C74" s="29">
        <v>7230</v>
      </c>
      <c r="D74" s="9" t="s">
        <v>77</v>
      </c>
      <c r="E74" s="29">
        <v>36</v>
      </c>
      <c r="F74" s="86">
        <f>_xlfn.IFNA(ROUND(_xlfn.XLOOKUP(Протокол2[[#This Row],[Фак. номер]],'Резултати тест'!$A$9:$A$39,'Резултати тест'!$F$9:$F$39)*1.25,0),"")</f>
        <v>24</v>
      </c>
      <c r="G74" s="87">
        <f>IF(Протокол2[[#This Row],[Точки от изпит]]="","",Протокол2[[#This Row],[Текущ контрол]]+Протокол2[[#This Row],[Точки от изпит]])</f>
        <v>60</v>
      </c>
      <c r="H74" s="88" t="str" cm="1">
        <f t="array" ref="H74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Добър</v>
      </c>
      <c r="I74" s="89" cm="1">
        <f t="array" ref="I74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4</v>
      </c>
    </row>
    <row r="75" spans="1:9" x14ac:dyDescent="0.25">
      <c r="A75" s="96">
        <v>32</v>
      </c>
      <c r="B75" s="9">
        <v>130481</v>
      </c>
      <c r="C75" s="29">
        <v>7231</v>
      </c>
      <c r="D75" s="9" t="s">
        <v>204</v>
      </c>
      <c r="E75" s="29">
        <v>19</v>
      </c>
      <c r="F75" s="86">
        <f>_xlfn.IFNA(ROUND(_xlfn.XLOOKUP(Протокол2[[#This Row],[Фак. номер]],'Резултати тест'!$A$9:$A$39,'Резултати тест'!$F$9:$F$39)*1.25,0),"")</f>
        <v>21</v>
      </c>
      <c r="G75" s="87">
        <f>IF(Протокол2[[#This Row],[Точки от изпит]]="","",Протокол2[[#This Row],[Текущ контрол]]+Протокол2[[#This Row],[Точки от изпит]])</f>
        <v>40</v>
      </c>
      <c r="H75" s="88" t="str" cm="1">
        <f t="array" ref="H75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Слаб</v>
      </c>
      <c r="I75" s="89" cm="1">
        <f t="array" ref="I75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2</v>
      </c>
    </row>
    <row r="76" spans="1:9" x14ac:dyDescent="0.25">
      <c r="A76" s="96">
        <v>33</v>
      </c>
      <c r="B76" s="9">
        <v>130482</v>
      </c>
      <c r="C76" s="29">
        <v>7232</v>
      </c>
      <c r="D76" s="9" t="s">
        <v>205</v>
      </c>
      <c r="E76" s="29">
        <v>18</v>
      </c>
      <c r="F76" s="86" t="str">
        <f>_xlfn.IFNA(ROUND(_xlfn.XLOOKUP(Протокол2[[#This Row],[Фак. номер]],'Резултати тест'!$A$9:$A$39,'Резултати тест'!$F$9:$F$39)*1.25,0),"")</f>
        <v/>
      </c>
      <c r="G76" s="87" t="str">
        <f>IF(Протокол2[[#This Row],[Точки от изпит]]="","",Протокол2[[#This Row],[Текущ контрол]]+Протокол2[[#This Row],[Точки от изпит]])</f>
        <v/>
      </c>
      <c r="H76" s="88" t="str" cm="1">
        <f t="array" ref="H76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/>
      </c>
      <c r="I76" s="89" t="str" cm="1">
        <f t="array" ref="I76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Неявил се</v>
      </c>
    </row>
    <row r="77" spans="1:9" x14ac:dyDescent="0.25">
      <c r="A77" s="96">
        <v>34</v>
      </c>
      <c r="B77" s="9">
        <v>130483</v>
      </c>
      <c r="C77" s="29">
        <v>7233</v>
      </c>
      <c r="D77" s="9" t="s">
        <v>206</v>
      </c>
      <c r="E77" s="29">
        <v>39</v>
      </c>
      <c r="F77" s="86">
        <f>_xlfn.IFNA(ROUND(_xlfn.XLOOKUP(Протокол2[[#This Row],[Фак. номер]],'Резултати тест'!$A$9:$A$39,'Резултати тест'!$F$9:$F$39)*1.25,0),"")</f>
        <v>49</v>
      </c>
      <c r="G77" s="87">
        <f>IF(Протокол2[[#This Row],[Точки от изпит]]="","",Протокол2[[#This Row],[Текущ контрол]]+Протокол2[[#This Row],[Точки от изпит]])</f>
        <v>88</v>
      </c>
      <c r="H77" s="88" t="str" cm="1">
        <f t="array" ref="H77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Отличен</v>
      </c>
      <c r="I77" s="89" cm="1">
        <f t="array" ref="I77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6</v>
      </c>
    </row>
    <row r="78" spans="1:9" x14ac:dyDescent="0.25">
      <c r="A78" s="99">
        <v>35</v>
      </c>
      <c r="B78" s="100">
        <v>130484</v>
      </c>
      <c r="C78" s="74">
        <v>7234</v>
      </c>
      <c r="D78" s="100" t="s">
        <v>207</v>
      </c>
      <c r="E78" s="74">
        <v>44</v>
      </c>
      <c r="F78" s="90">
        <f>_xlfn.IFNA(ROUND(_xlfn.XLOOKUP(Протокол2[[#This Row],[Фак. номер]],'Резултати тест'!$A$9:$A$39,'Резултати тест'!$F$9:$F$39)*1.25,0),"")</f>
        <v>21</v>
      </c>
      <c r="G78" s="91">
        <f>IF(Протокол2[[#This Row],[Точки от изпит]]="","",Протокол2[[#This Row],[Текущ контрол]]+Протокол2[[#This Row],[Точки от изпит]])</f>
        <v>65</v>
      </c>
      <c r="H78" s="92" t="str" cm="1">
        <f t="array" ref="H78">_xlfn.IFS(Протокол2[[#This Row],[Точки от изпит]]="","",Протокол2[[#This Row],[Точки от изпит]]&lt;10,"Слаб",Протокол2[[#This Row],[Точки от изпит]]&gt;=10,_xlfn.XLOOKUP(Протокол2[[#This Row],[Крайна оценка с точки]],Оценки_подредени[От],Оценки_подредени[Оценка с думи],,-1))</f>
        <v>Добър</v>
      </c>
      <c r="I78" s="93" cm="1">
        <f t="array" ref="I78">_xlfn.IFS(Протокол2[[#This Row],[Точки от изпит]]="","Неявил се",Протокол2[[#This Row],[Точки от изпит]]&lt;10,2,Протокол2[[#This Row],[Точки от изпит]]&gt;=10,_xlfn.XLOOKUP(Протокол2[[#This Row],[Крайна оценка с точки]],Оценки_неподредени[От],Оценки_неподредени[Оценка с цифри],,-1))</f>
        <v>4</v>
      </c>
    </row>
  </sheetData>
  <mergeCells count="31">
    <mergeCell ref="K58:L58"/>
    <mergeCell ref="K59:L59"/>
    <mergeCell ref="K60:K62"/>
    <mergeCell ref="L61:L62"/>
    <mergeCell ref="K48:K50"/>
    <mergeCell ref="L49:L50"/>
    <mergeCell ref="K55:L55"/>
    <mergeCell ref="K56:L56"/>
    <mergeCell ref="K57:L57"/>
    <mergeCell ref="K43:L43"/>
    <mergeCell ref="K44:L44"/>
    <mergeCell ref="K45:L45"/>
    <mergeCell ref="K46:L46"/>
    <mergeCell ref="K47:L47"/>
    <mergeCell ref="K7:L7"/>
    <mergeCell ref="K6:L6"/>
    <mergeCell ref="K26:L26"/>
    <mergeCell ref="K27:L27"/>
    <mergeCell ref="K28:L28"/>
    <mergeCell ref="K8:L8"/>
    <mergeCell ref="K9:L9"/>
    <mergeCell ref="K10:L10"/>
    <mergeCell ref="K11:K13"/>
    <mergeCell ref="L12:L13"/>
    <mergeCell ref="K35:L35"/>
    <mergeCell ref="K36:L36"/>
    <mergeCell ref="K37:K39"/>
    <mergeCell ref="L38:L39"/>
    <mergeCell ref="K32:L32"/>
    <mergeCell ref="K33:L33"/>
    <mergeCell ref="K34:L34"/>
  </mergeCells>
  <pageMargins left="0.7" right="0.7" top="0.75" bottom="0.75" header="0.3" footer="0.3"/>
  <pageSetup paperSize="9" orientation="portrait" r:id="rId1"/>
  <drawing r:id="rId2"/>
  <legacyDrawing r:id="rId3"/>
  <tableParts count="4"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C18E-4442-4A25-8CAE-FF510BB17F48}">
  <dimension ref="A1:H39"/>
  <sheetViews>
    <sheetView topLeftCell="A8" workbookViewId="0">
      <selection activeCell="G17" sqref="G17"/>
    </sheetView>
  </sheetViews>
  <sheetFormatPr defaultRowHeight="15" x14ac:dyDescent="0.25"/>
  <cols>
    <col min="1" max="1" width="9.5703125" customWidth="1"/>
    <col min="2" max="2" width="5.85546875" bestFit="1" customWidth="1"/>
    <col min="3" max="3" width="7" bestFit="1" customWidth="1"/>
    <col min="4" max="4" width="5.85546875" bestFit="1" customWidth="1"/>
    <col min="5" max="5" width="37.7109375" bestFit="1" customWidth="1"/>
    <col min="6" max="6" width="7" bestFit="1" customWidth="1"/>
    <col min="7" max="7" width="8.140625" bestFit="1" customWidth="1"/>
    <col min="8" max="8" width="15.28515625" bestFit="1" customWidth="1"/>
  </cols>
  <sheetData>
    <row r="1" spans="1:8" x14ac:dyDescent="0.25">
      <c r="A1" s="114" t="s">
        <v>245</v>
      </c>
      <c r="B1" s="115"/>
      <c r="C1" s="115"/>
      <c r="D1" s="115"/>
      <c r="E1" s="115"/>
      <c r="F1" s="115"/>
      <c r="G1" s="115"/>
      <c r="H1" s="115"/>
    </row>
    <row r="2" spans="1:8" x14ac:dyDescent="0.25">
      <c r="A2" s="114" t="s">
        <v>246</v>
      </c>
      <c r="B2" s="115"/>
      <c r="C2" s="115"/>
      <c r="D2" s="115"/>
      <c r="E2" s="115"/>
      <c r="F2" s="115"/>
      <c r="G2" s="115"/>
      <c r="H2" s="115"/>
    </row>
    <row r="4" spans="1:8" x14ac:dyDescent="0.25">
      <c r="A4" s="115" t="s">
        <v>247</v>
      </c>
      <c r="B4" s="115"/>
      <c r="C4" s="115"/>
      <c r="D4" s="115"/>
    </row>
    <row r="5" spans="1:8" x14ac:dyDescent="0.25">
      <c r="A5" s="115" t="s">
        <v>248</v>
      </c>
      <c r="B5" s="115"/>
      <c r="C5" s="115"/>
      <c r="D5" s="115"/>
    </row>
    <row r="6" spans="1:8" x14ac:dyDescent="0.25">
      <c r="A6" s="115" t="s">
        <v>249</v>
      </c>
      <c r="B6" s="115"/>
      <c r="C6" s="115"/>
      <c r="D6" s="115"/>
    </row>
    <row r="8" spans="1:8" x14ac:dyDescent="0.25">
      <c r="A8" t="s">
        <v>250</v>
      </c>
      <c r="B8" t="s">
        <v>251</v>
      </c>
      <c r="C8" t="s">
        <v>227</v>
      </c>
      <c r="D8" t="s">
        <v>252</v>
      </c>
      <c r="E8" t="s">
        <v>217</v>
      </c>
      <c r="F8" t="s">
        <v>253</v>
      </c>
      <c r="G8" t="s">
        <v>254</v>
      </c>
      <c r="H8" t="s">
        <v>255</v>
      </c>
    </row>
    <row r="9" spans="1:8" x14ac:dyDescent="0.25">
      <c r="A9">
        <v>130450</v>
      </c>
      <c r="B9">
        <v>7200</v>
      </c>
      <c r="C9">
        <v>6</v>
      </c>
      <c r="D9">
        <v>1</v>
      </c>
      <c r="E9" t="s">
        <v>183</v>
      </c>
      <c r="F9">
        <v>37</v>
      </c>
      <c r="G9">
        <v>3</v>
      </c>
      <c r="H9">
        <v>0</v>
      </c>
    </row>
    <row r="10" spans="1:8" x14ac:dyDescent="0.25">
      <c r="A10">
        <v>130451</v>
      </c>
      <c r="B10">
        <v>7201</v>
      </c>
      <c r="C10">
        <v>6</v>
      </c>
      <c r="D10">
        <v>1</v>
      </c>
      <c r="E10" t="s">
        <v>184</v>
      </c>
      <c r="F10">
        <v>29</v>
      </c>
      <c r="G10">
        <v>11</v>
      </c>
      <c r="H10">
        <v>0</v>
      </c>
    </row>
    <row r="11" spans="1:8" x14ac:dyDescent="0.25">
      <c r="A11">
        <v>130452</v>
      </c>
      <c r="B11">
        <v>7202</v>
      </c>
      <c r="C11">
        <v>6</v>
      </c>
      <c r="D11">
        <v>1</v>
      </c>
      <c r="E11" t="s">
        <v>185</v>
      </c>
      <c r="F11">
        <v>29</v>
      </c>
      <c r="G11">
        <v>11</v>
      </c>
      <c r="H11">
        <v>0</v>
      </c>
    </row>
    <row r="12" spans="1:8" x14ac:dyDescent="0.25">
      <c r="A12">
        <v>130453</v>
      </c>
      <c r="B12">
        <v>7203</v>
      </c>
      <c r="C12">
        <v>6</v>
      </c>
      <c r="D12">
        <v>1</v>
      </c>
      <c r="E12" t="s">
        <v>186</v>
      </c>
      <c r="F12">
        <v>31</v>
      </c>
      <c r="G12">
        <v>9</v>
      </c>
      <c r="H12">
        <v>0</v>
      </c>
    </row>
    <row r="13" spans="1:8" x14ac:dyDescent="0.25">
      <c r="A13">
        <v>130454</v>
      </c>
      <c r="B13">
        <v>7204</v>
      </c>
      <c r="C13">
        <v>6</v>
      </c>
      <c r="D13">
        <v>1</v>
      </c>
      <c r="E13" t="s">
        <v>138</v>
      </c>
      <c r="F13">
        <v>38</v>
      </c>
      <c r="G13">
        <v>2</v>
      </c>
      <c r="H13">
        <v>0</v>
      </c>
    </row>
    <row r="14" spans="1:8" x14ac:dyDescent="0.25">
      <c r="A14">
        <v>130455</v>
      </c>
      <c r="B14">
        <v>7205</v>
      </c>
      <c r="C14">
        <v>6</v>
      </c>
      <c r="D14">
        <v>1</v>
      </c>
      <c r="E14" t="s">
        <v>187</v>
      </c>
      <c r="F14">
        <v>27</v>
      </c>
      <c r="G14">
        <v>13</v>
      </c>
      <c r="H14">
        <v>0</v>
      </c>
    </row>
    <row r="15" spans="1:8" x14ac:dyDescent="0.25">
      <c r="A15">
        <v>130456</v>
      </c>
      <c r="B15">
        <v>7206</v>
      </c>
      <c r="C15">
        <v>6</v>
      </c>
      <c r="D15">
        <v>1</v>
      </c>
      <c r="E15" t="s">
        <v>188</v>
      </c>
      <c r="F15">
        <v>35</v>
      </c>
      <c r="G15">
        <v>5</v>
      </c>
      <c r="H15">
        <v>0</v>
      </c>
    </row>
    <row r="16" spans="1:8" x14ac:dyDescent="0.25">
      <c r="A16">
        <v>130457</v>
      </c>
      <c r="B16">
        <v>7207</v>
      </c>
      <c r="C16">
        <v>6</v>
      </c>
      <c r="D16">
        <v>1</v>
      </c>
      <c r="E16" t="s">
        <v>189</v>
      </c>
      <c r="F16">
        <v>6</v>
      </c>
      <c r="G16">
        <v>34</v>
      </c>
      <c r="H16">
        <v>0</v>
      </c>
    </row>
    <row r="17" spans="1:8" x14ac:dyDescent="0.25">
      <c r="A17">
        <v>130458</v>
      </c>
      <c r="B17">
        <v>7208</v>
      </c>
      <c r="C17">
        <v>6</v>
      </c>
      <c r="D17">
        <v>1</v>
      </c>
      <c r="E17" t="s">
        <v>190</v>
      </c>
      <c r="F17">
        <v>7</v>
      </c>
      <c r="G17">
        <v>33</v>
      </c>
      <c r="H17">
        <v>0</v>
      </c>
    </row>
    <row r="18" spans="1:8" x14ac:dyDescent="0.25">
      <c r="A18">
        <v>130459</v>
      </c>
      <c r="B18">
        <v>7209</v>
      </c>
      <c r="C18">
        <v>6</v>
      </c>
      <c r="D18">
        <v>1</v>
      </c>
      <c r="E18" t="s">
        <v>142</v>
      </c>
      <c r="F18">
        <v>14</v>
      </c>
      <c r="G18">
        <v>26</v>
      </c>
      <c r="H18">
        <v>0</v>
      </c>
    </row>
    <row r="19" spans="1:8" x14ac:dyDescent="0.25">
      <c r="A19">
        <v>130460</v>
      </c>
      <c r="B19">
        <v>7210</v>
      </c>
      <c r="C19">
        <v>6</v>
      </c>
      <c r="D19">
        <v>1</v>
      </c>
      <c r="E19" t="s">
        <v>191</v>
      </c>
      <c r="F19">
        <v>37</v>
      </c>
      <c r="G19">
        <v>3</v>
      </c>
      <c r="H19">
        <v>0</v>
      </c>
    </row>
    <row r="20" spans="1:8" x14ac:dyDescent="0.25">
      <c r="A20">
        <v>130461</v>
      </c>
      <c r="B20">
        <v>7211</v>
      </c>
      <c r="C20">
        <v>6</v>
      </c>
      <c r="D20">
        <v>1</v>
      </c>
      <c r="E20" t="s">
        <v>52</v>
      </c>
      <c r="F20">
        <v>19</v>
      </c>
      <c r="G20">
        <v>21</v>
      </c>
      <c r="H20">
        <v>0</v>
      </c>
    </row>
    <row r="21" spans="1:8" x14ac:dyDescent="0.25">
      <c r="A21">
        <v>130464</v>
      </c>
      <c r="B21">
        <v>7214</v>
      </c>
      <c r="C21">
        <v>6</v>
      </c>
      <c r="D21">
        <v>1</v>
      </c>
      <c r="E21" t="s">
        <v>192</v>
      </c>
      <c r="F21">
        <v>33</v>
      </c>
      <c r="G21">
        <v>7</v>
      </c>
      <c r="H21">
        <v>0</v>
      </c>
    </row>
    <row r="22" spans="1:8" x14ac:dyDescent="0.25">
      <c r="A22">
        <v>130465</v>
      </c>
      <c r="B22">
        <v>7215</v>
      </c>
      <c r="C22">
        <v>6</v>
      </c>
      <c r="D22">
        <v>1</v>
      </c>
      <c r="E22" t="s">
        <v>193</v>
      </c>
      <c r="F22">
        <v>23</v>
      </c>
      <c r="G22">
        <v>17</v>
      </c>
      <c r="H22">
        <v>0</v>
      </c>
    </row>
    <row r="23" spans="1:8" x14ac:dyDescent="0.25">
      <c r="A23">
        <v>130466</v>
      </c>
      <c r="B23">
        <v>7216</v>
      </c>
      <c r="C23">
        <v>6</v>
      </c>
      <c r="D23">
        <v>1</v>
      </c>
      <c r="E23" t="s">
        <v>38</v>
      </c>
      <c r="F23">
        <v>10</v>
      </c>
      <c r="G23">
        <v>30</v>
      </c>
      <c r="H23">
        <v>0</v>
      </c>
    </row>
    <row r="24" spans="1:8" x14ac:dyDescent="0.25">
      <c r="A24">
        <v>130467</v>
      </c>
      <c r="B24">
        <v>7217</v>
      </c>
      <c r="C24">
        <v>6</v>
      </c>
      <c r="D24">
        <v>1</v>
      </c>
      <c r="E24" t="s">
        <v>194</v>
      </c>
      <c r="F24">
        <v>26</v>
      </c>
      <c r="G24">
        <v>14</v>
      </c>
      <c r="H24">
        <v>0</v>
      </c>
    </row>
    <row r="25" spans="1:8" x14ac:dyDescent="0.25">
      <c r="A25">
        <v>130468</v>
      </c>
      <c r="B25">
        <v>7218</v>
      </c>
      <c r="C25">
        <v>6</v>
      </c>
      <c r="D25">
        <v>1</v>
      </c>
      <c r="E25" t="s">
        <v>195</v>
      </c>
      <c r="F25">
        <v>29</v>
      </c>
      <c r="G25">
        <v>11</v>
      </c>
      <c r="H25">
        <v>0</v>
      </c>
    </row>
    <row r="26" spans="1:8" x14ac:dyDescent="0.25">
      <c r="A26">
        <v>130469</v>
      </c>
      <c r="B26">
        <v>7219</v>
      </c>
      <c r="C26">
        <v>6</v>
      </c>
      <c r="D26">
        <v>1</v>
      </c>
      <c r="E26" t="s">
        <v>196</v>
      </c>
      <c r="F26">
        <v>19</v>
      </c>
      <c r="G26">
        <v>21</v>
      </c>
      <c r="H26">
        <v>0</v>
      </c>
    </row>
    <row r="27" spans="1:8" x14ac:dyDescent="0.25">
      <c r="A27">
        <v>130470</v>
      </c>
      <c r="B27">
        <v>7220</v>
      </c>
      <c r="C27">
        <v>6</v>
      </c>
      <c r="D27">
        <v>1</v>
      </c>
      <c r="E27" t="s">
        <v>197</v>
      </c>
      <c r="F27">
        <v>37</v>
      </c>
      <c r="G27">
        <v>3</v>
      </c>
      <c r="H27">
        <v>0</v>
      </c>
    </row>
    <row r="28" spans="1:8" x14ac:dyDescent="0.25">
      <c r="A28">
        <v>130471</v>
      </c>
      <c r="B28">
        <v>7221</v>
      </c>
      <c r="C28">
        <v>6</v>
      </c>
      <c r="D28">
        <v>1</v>
      </c>
      <c r="E28" t="s">
        <v>101</v>
      </c>
      <c r="F28">
        <v>32</v>
      </c>
      <c r="G28">
        <v>8</v>
      </c>
      <c r="H28">
        <v>0</v>
      </c>
    </row>
    <row r="29" spans="1:8" x14ac:dyDescent="0.25">
      <c r="A29">
        <v>130472</v>
      </c>
      <c r="B29">
        <v>7222</v>
      </c>
      <c r="C29">
        <v>6</v>
      </c>
      <c r="D29">
        <v>1</v>
      </c>
      <c r="E29" t="s">
        <v>146</v>
      </c>
      <c r="F29">
        <v>33</v>
      </c>
      <c r="G29">
        <v>7</v>
      </c>
      <c r="H29">
        <v>0</v>
      </c>
    </row>
    <row r="30" spans="1:8" x14ac:dyDescent="0.25">
      <c r="A30">
        <v>130473</v>
      </c>
      <c r="B30">
        <v>7223</v>
      </c>
      <c r="C30">
        <v>6</v>
      </c>
      <c r="D30">
        <v>1</v>
      </c>
      <c r="E30" t="s">
        <v>198</v>
      </c>
      <c r="F30">
        <v>35</v>
      </c>
      <c r="G30">
        <v>5</v>
      </c>
      <c r="H30">
        <v>0</v>
      </c>
    </row>
    <row r="31" spans="1:8" x14ac:dyDescent="0.25">
      <c r="A31">
        <v>130474</v>
      </c>
      <c r="B31">
        <v>7224</v>
      </c>
      <c r="C31">
        <v>6</v>
      </c>
      <c r="D31">
        <v>1</v>
      </c>
      <c r="E31" t="s">
        <v>199</v>
      </c>
      <c r="F31">
        <v>12</v>
      </c>
      <c r="G31">
        <v>28</v>
      </c>
      <c r="H31">
        <v>0</v>
      </c>
    </row>
    <row r="32" spans="1:8" x14ac:dyDescent="0.25">
      <c r="A32">
        <v>130475</v>
      </c>
      <c r="B32">
        <v>7225</v>
      </c>
      <c r="C32">
        <v>6</v>
      </c>
      <c r="D32">
        <v>1</v>
      </c>
      <c r="E32" t="s">
        <v>200</v>
      </c>
      <c r="F32">
        <v>17</v>
      </c>
      <c r="G32">
        <v>23</v>
      </c>
      <c r="H32">
        <v>0</v>
      </c>
    </row>
    <row r="33" spans="1:8" x14ac:dyDescent="0.25">
      <c r="A33">
        <v>130476</v>
      </c>
      <c r="B33">
        <v>7226</v>
      </c>
      <c r="C33">
        <v>6</v>
      </c>
      <c r="D33">
        <v>1</v>
      </c>
      <c r="E33" t="s">
        <v>201</v>
      </c>
      <c r="F33">
        <v>18</v>
      </c>
      <c r="G33">
        <v>22</v>
      </c>
      <c r="H33">
        <v>0</v>
      </c>
    </row>
    <row r="34" spans="1:8" x14ac:dyDescent="0.25">
      <c r="A34">
        <v>130477</v>
      </c>
      <c r="B34">
        <v>7227</v>
      </c>
      <c r="C34">
        <v>6</v>
      </c>
      <c r="D34">
        <v>1</v>
      </c>
      <c r="E34" t="s">
        <v>81</v>
      </c>
      <c r="F34">
        <v>16</v>
      </c>
      <c r="G34">
        <v>24</v>
      </c>
      <c r="H34">
        <v>0</v>
      </c>
    </row>
    <row r="35" spans="1:8" x14ac:dyDescent="0.25">
      <c r="A35">
        <v>130479</v>
      </c>
      <c r="B35">
        <v>7229</v>
      </c>
      <c r="C35">
        <v>6</v>
      </c>
      <c r="D35">
        <v>1</v>
      </c>
      <c r="E35" t="s">
        <v>203</v>
      </c>
      <c r="F35">
        <v>17</v>
      </c>
      <c r="G35">
        <v>23</v>
      </c>
      <c r="H35">
        <v>0</v>
      </c>
    </row>
    <row r="36" spans="1:8" x14ac:dyDescent="0.25">
      <c r="A36">
        <v>130480</v>
      </c>
      <c r="B36">
        <v>7230</v>
      </c>
      <c r="C36">
        <v>6</v>
      </c>
      <c r="D36">
        <v>1</v>
      </c>
      <c r="E36" t="s">
        <v>77</v>
      </c>
      <c r="F36">
        <v>19</v>
      </c>
      <c r="G36">
        <v>21</v>
      </c>
      <c r="H36">
        <v>0</v>
      </c>
    </row>
    <row r="37" spans="1:8" x14ac:dyDescent="0.25">
      <c r="A37">
        <v>130481</v>
      </c>
      <c r="B37">
        <v>7231</v>
      </c>
      <c r="C37">
        <v>6</v>
      </c>
      <c r="D37">
        <v>1</v>
      </c>
      <c r="E37" t="s">
        <v>204</v>
      </c>
      <c r="F37">
        <v>17</v>
      </c>
      <c r="G37">
        <v>23</v>
      </c>
      <c r="H37">
        <v>0</v>
      </c>
    </row>
    <row r="38" spans="1:8" x14ac:dyDescent="0.25">
      <c r="A38">
        <v>130483</v>
      </c>
      <c r="B38">
        <v>7233</v>
      </c>
      <c r="C38">
        <v>6</v>
      </c>
      <c r="D38">
        <v>1</v>
      </c>
      <c r="E38" t="s">
        <v>206</v>
      </c>
      <c r="F38">
        <v>39</v>
      </c>
      <c r="G38">
        <v>1</v>
      </c>
      <c r="H38">
        <v>0</v>
      </c>
    </row>
    <row r="39" spans="1:8" x14ac:dyDescent="0.25">
      <c r="A39">
        <v>130484</v>
      </c>
      <c r="B39">
        <v>7234</v>
      </c>
      <c r="C39">
        <v>6</v>
      </c>
      <c r="D39">
        <v>1</v>
      </c>
      <c r="E39" t="s">
        <v>207</v>
      </c>
      <c r="F39">
        <v>17</v>
      </c>
      <c r="G39">
        <v>23</v>
      </c>
      <c r="H39">
        <v>0</v>
      </c>
    </row>
  </sheetData>
  <mergeCells count="5">
    <mergeCell ref="A1:H1"/>
    <mergeCell ref="A2:H2"/>
    <mergeCell ref="A4:D4"/>
    <mergeCell ref="A5:D5"/>
    <mergeCell ref="A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8C2A-C36F-4349-A04E-52DCD05CF8A5}">
  <dimension ref="A1:AE73"/>
  <sheetViews>
    <sheetView topLeftCell="A59" zoomScale="70" zoomScaleNormal="70" workbookViewId="0">
      <selection activeCell="T22" sqref="T22"/>
    </sheetView>
  </sheetViews>
  <sheetFormatPr defaultRowHeight="15" x14ac:dyDescent="0.25"/>
  <cols>
    <col min="1" max="1" width="30.85546875" customWidth="1"/>
    <col min="2" max="2" width="17.7109375" customWidth="1"/>
    <col min="3" max="3" width="36.42578125" customWidth="1"/>
    <col min="4" max="4" width="22.140625" style="14" customWidth="1"/>
    <col min="5" max="5" width="25" style="14" customWidth="1"/>
    <col min="6" max="6" width="17.5703125" customWidth="1"/>
    <col min="7" max="7" width="13.28515625" customWidth="1"/>
    <col min="8" max="10" width="15" customWidth="1"/>
    <col min="11" max="11" width="11.28515625" customWidth="1"/>
    <col min="13" max="14" width="11.28515625" customWidth="1"/>
    <col min="15" max="15" width="25" customWidth="1"/>
    <col min="16" max="16" width="21.85546875" customWidth="1"/>
    <col min="17" max="17" width="13.28515625" bestFit="1" customWidth="1"/>
    <col min="18" max="18" width="12.85546875" customWidth="1"/>
    <col min="19" max="19" width="20.85546875" customWidth="1"/>
    <col min="20" max="20" width="23.85546875" customWidth="1"/>
    <col min="21" max="21" width="11.140625" bestFit="1" customWidth="1"/>
  </cols>
  <sheetData>
    <row r="1" spans="1:31" ht="30" customHeight="1" x14ac:dyDescent="0.25">
      <c r="C1" s="116" t="str">
        <f ca="1">"Студентска мобилност с цел обучение към "&amp;TEXT(TODAY(),"dd.mm.yyyy г.")</f>
        <v>Студентска мобилност с цел обучение към 28.10.2024 г.</v>
      </c>
      <c r="D1" s="116"/>
      <c r="E1" s="116"/>
      <c r="F1" s="116"/>
      <c r="G1" s="116"/>
      <c r="H1" s="116"/>
      <c r="I1" s="116"/>
      <c r="J1" s="116"/>
      <c r="K1" s="116"/>
      <c r="M1" s="44"/>
      <c r="N1" s="44"/>
      <c r="O1" s="120" t="s">
        <v>174</v>
      </c>
      <c r="P1" s="120"/>
      <c r="S1" s="120" t="s">
        <v>178</v>
      </c>
      <c r="T1" s="120"/>
    </row>
    <row r="3" spans="1:31" ht="30.75" thickBot="1" x14ac:dyDescent="0.3">
      <c r="A3" s="1" t="s">
        <v>0</v>
      </c>
      <c r="B3" s="2" t="s">
        <v>177</v>
      </c>
      <c r="C3" s="3" t="s">
        <v>1</v>
      </c>
      <c r="D3" s="3" t="s">
        <v>2</v>
      </c>
      <c r="E3" s="3" t="s">
        <v>3</v>
      </c>
      <c r="F3" s="105" t="s">
        <v>4</v>
      </c>
      <c r="G3" s="3" t="s">
        <v>5</v>
      </c>
      <c r="H3" s="3" t="s">
        <v>6</v>
      </c>
      <c r="I3" s="105" t="s">
        <v>269</v>
      </c>
      <c r="J3" s="105" t="s">
        <v>268</v>
      </c>
      <c r="K3" s="105" t="s">
        <v>7</v>
      </c>
      <c r="M3" s="101"/>
      <c r="N3" s="101"/>
      <c r="S3" s="24" t="s">
        <v>175</v>
      </c>
      <c r="T3" s="24" t="s">
        <v>39</v>
      </c>
    </row>
    <row r="4" spans="1:31" ht="30.75" customHeight="1" thickTop="1" x14ac:dyDescent="0.25">
      <c r="A4" s="4" t="s">
        <v>8</v>
      </c>
      <c r="B4" s="5" t="s">
        <v>9</v>
      </c>
      <c r="C4" s="6" t="s">
        <v>10</v>
      </c>
      <c r="D4" s="7" t="s">
        <v>11</v>
      </c>
      <c r="E4" s="7" t="s">
        <v>12</v>
      </c>
      <c r="F4" s="38">
        <f>_xlfn.XLOOKUP(B4,'Грант по страни'!$A$2:$A$34,'Грант по страни'!$B$2:$B$34,"")</f>
        <v>606</v>
      </c>
      <c r="G4" s="8">
        <v>45550</v>
      </c>
      <c r="H4" s="8">
        <v>45691</v>
      </c>
      <c r="I4" s="80">
        <f>H4-G4+1</f>
        <v>142</v>
      </c>
      <c r="J4" s="106">
        <f>YEARFRAC(G4,H4,1)*12</f>
        <v>4.6356164383561644</v>
      </c>
      <c r="K4" s="107">
        <f>F4*J4</f>
        <v>2809.1835616438357</v>
      </c>
      <c r="M4" s="102"/>
      <c r="N4" s="102"/>
      <c r="O4" s="119" t="s">
        <v>171</v>
      </c>
      <c r="P4" s="119"/>
      <c r="S4" s="119" t="str">
        <f>"Изплатен Еразъм+ грант за обучение "&amp;IF(OR(LEFT($T$3,1)="В",LEFT($T$3,1)="Ф"),"във ","в ")&amp;$T$3&amp;" на студенти по факултети"</f>
        <v>Изплатен Еразъм+ грант за обучение в Испания на студенти по факултети</v>
      </c>
      <c r="T4" s="119"/>
    </row>
    <row r="5" spans="1:31" ht="30" x14ac:dyDescent="0.25">
      <c r="A5" s="10" t="s">
        <v>13</v>
      </c>
      <c r="B5" s="11" t="s">
        <v>14</v>
      </c>
      <c r="C5" s="12" t="s">
        <v>15</v>
      </c>
      <c r="D5" s="13" t="s">
        <v>16</v>
      </c>
      <c r="E5" s="13" t="s">
        <v>17</v>
      </c>
      <c r="F5" s="38">
        <f>_xlfn.XLOOKUP(B5,'Грант по страни'!$A$2:$A$34,'Грант по страни'!$B$2:$B$34,"")</f>
        <v>674</v>
      </c>
      <c r="G5" s="8">
        <v>45555</v>
      </c>
      <c r="H5" s="8">
        <v>45688</v>
      </c>
      <c r="I5" s="80">
        <f t="shared" ref="I5:I68" si="0">H5-G5+1</f>
        <v>134</v>
      </c>
      <c r="J5" s="106">
        <f t="shared" ref="J5:J68" si="1">YEARFRAC(G5,H5,1)*12</f>
        <v>4.3726027397260276</v>
      </c>
      <c r="K5" s="107">
        <f t="shared" ref="K5:K68" si="2">F5*J5</f>
        <v>2947.1342465753428</v>
      </c>
      <c r="M5" s="102"/>
      <c r="N5" s="102"/>
      <c r="O5" s="16" t="s">
        <v>2</v>
      </c>
      <c r="P5" s="16" t="s">
        <v>179</v>
      </c>
      <c r="S5" s="16" t="s">
        <v>2</v>
      </c>
      <c r="T5" s="16" t="s">
        <v>179</v>
      </c>
    </row>
    <row r="6" spans="1:31" ht="30" x14ac:dyDescent="0.25">
      <c r="A6" s="10" t="s">
        <v>18</v>
      </c>
      <c r="B6" s="11" t="s">
        <v>19</v>
      </c>
      <c r="C6" s="12" t="s">
        <v>20</v>
      </c>
      <c r="D6" s="13" t="s">
        <v>21</v>
      </c>
      <c r="E6" s="13" t="s">
        <v>22</v>
      </c>
      <c r="F6" s="38">
        <f>_xlfn.XLOOKUP(B6,'Грант по страни'!$A$2:$A$34,'Грант по страни'!$B$2:$B$34,"")</f>
        <v>674</v>
      </c>
      <c r="G6" s="8">
        <v>45555</v>
      </c>
      <c r="H6" s="8">
        <v>45676</v>
      </c>
      <c r="I6" s="80">
        <f t="shared" si="0"/>
        <v>122</v>
      </c>
      <c r="J6" s="106">
        <f t="shared" si="1"/>
        <v>3.978082191780822</v>
      </c>
      <c r="K6" s="107">
        <f t="shared" si="2"/>
        <v>2681.2273972602738</v>
      </c>
      <c r="M6" s="102"/>
      <c r="N6" s="102"/>
      <c r="O6" s="12" t="s">
        <v>21</v>
      </c>
      <c r="P6" s="104">
        <f>SUMIF($D$4:$D$73,O6,$K$4:$K$73)</f>
        <v>49044.427397260275</v>
      </c>
      <c r="Q6" s="22"/>
      <c r="S6" s="12" t="s">
        <v>21</v>
      </c>
      <c r="T6" s="103">
        <f>SUMIFS($K$4:$K$73,$D$4:$D$73,S6,$B$4:$B$73,$T$3)</f>
        <v>0</v>
      </c>
      <c r="U6" s="22"/>
    </row>
    <row r="7" spans="1:31" ht="45" x14ac:dyDescent="0.25">
      <c r="A7" s="10" t="s">
        <v>23</v>
      </c>
      <c r="B7" s="11" t="s">
        <v>24</v>
      </c>
      <c r="C7" s="12" t="s">
        <v>25</v>
      </c>
      <c r="D7" s="13" t="s">
        <v>16</v>
      </c>
      <c r="E7" s="13" t="s">
        <v>26</v>
      </c>
      <c r="F7" s="38">
        <f>_xlfn.XLOOKUP(B7,'Грант по страни'!$A$2:$A$34,'Грант по страни'!$B$2:$B$34,"")</f>
        <v>674</v>
      </c>
      <c r="G7" s="8">
        <v>45565</v>
      </c>
      <c r="H7" s="8">
        <v>45692</v>
      </c>
      <c r="I7" s="80">
        <f t="shared" si="0"/>
        <v>128</v>
      </c>
      <c r="J7" s="106">
        <f t="shared" si="1"/>
        <v>4.1753424657534248</v>
      </c>
      <c r="K7" s="107">
        <f t="shared" si="2"/>
        <v>2814.1808219178083</v>
      </c>
      <c r="M7" s="102"/>
      <c r="N7" s="102"/>
      <c r="O7" s="12" t="s">
        <v>16</v>
      </c>
      <c r="P7" s="104">
        <f t="shared" ref="P7:P9" si="3">SUMIF($D$4:$D$73,O7,$K$4:$K$73)</f>
        <v>63555.090410958896</v>
      </c>
      <c r="Q7" s="22"/>
      <c r="S7" s="12" t="s">
        <v>16</v>
      </c>
      <c r="T7" s="103">
        <f t="shared" ref="T7:T9" si="4">SUMIFS($K$4:$K$73,$D$4:$D$73,S7,$B$4:$B$73,$T$3)</f>
        <v>2747.7041095890413</v>
      </c>
      <c r="U7" s="22"/>
    </row>
    <row r="8" spans="1:31" ht="30" x14ac:dyDescent="0.25">
      <c r="A8" s="10" t="s">
        <v>27</v>
      </c>
      <c r="B8" s="11" t="s">
        <v>9</v>
      </c>
      <c r="C8" s="12" t="s">
        <v>28</v>
      </c>
      <c r="D8" s="13" t="s">
        <v>11</v>
      </c>
      <c r="E8" s="13" t="s">
        <v>12</v>
      </c>
      <c r="F8" s="38">
        <f>_xlfn.XLOOKUP(B8,'Грант по страни'!$A$2:$A$34,'Грант по страни'!$B$2:$B$34,"")</f>
        <v>606</v>
      </c>
      <c r="G8" s="8">
        <v>45551</v>
      </c>
      <c r="H8" s="8">
        <v>45698</v>
      </c>
      <c r="I8" s="80">
        <f t="shared" si="0"/>
        <v>148</v>
      </c>
      <c r="J8" s="106">
        <f t="shared" si="1"/>
        <v>4.8328767123287673</v>
      </c>
      <c r="K8" s="107">
        <f t="shared" si="2"/>
        <v>2928.7232876712328</v>
      </c>
      <c r="M8" s="102"/>
      <c r="N8" s="102"/>
      <c r="O8" s="12" t="s">
        <v>11</v>
      </c>
      <c r="P8" s="104">
        <f t="shared" si="3"/>
        <v>46653.304109589044</v>
      </c>
      <c r="Q8" s="22"/>
      <c r="S8" s="12" t="s">
        <v>11</v>
      </c>
      <c r="T8" s="103">
        <f t="shared" si="4"/>
        <v>6270.9698630136982</v>
      </c>
      <c r="U8" s="22"/>
    </row>
    <row r="9" spans="1:31" ht="30" x14ac:dyDescent="0.25">
      <c r="A9" s="10" t="s">
        <v>29</v>
      </c>
      <c r="B9" s="11" t="s">
        <v>24</v>
      </c>
      <c r="C9" s="12" t="s">
        <v>25</v>
      </c>
      <c r="D9" s="13" t="s">
        <v>30</v>
      </c>
      <c r="E9" s="13" t="s">
        <v>31</v>
      </c>
      <c r="F9" s="38">
        <f>_xlfn.XLOOKUP(B9,'Грант по страни'!$A$2:$A$34,'Грант по страни'!$B$2:$B$34,"")</f>
        <v>674</v>
      </c>
      <c r="G9" s="8">
        <v>45551</v>
      </c>
      <c r="H9" s="8">
        <v>45686</v>
      </c>
      <c r="I9" s="80">
        <f t="shared" si="0"/>
        <v>136</v>
      </c>
      <c r="J9" s="106">
        <f t="shared" si="1"/>
        <v>4.4383561643835616</v>
      </c>
      <c r="K9" s="107">
        <f t="shared" si="2"/>
        <v>2991.4520547945203</v>
      </c>
      <c r="M9" s="102"/>
      <c r="N9" s="102"/>
      <c r="O9" s="12" t="s">
        <v>30</v>
      </c>
      <c r="P9" s="104">
        <f t="shared" si="3"/>
        <v>43460.383561643837</v>
      </c>
      <c r="Q9" s="22"/>
      <c r="S9" s="12" t="s">
        <v>30</v>
      </c>
      <c r="T9" s="103">
        <f t="shared" si="4"/>
        <v>3035.7698630136993</v>
      </c>
      <c r="U9" s="22"/>
      <c r="AE9" t="s">
        <v>208</v>
      </c>
    </row>
    <row r="10" spans="1:31" ht="30" x14ac:dyDescent="0.25">
      <c r="A10" s="10" t="s">
        <v>32</v>
      </c>
      <c r="B10" s="11" t="s">
        <v>33</v>
      </c>
      <c r="C10" s="12" t="s">
        <v>34</v>
      </c>
      <c r="D10" s="13" t="s">
        <v>21</v>
      </c>
      <c r="E10" s="13" t="s">
        <v>35</v>
      </c>
      <c r="F10" s="38">
        <f>_xlfn.XLOOKUP(B10,'Грант по страни'!$A$2:$A$34,'Грант по страни'!$B$2:$B$34,"")</f>
        <v>674</v>
      </c>
      <c r="G10" s="8">
        <v>45555</v>
      </c>
      <c r="H10" s="8">
        <v>45695</v>
      </c>
      <c r="I10" s="80">
        <f t="shared" si="0"/>
        <v>141</v>
      </c>
      <c r="J10" s="106">
        <f t="shared" si="1"/>
        <v>4.602739726027397</v>
      </c>
      <c r="K10" s="107">
        <f t="shared" si="2"/>
        <v>3102.2465753424658</v>
      </c>
      <c r="M10" s="102"/>
      <c r="N10" s="102"/>
      <c r="O10" s="15" t="s">
        <v>170</v>
      </c>
      <c r="P10" s="104">
        <f>SUM(P6:P9)</f>
        <v>202713.20547945204</v>
      </c>
      <c r="Q10" s="26"/>
      <c r="S10" s="15" t="s">
        <v>170</v>
      </c>
      <c r="T10" s="103">
        <f>SUM(T6:T9)</f>
        <v>12054.443835616439</v>
      </c>
      <c r="U10" s="23"/>
    </row>
    <row r="11" spans="1:31" ht="45" x14ac:dyDescent="0.25">
      <c r="A11" s="10" t="s">
        <v>36</v>
      </c>
      <c r="B11" s="11" t="s">
        <v>9</v>
      </c>
      <c r="C11" s="12" t="s">
        <v>10</v>
      </c>
      <c r="D11" s="13" t="s">
        <v>11</v>
      </c>
      <c r="E11" s="13" t="s">
        <v>37</v>
      </c>
      <c r="F11" s="38">
        <f>_xlfn.XLOOKUP(B11,'Грант по страни'!$A$2:$A$34,'Грант по страни'!$B$2:$B$34,"")</f>
        <v>606</v>
      </c>
      <c r="G11" s="8">
        <v>45564</v>
      </c>
      <c r="H11" s="8">
        <v>45710</v>
      </c>
      <c r="I11" s="80">
        <f t="shared" si="0"/>
        <v>147</v>
      </c>
      <c r="J11" s="106">
        <f t="shared" si="1"/>
        <v>4.8000000000000007</v>
      </c>
      <c r="K11" s="107">
        <f t="shared" si="2"/>
        <v>2908.8000000000006</v>
      </c>
      <c r="M11" s="102"/>
      <c r="N11" s="102"/>
    </row>
    <row r="12" spans="1:31" ht="46.5" customHeight="1" x14ac:dyDescent="0.25">
      <c r="A12" s="10" t="s">
        <v>38</v>
      </c>
      <c r="B12" s="11" t="s">
        <v>39</v>
      </c>
      <c r="C12" s="12" t="s">
        <v>40</v>
      </c>
      <c r="D12" s="13" t="s">
        <v>16</v>
      </c>
      <c r="E12" s="13" t="s">
        <v>41</v>
      </c>
      <c r="F12" s="38">
        <f>_xlfn.XLOOKUP(B12,'Грант по страни'!$A$2:$A$34,'Грант по страни'!$B$2:$B$34,"")</f>
        <v>674</v>
      </c>
      <c r="G12" s="8">
        <v>45562</v>
      </c>
      <c r="H12" s="8">
        <v>45686</v>
      </c>
      <c r="I12" s="80">
        <f t="shared" si="0"/>
        <v>125</v>
      </c>
      <c r="J12" s="106">
        <f t="shared" si="1"/>
        <v>4.0767123287671234</v>
      </c>
      <c r="K12" s="107">
        <f t="shared" si="2"/>
        <v>2747.7041095890413</v>
      </c>
      <c r="M12" s="102"/>
      <c r="N12" s="102"/>
      <c r="O12" s="119" t="s">
        <v>172</v>
      </c>
      <c r="P12" s="119"/>
      <c r="S12" s="119" t="str">
        <f>"Брой студенти, осъществили мобилност с цел обучение "&amp;IF(OR(LEFT($T$3,1)="В",LEFT($T$3,1)="Ф"),"във ","в ")&amp;$T$3&amp;" по програма Еразъм+ , по факултети"</f>
        <v>Брой студенти, осъществили мобилност с цел обучение в Испания по програма Еразъм+ , по факултети</v>
      </c>
      <c r="T12" s="119"/>
    </row>
    <row r="13" spans="1:31" ht="30" x14ac:dyDescent="0.25">
      <c r="A13" s="10" t="s">
        <v>42</v>
      </c>
      <c r="B13" s="11" t="s">
        <v>43</v>
      </c>
      <c r="C13" s="12" t="s">
        <v>44</v>
      </c>
      <c r="D13" s="13" t="s">
        <v>30</v>
      </c>
      <c r="E13" s="13" t="s">
        <v>45</v>
      </c>
      <c r="F13" s="38">
        <f>_xlfn.XLOOKUP(B13,'Грант по страни'!$A$2:$A$34,'Грант по страни'!$B$2:$B$34,"")</f>
        <v>674</v>
      </c>
      <c r="G13" s="8">
        <v>45553</v>
      </c>
      <c r="H13" s="8">
        <v>45680</v>
      </c>
      <c r="I13" s="80">
        <f t="shared" si="0"/>
        <v>128</v>
      </c>
      <c r="J13" s="106">
        <f t="shared" si="1"/>
        <v>4.1753424657534248</v>
      </c>
      <c r="K13" s="107">
        <f t="shared" si="2"/>
        <v>2814.1808219178083</v>
      </c>
      <c r="M13" s="102"/>
      <c r="N13" s="102"/>
      <c r="O13" s="16" t="s">
        <v>2</v>
      </c>
      <c r="P13" s="16" t="s">
        <v>180</v>
      </c>
      <c r="S13" s="16" t="s">
        <v>2</v>
      </c>
      <c r="T13" s="16" t="s">
        <v>180</v>
      </c>
    </row>
    <row r="14" spans="1:31" ht="30" x14ac:dyDescent="0.25">
      <c r="A14" s="10" t="s">
        <v>46</v>
      </c>
      <c r="B14" s="11" t="s">
        <v>47</v>
      </c>
      <c r="C14" s="12" t="s">
        <v>48</v>
      </c>
      <c r="D14" s="13" t="s">
        <v>21</v>
      </c>
      <c r="E14" s="13" t="s">
        <v>22</v>
      </c>
      <c r="F14" s="38">
        <f>_xlfn.XLOOKUP(B14,'Грант по страни'!$A$2:$A$34,'Грант по страни'!$B$2:$B$34,"")</f>
        <v>674</v>
      </c>
      <c r="G14" s="8">
        <v>45558</v>
      </c>
      <c r="H14" s="8">
        <v>45695</v>
      </c>
      <c r="I14" s="80">
        <f t="shared" si="0"/>
        <v>138</v>
      </c>
      <c r="J14" s="106">
        <f t="shared" si="1"/>
        <v>4.5041095890410965</v>
      </c>
      <c r="K14" s="107">
        <f t="shared" si="2"/>
        <v>3035.7698630136993</v>
      </c>
      <c r="M14" s="102"/>
      <c r="N14" s="102"/>
      <c r="O14" s="12" t="s">
        <v>21</v>
      </c>
      <c r="P14" s="104">
        <f>COUNTIF($D$4:$D$73,O14)</f>
        <v>17</v>
      </c>
      <c r="S14" s="12" t="s">
        <v>21</v>
      </c>
      <c r="T14" s="103">
        <f>COUNTIFS($D$4:$D$73,S14,$B$4:$B$73,$T$3)</f>
        <v>0</v>
      </c>
    </row>
    <row r="15" spans="1:31" ht="30" x14ac:dyDescent="0.25">
      <c r="A15" s="10" t="s">
        <v>49</v>
      </c>
      <c r="B15" s="11" t="s">
        <v>33</v>
      </c>
      <c r="C15" s="12" t="s">
        <v>50</v>
      </c>
      <c r="D15" s="13" t="s">
        <v>11</v>
      </c>
      <c r="E15" s="13" t="s">
        <v>51</v>
      </c>
      <c r="F15" s="38">
        <f>_xlfn.XLOOKUP(B15,'Грант по страни'!$A$2:$A$34,'Грант по страни'!$B$2:$B$34,"")</f>
        <v>674</v>
      </c>
      <c r="G15" s="8">
        <v>45565</v>
      </c>
      <c r="H15" s="8">
        <v>45689</v>
      </c>
      <c r="I15" s="80">
        <f t="shared" si="0"/>
        <v>125</v>
      </c>
      <c r="J15" s="106">
        <f t="shared" si="1"/>
        <v>4.0767123287671234</v>
      </c>
      <c r="K15" s="107">
        <f t="shared" si="2"/>
        <v>2747.7041095890413</v>
      </c>
      <c r="M15" s="102"/>
      <c r="N15" s="102"/>
      <c r="O15" s="12" t="s">
        <v>16</v>
      </c>
      <c r="P15" s="104">
        <f t="shared" ref="P15:P17" si="5">COUNTIF($D$4:$D$73,O15)</f>
        <v>22</v>
      </c>
      <c r="S15" s="12" t="s">
        <v>16</v>
      </c>
      <c r="T15" s="103">
        <f t="shared" ref="T15:T17" si="6">COUNTIFS($D$4:$D$73,S15,$B$4:$B$73,$T$3)</f>
        <v>1</v>
      </c>
    </row>
    <row r="16" spans="1:31" ht="30" x14ac:dyDescent="0.25">
      <c r="A16" s="10" t="s">
        <v>52</v>
      </c>
      <c r="B16" s="11" t="s">
        <v>53</v>
      </c>
      <c r="C16" s="12" t="s">
        <v>54</v>
      </c>
      <c r="D16" s="13" t="s">
        <v>16</v>
      </c>
      <c r="E16" s="13" t="s">
        <v>55</v>
      </c>
      <c r="F16" s="38">
        <f>_xlfn.XLOOKUP(B16,'Грант по страни'!$A$2:$A$34,'Грант по страни'!$B$2:$B$34,"")</f>
        <v>674</v>
      </c>
      <c r="G16" s="8">
        <v>45558</v>
      </c>
      <c r="H16" s="8">
        <v>45699</v>
      </c>
      <c r="I16" s="80">
        <f t="shared" si="0"/>
        <v>142</v>
      </c>
      <c r="J16" s="106">
        <f t="shared" si="1"/>
        <v>4.6356164383561644</v>
      </c>
      <c r="K16" s="107">
        <f t="shared" si="2"/>
        <v>3124.4054794520548</v>
      </c>
      <c r="M16" s="102"/>
      <c r="N16" s="102"/>
      <c r="O16" s="12" t="s">
        <v>11</v>
      </c>
      <c r="P16" s="104">
        <f t="shared" si="5"/>
        <v>16</v>
      </c>
      <c r="S16" s="12" t="s">
        <v>11</v>
      </c>
      <c r="T16" s="103">
        <f t="shared" si="6"/>
        <v>2</v>
      </c>
    </row>
    <row r="17" spans="1:21" ht="30" x14ac:dyDescent="0.25">
      <c r="A17" s="10" t="s">
        <v>56</v>
      </c>
      <c r="B17" s="11" t="s">
        <v>57</v>
      </c>
      <c r="C17" s="12" t="s">
        <v>58</v>
      </c>
      <c r="D17" s="13" t="s">
        <v>30</v>
      </c>
      <c r="E17" s="13" t="s">
        <v>31</v>
      </c>
      <c r="F17" s="38">
        <f>_xlfn.XLOOKUP(B17,'Грант по страни'!$A$2:$A$34,'Грант по страни'!$B$2:$B$34,"")</f>
        <v>606</v>
      </c>
      <c r="G17" s="8">
        <v>45561</v>
      </c>
      <c r="H17" s="8">
        <v>45703</v>
      </c>
      <c r="I17" s="80">
        <f t="shared" si="0"/>
        <v>143</v>
      </c>
      <c r="J17" s="106">
        <f t="shared" si="1"/>
        <v>4.6684931506849319</v>
      </c>
      <c r="K17" s="107">
        <f t="shared" si="2"/>
        <v>2829.1068493150688</v>
      </c>
      <c r="M17" s="102"/>
      <c r="N17" s="102"/>
      <c r="O17" s="12" t="s">
        <v>30</v>
      </c>
      <c r="P17" s="104">
        <f t="shared" si="5"/>
        <v>15</v>
      </c>
      <c r="S17" s="12" t="s">
        <v>30</v>
      </c>
      <c r="T17" s="103">
        <f t="shared" si="6"/>
        <v>1</v>
      </c>
    </row>
    <row r="18" spans="1:21" ht="30" x14ac:dyDescent="0.25">
      <c r="A18" s="10" t="s">
        <v>59</v>
      </c>
      <c r="B18" s="11" t="s">
        <v>60</v>
      </c>
      <c r="C18" s="12" t="s">
        <v>61</v>
      </c>
      <c r="D18" s="13" t="s">
        <v>11</v>
      </c>
      <c r="E18" s="13" t="s">
        <v>62</v>
      </c>
      <c r="F18" s="38">
        <f>_xlfn.XLOOKUP(B18,'Грант по страни'!$A$2:$A$34,'Грант по страни'!$B$2:$B$34,"")</f>
        <v>674</v>
      </c>
      <c r="G18" s="8">
        <v>45555</v>
      </c>
      <c r="H18" s="8">
        <v>45681</v>
      </c>
      <c r="I18" s="80">
        <f t="shared" si="0"/>
        <v>127</v>
      </c>
      <c r="J18" s="106">
        <f t="shared" si="1"/>
        <v>4.1424657534246574</v>
      </c>
      <c r="K18" s="107">
        <f t="shared" si="2"/>
        <v>2792.0219178082189</v>
      </c>
      <c r="M18" s="102"/>
      <c r="N18" s="102"/>
      <c r="O18" s="15" t="s">
        <v>170</v>
      </c>
      <c r="P18" s="104">
        <f>SUM(P14:P17)</f>
        <v>70</v>
      </c>
      <c r="S18" s="15" t="s">
        <v>170</v>
      </c>
      <c r="T18" s="103">
        <f>SUM(T14:T17)</f>
        <v>4</v>
      </c>
    </row>
    <row r="19" spans="1:21" x14ac:dyDescent="0.25">
      <c r="A19" s="10" t="s">
        <v>63</v>
      </c>
      <c r="B19" s="11" t="s">
        <v>43</v>
      </c>
      <c r="C19" s="12" t="s">
        <v>44</v>
      </c>
      <c r="D19" s="13" t="s">
        <v>16</v>
      </c>
      <c r="E19" s="13" t="s">
        <v>64</v>
      </c>
      <c r="F19" s="38">
        <f>_xlfn.XLOOKUP(B19,'Грант по страни'!$A$2:$A$34,'Грант по страни'!$B$2:$B$34,"")</f>
        <v>674</v>
      </c>
      <c r="G19" s="8">
        <v>45562</v>
      </c>
      <c r="H19" s="8">
        <v>45682</v>
      </c>
      <c r="I19" s="80">
        <f t="shared" si="0"/>
        <v>121</v>
      </c>
      <c r="J19" s="106">
        <f t="shared" si="1"/>
        <v>3.9452054794520546</v>
      </c>
      <c r="K19" s="107">
        <f t="shared" si="2"/>
        <v>2659.0684931506848</v>
      </c>
      <c r="M19" s="102"/>
      <c r="N19" s="102"/>
    </row>
    <row r="20" spans="1:21" ht="45" customHeight="1" x14ac:dyDescent="0.25">
      <c r="A20" s="10" t="s">
        <v>65</v>
      </c>
      <c r="B20" s="11" t="s">
        <v>24</v>
      </c>
      <c r="C20" s="12" t="s">
        <v>25</v>
      </c>
      <c r="D20" s="13" t="s">
        <v>21</v>
      </c>
      <c r="E20" s="13" t="s">
        <v>35</v>
      </c>
      <c r="F20" s="38">
        <f>_xlfn.XLOOKUP(B20,'Грант по страни'!$A$2:$A$34,'Грант по страни'!$B$2:$B$34,"")</f>
        <v>674</v>
      </c>
      <c r="G20" s="8">
        <v>45552</v>
      </c>
      <c r="H20" s="8">
        <v>45685</v>
      </c>
      <c r="I20" s="80">
        <f t="shared" si="0"/>
        <v>134</v>
      </c>
      <c r="J20" s="106">
        <f t="shared" si="1"/>
        <v>4.3726027397260276</v>
      </c>
      <c r="K20" s="107">
        <f t="shared" si="2"/>
        <v>2947.1342465753428</v>
      </c>
      <c r="M20" s="102"/>
      <c r="N20" s="102"/>
      <c r="O20" s="119" t="s">
        <v>173</v>
      </c>
      <c r="P20" s="119"/>
      <c r="S20" s="119" t="str">
        <f>"Средна стойност на изплатения Еразъм+ грант за обучение "&amp;IF(OR(LEFT($T$3,1)="В",LEFT($T$3,1)="Ф"),"във ","в ")&amp;$T$3&amp;" на един студент по факултети"</f>
        <v>Средна стойност на изплатения Еразъм+ грант за обучение в Испания на един студент по факултети</v>
      </c>
      <c r="T20" s="119"/>
    </row>
    <row r="21" spans="1:21" ht="30" x14ac:dyDescent="0.25">
      <c r="A21" s="10" t="s">
        <v>66</v>
      </c>
      <c r="B21" s="11" t="s">
        <v>67</v>
      </c>
      <c r="C21" s="12" t="s">
        <v>68</v>
      </c>
      <c r="D21" s="13" t="s">
        <v>30</v>
      </c>
      <c r="E21" s="13" t="s">
        <v>69</v>
      </c>
      <c r="F21" s="38">
        <f>_xlfn.XLOOKUP(B21,'Грант по страни'!$A$2:$A$34,'Грант по страни'!$B$2:$B$34,"")</f>
        <v>786</v>
      </c>
      <c r="G21" s="8">
        <v>45564</v>
      </c>
      <c r="H21" s="8">
        <v>45706</v>
      </c>
      <c r="I21" s="80">
        <f t="shared" si="0"/>
        <v>143</v>
      </c>
      <c r="J21" s="106">
        <f t="shared" si="1"/>
        <v>4.6684931506849319</v>
      </c>
      <c r="K21" s="107">
        <f t="shared" si="2"/>
        <v>3669.4356164383566</v>
      </c>
      <c r="M21" s="102"/>
      <c r="N21" s="102"/>
      <c r="O21" s="16" t="s">
        <v>2</v>
      </c>
      <c r="P21" s="27" t="s">
        <v>181</v>
      </c>
      <c r="S21" s="16" t="s">
        <v>2</v>
      </c>
      <c r="T21" s="27" t="s">
        <v>181</v>
      </c>
    </row>
    <row r="22" spans="1:21" ht="30" x14ac:dyDescent="0.25">
      <c r="A22" s="10" t="s">
        <v>70</v>
      </c>
      <c r="B22" s="11" t="s">
        <v>33</v>
      </c>
      <c r="C22" s="12" t="s">
        <v>34</v>
      </c>
      <c r="D22" s="13" t="s">
        <v>11</v>
      </c>
      <c r="E22" s="13" t="s">
        <v>71</v>
      </c>
      <c r="F22" s="38">
        <f>_xlfn.XLOOKUP(B22,'Грант по страни'!$A$2:$A$34,'Грант по страни'!$B$2:$B$34,"")</f>
        <v>674</v>
      </c>
      <c r="G22" s="8">
        <v>45563</v>
      </c>
      <c r="H22" s="8">
        <v>45689</v>
      </c>
      <c r="I22" s="80">
        <f t="shared" si="0"/>
        <v>127</v>
      </c>
      <c r="J22" s="106">
        <f t="shared" si="1"/>
        <v>4.1424657534246574</v>
      </c>
      <c r="K22" s="107">
        <f t="shared" si="2"/>
        <v>2792.0219178082189</v>
      </c>
      <c r="M22" s="102"/>
      <c r="N22" s="102"/>
      <c r="O22" s="12" t="s">
        <v>21</v>
      </c>
      <c r="P22" s="28">
        <f>IFERROR(AVERAGEIF($D$4:$D$73,O22,$K$4:$K$73),"-")</f>
        <v>2884.9663174858983</v>
      </c>
      <c r="Q22" s="23"/>
      <c r="S22" s="12" t="s">
        <v>21</v>
      </c>
      <c r="T22" s="28">
        <f>IFERROR(AVERAGEIF($D$4:$D$73,O22,$K$4:$K$73),"-")</f>
        <v>2884.9663174858983</v>
      </c>
      <c r="U22" s="23"/>
    </row>
    <row r="23" spans="1:21" ht="30" x14ac:dyDescent="0.25">
      <c r="A23" s="10" t="s">
        <v>72</v>
      </c>
      <c r="B23" s="11" t="s">
        <v>24</v>
      </c>
      <c r="C23" s="12" t="s">
        <v>25</v>
      </c>
      <c r="D23" s="13" t="s">
        <v>21</v>
      </c>
      <c r="E23" s="13" t="s">
        <v>22</v>
      </c>
      <c r="F23" s="38">
        <f>_xlfn.XLOOKUP(B23,'Грант по страни'!$A$2:$A$34,'Грант по страни'!$B$2:$B$34,"")</f>
        <v>674</v>
      </c>
      <c r="G23" s="8">
        <v>45565</v>
      </c>
      <c r="H23" s="8">
        <v>45689</v>
      </c>
      <c r="I23" s="80">
        <f t="shared" si="0"/>
        <v>125</v>
      </c>
      <c r="J23" s="106">
        <f t="shared" si="1"/>
        <v>4.0767123287671234</v>
      </c>
      <c r="K23" s="107">
        <f t="shared" si="2"/>
        <v>2747.7041095890413</v>
      </c>
      <c r="M23" s="102"/>
      <c r="N23" s="102"/>
      <c r="O23" s="12" t="s">
        <v>16</v>
      </c>
      <c r="P23" s="28">
        <f t="shared" ref="P23:P25" si="7">IFERROR(AVERAGEIF($D$4:$D$73,O23,$K$4:$K$73),"-")</f>
        <v>2888.8677459526771</v>
      </c>
      <c r="Q23" s="23"/>
      <c r="S23" s="12" t="s">
        <v>16</v>
      </c>
      <c r="T23" s="28">
        <f t="shared" ref="T23:T25" si="8">IFERROR(AVERAGEIF($D$4:$D$73,O23,$K$4:$K$73),"-")</f>
        <v>2888.8677459526771</v>
      </c>
      <c r="U23" s="23"/>
    </row>
    <row r="24" spans="1:21" ht="30" x14ac:dyDescent="0.25">
      <c r="A24" s="10" t="s">
        <v>73</v>
      </c>
      <c r="B24" s="11" t="s">
        <v>19</v>
      </c>
      <c r="C24" s="12" t="s">
        <v>20</v>
      </c>
      <c r="D24" s="13" t="s">
        <v>16</v>
      </c>
      <c r="E24" s="13" t="s">
        <v>74</v>
      </c>
      <c r="F24" s="38">
        <f>_xlfn.XLOOKUP(B24,'Грант по страни'!$A$2:$A$34,'Грант по страни'!$B$2:$B$34,"")</f>
        <v>674</v>
      </c>
      <c r="G24" s="8">
        <v>45557</v>
      </c>
      <c r="H24" s="8">
        <v>45698</v>
      </c>
      <c r="I24" s="80">
        <f t="shared" si="0"/>
        <v>142</v>
      </c>
      <c r="J24" s="106">
        <f t="shared" si="1"/>
        <v>4.6356164383561644</v>
      </c>
      <c r="K24" s="107">
        <f t="shared" si="2"/>
        <v>3124.4054794520548</v>
      </c>
      <c r="M24" s="102"/>
      <c r="N24" s="102"/>
      <c r="O24" s="12" t="s">
        <v>11</v>
      </c>
      <c r="P24" s="28">
        <f t="shared" si="7"/>
        <v>2915.8315068493152</v>
      </c>
      <c r="Q24" s="23"/>
      <c r="S24" s="12" t="s">
        <v>11</v>
      </c>
      <c r="T24" s="28">
        <f t="shared" si="8"/>
        <v>2915.8315068493152</v>
      </c>
      <c r="U24" s="23"/>
    </row>
    <row r="25" spans="1:21" ht="30" x14ac:dyDescent="0.25">
      <c r="A25" s="10" t="s">
        <v>75</v>
      </c>
      <c r="B25" s="11" t="s">
        <v>47</v>
      </c>
      <c r="C25" s="12" t="s">
        <v>76</v>
      </c>
      <c r="D25" s="13" t="s">
        <v>30</v>
      </c>
      <c r="E25" s="13" t="s">
        <v>31</v>
      </c>
      <c r="F25" s="38">
        <f>_xlfn.XLOOKUP(B25,'Грант по страни'!$A$2:$A$34,'Грант по страни'!$B$2:$B$34,"")</f>
        <v>674</v>
      </c>
      <c r="G25" s="8">
        <v>45564</v>
      </c>
      <c r="H25" s="8">
        <v>45697</v>
      </c>
      <c r="I25" s="80">
        <f t="shared" si="0"/>
        <v>134</v>
      </c>
      <c r="J25" s="106">
        <f t="shared" si="1"/>
        <v>4.3726027397260276</v>
      </c>
      <c r="K25" s="107">
        <f t="shared" si="2"/>
        <v>2947.1342465753428</v>
      </c>
      <c r="M25" s="102"/>
      <c r="N25" s="102"/>
      <c r="O25" s="12" t="s">
        <v>30</v>
      </c>
      <c r="P25" s="28">
        <f t="shared" si="7"/>
        <v>2897.3589041095893</v>
      </c>
      <c r="Q25" s="23"/>
      <c r="S25" s="12" t="s">
        <v>30</v>
      </c>
      <c r="T25" s="28">
        <f t="shared" si="8"/>
        <v>2897.3589041095893</v>
      </c>
      <c r="U25" s="23"/>
    </row>
    <row r="26" spans="1:21" ht="45" x14ac:dyDescent="0.25">
      <c r="A26" s="10" t="s">
        <v>77</v>
      </c>
      <c r="B26" s="11" t="s">
        <v>78</v>
      </c>
      <c r="C26" s="12" t="s">
        <v>79</v>
      </c>
      <c r="D26" s="13" t="s">
        <v>16</v>
      </c>
      <c r="E26" s="13" t="s">
        <v>26</v>
      </c>
      <c r="F26" s="38">
        <f>_xlfn.XLOOKUP(B26,'Грант по страни'!$A$2:$A$34,'Грант по страни'!$B$2:$B$34,"")</f>
        <v>606</v>
      </c>
      <c r="G26" s="8">
        <v>45553</v>
      </c>
      <c r="H26" s="8">
        <v>45681</v>
      </c>
      <c r="I26" s="80">
        <f t="shared" si="0"/>
        <v>129</v>
      </c>
      <c r="J26" s="106">
        <f t="shared" si="1"/>
        <v>4.2082191780821923</v>
      </c>
      <c r="K26" s="107">
        <f t="shared" si="2"/>
        <v>2550.1808219178083</v>
      </c>
      <c r="M26" s="102"/>
      <c r="N26" s="102"/>
      <c r="O26" s="15" t="s">
        <v>170</v>
      </c>
      <c r="P26" s="28">
        <f>SUM(P22:P25)</f>
        <v>11587.02447439748</v>
      </c>
      <c r="Q26" s="23"/>
      <c r="S26" s="15" t="s">
        <v>170</v>
      </c>
      <c r="T26" s="28">
        <f>SUMPRODUCT(T22:T25)</f>
        <v>11587.02447439748</v>
      </c>
      <c r="U26" s="23"/>
    </row>
    <row r="27" spans="1:21" ht="30" x14ac:dyDescent="0.25">
      <c r="A27" s="10" t="s">
        <v>80</v>
      </c>
      <c r="B27" s="11" t="s">
        <v>60</v>
      </c>
      <c r="C27" s="12" t="s">
        <v>61</v>
      </c>
      <c r="D27" s="13" t="s">
        <v>21</v>
      </c>
      <c r="E27" s="13" t="s">
        <v>22</v>
      </c>
      <c r="F27" s="38">
        <f>_xlfn.XLOOKUP(B27,'Грант по страни'!$A$2:$A$34,'Грант по страни'!$B$2:$B$34,"")</f>
        <v>674</v>
      </c>
      <c r="G27" s="8">
        <v>45554</v>
      </c>
      <c r="H27" s="8">
        <v>45679</v>
      </c>
      <c r="I27" s="80">
        <f t="shared" si="0"/>
        <v>126</v>
      </c>
      <c r="J27" s="106">
        <f t="shared" si="1"/>
        <v>4.10958904109589</v>
      </c>
      <c r="K27" s="107">
        <f t="shared" si="2"/>
        <v>2769.8630136986299</v>
      </c>
      <c r="M27" s="102"/>
      <c r="N27" s="102"/>
    </row>
    <row r="28" spans="1:21" ht="48.75" customHeight="1" x14ac:dyDescent="0.25">
      <c r="A28" s="10" t="s">
        <v>81</v>
      </c>
      <c r="B28" s="11" t="s">
        <v>82</v>
      </c>
      <c r="C28" s="12" t="s">
        <v>83</v>
      </c>
      <c r="D28" s="13" t="s">
        <v>16</v>
      </c>
      <c r="E28" s="13" t="s">
        <v>74</v>
      </c>
      <c r="F28" s="38">
        <f>_xlfn.XLOOKUP(B28,'Грант по страни'!$A$2:$A$34,'Грант по страни'!$B$2:$B$34,"")</f>
        <v>606</v>
      </c>
      <c r="G28" s="8">
        <v>45554</v>
      </c>
      <c r="H28" s="8">
        <v>45679</v>
      </c>
      <c r="I28" s="80">
        <f t="shared" si="0"/>
        <v>126</v>
      </c>
      <c r="J28" s="106">
        <f t="shared" si="1"/>
        <v>4.10958904109589</v>
      </c>
      <c r="K28" s="107">
        <f t="shared" si="2"/>
        <v>2490.4109589041095</v>
      </c>
      <c r="M28" s="102"/>
      <c r="N28" s="102"/>
      <c r="O28" s="31" t="s">
        <v>209</v>
      </c>
      <c r="P28" s="31" t="s">
        <v>210</v>
      </c>
    </row>
    <row r="29" spans="1:21" ht="48.75" customHeight="1" x14ac:dyDescent="0.25">
      <c r="A29" s="10" t="s">
        <v>84</v>
      </c>
      <c r="B29" s="11" t="s">
        <v>85</v>
      </c>
      <c r="C29" s="12" t="s">
        <v>86</v>
      </c>
      <c r="D29" s="13" t="s">
        <v>30</v>
      </c>
      <c r="E29" s="13" t="s">
        <v>45</v>
      </c>
      <c r="F29" s="38">
        <f>_xlfn.XLOOKUP(B29,'Грант по страни'!$A$2:$A$34,'Грант по страни'!$B$2:$B$34,"")</f>
        <v>606</v>
      </c>
      <c r="G29" s="8">
        <v>45559</v>
      </c>
      <c r="H29" s="8">
        <v>45679</v>
      </c>
      <c r="I29" s="80">
        <f t="shared" si="0"/>
        <v>121</v>
      </c>
      <c r="J29" s="106">
        <f t="shared" si="1"/>
        <v>3.9452054794520546</v>
      </c>
      <c r="K29" s="107">
        <f t="shared" si="2"/>
        <v>2390.794520547945</v>
      </c>
      <c r="M29" s="102"/>
      <c r="N29" s="102"/>
      <c r="O29" s="121" t="str">
        <f>"Брой студенти, осъществили мобилност с цел обучение по програма Еразъм+ , от специалности, които съдържат в името си "&amp;CHAR(34)&amp;$P$28&amp;CHAR(34)</f>
        <v>Брой студенти, осъществили мобилност с цел обучение по програма Еразъм+ , от специалности, които съдържат в името си "бизнес"</v>
      </c>
      <c r="P29" s="121"/>
      <c r="Q29" s="32">
        <f>COUNTIF($E$4:$E$73,"*"&amp;$P$28&amp;"*")</f>
        <v>16</v>
      </c>
      <c r="R29" s="32"/>
    </row>
    <row r="30" spans="1:21" ht="62.25" customHeight="1" x14ac:dyDescent="0.25">
      <c r="A30" s="10" t="s">
        <v>87</v>
      </c>
      <c r="B30" s="11" t="s">
        <v>78</v>
      </c>
      <c r="C30" s="12" t="s">
        <v>79</v>
      </c>
      <c r="D30" s="13" t="s">
        <v>21</v>
      </c>
      <c r="E30" s="13" t="s">
        <v>22</v>
      </c>
      <c r="F30" s="38">
        <f>_xlfn.XLOOKUP(B30,'Грант по страни'!$A$2:$A$34,'Грант по страни'!$B$2:$B$34,"")</f>
        <v>606</v>
      </c>
      <c r="G30" s="8">
        <v>45552</v>
      </c>
      <c r="H30" s="8">
        <v>45692</v>
      </c>
      <c r="I30" s="80">
        <f t="shared" si="0"/>
        <v>141</v>
      </c>
      <c r="J30" s="106">
        <f t="shared" si="1"/>
        <v>4.602739726027397</v>
      </c>
      <c r="K30" s="107">
        <f t="shared" si="2"/>
        <v>2789.2602739726026</v>
      </c>
      <c r="M30" s="102"/>
      <c r="N30" s="102"/>
      <c r="O30" s="122" t="str">
        <f>"Изплатен Еразъм+ грант за обучение на студенти от специалности, които съдържат в името си "&amp;CHAR(34)&amp;$P$28&amp;CHAR(34)</f>
        <v>Изплатен Еразъм+ грант за обучение на студенти от специалности, които съдържат в името си "бизнес"</v>
      </c>
      <c r="P30" s="122"/>
      <c r="Q30" s="33">
        <f>SUMIF($E$4:$E$73,"*"&amp;$P$28&amp;"*",K4:K73)</f>
        <v>46839.057534246575</v>
      </c>
      <c r="R30" s="33"/>
    </row>
    <row r="31" spans="1:21" ht="45" x14ac:dyDescent="0.25">
      <c r="A31" s="10" t="s">
        <v>88</v>
      </c>
      <c r="B31" s="11" t="s">
        <v>89</v>
      </c>
      <c r="C31" s="12" t="s">
        <v>90</v>
      </c>
      <c r="D31" s="13" t="s">
        <v>11</v>
      </c>
      <c r="E31" s="13" t="s">
        <v>37</v>
      </c>
      <c r="F31" s="38">
        <f>_xlfn.XLOOKUP(B31,'Грант по страни'!$A$2:$A$34,'Грант по страни'!$B$2:$B$34,"")</f>
        <v>606</v>
      </c>
      <c r="G31" s="8">
        <v>45554</v>
      </c>
      <c r="H31" s="8">
        <v>45687</v>
      </c>
      <c r="I31" s="80">
        <f t="shared" si="0"/>
        <v>134</v>
      </c>
      <c r="J31" s="106">
        <f t="shared" si="1"/>
        <v>4.3726027397260276</v>
      </c>
      <c r="K31" s="107">
        <f t="shared" si="2"/>
        <v>2649.7972602739728</v>
      </c>
      <c r="M31" s="102"/>
      <c r="N31" s="102"/>
      <c r="O31" s="121" t="str">
        <f>"Средна стойност на изплатения Еразъм+ грант за обучение на един студент от специалности, които съдържат в името си "&amp;CHAR(34)&amp;$P$28&amp;CHAR(34)</f>
        <v>Средна стойност на изплатения Еразъм+ грант за обучение на един студент от специалности, които съдържат в името си "бизнес"</v>
      </c>
      <c r="P31" s="121"/>
      <c r="Q31" s="33">
        <f>IFERROR(AVERAGEIF($E$4:$E$73,"*"&amp;$P$28&amp;"*",K4:K73),"-")</f>
        <v>2927.4410958904109</v>
      </c>
      <c r="R31" s="33"/>
      <c r="S31" s="23"/>
    </row>
    <row r="32" spans="1:21" ht="60" customHeight="1" x14ac:dyDescent="0.25">
      <c r="A32" s="10" t="s">
        <v>91</v>
      </c>
      <c r="B32" s="11" t="s">
        <v>92</v>
      </c>
      <c r="C32" s="12" t="s">
        <v>93</v>
      </c>
      <c r="D32" s="13" t="s">
        <v>21</v>
      </c>
      <c r="E32" s="13" t="s">
        <v>94</v>
      </c>
      <c r="F32" s="38">
        <f>_xlfn.XLOOKUP(B32,'Грант по страни'!$A$2:$A$34,'Грант по страни'!$B$2:$B$34,"")</f>
        <v>674</v>
      </c>
      <c r="G32" s="8">
        <v>45554</v>
      </c>
      <c r="H32" s="8">
        <v>45679</v>
      </c>
      <c r="I32" s="80">
        <f t="shared" si="0"/>
        <v>126</v>
      </c>
      <c r="J32" s="106">
        <f t="shared" si="1"/>
        <v>4.10958904109589</v>
      </c>
      <c r="K32" s="107">
        <f t="shared" si="2"/>
        <v>2769.8630136986299</v>
      </c>
      <c r="M32" s="102"/>
      <c r="N32" s="102"/>
    </row>
    <row r="33" spans="1:19" ht="30" x14ac:dyDescent="0.25">
      <c r="A33" s="10" t="s">
        <v>95</v>
      </c>
      <c r="B33" s="11" t="s">
        <v>96</v>
      </c>
      <c r="C33" s="12" t="s">
        <v>97</v>
      </c>
      <c r="D33" s="13" t="s">
        <v>16</v>
      </c>
      <c r="E33" s="13" t="s">
        <v>41</v>
      </c>
      <c r="F33" s="38">
        <f>_xlfn.XLOOKUP(B33,'Грант по страни'!$A$2:$A$34,'Грант по страни'!$B$2:$B$34,"")</f>
        <v>606</v>
      </c>
      <c r="G33" s="8">
        <v>45563</v>
      </c>
      <c r="H33" s="8">
        <v>45703</v>
      </c>
      <c r="I33" s="80">
        <f t="shared" si="0"/>
        <v>141</v>
      </c>
      <c r="J33" s="106">
        <f t="shared" si="1"/>
        <v>4.602739726027397</v>
      </c>
      <c r="K33" s="107">
        <f t="shared" si="2"/>
        <v>2789.2602739726026</v>
      </c>
      <c r="M33" s="102"/>
      <c r="N33" s="102"/>
    </row>
    <row r="34" spans="1:19" ht="30" x14ac:dyDescent="0.25">
      <c r="A34" s="10" t="s">
        <v>98</v>
      </c>
      <c r="B34" s="11" t="s">
        <v>99</v>
      </c>
      <c r="C34" s="12" t="s">
        <v>100</v>
      </c>
      <c r="D34" s="13" t="s">
        <v>30</v>
      </c>
      <c r="E34" s="13" t="s">
        <v>31</v>
      </c>
      <c r="F34" s="38">
        <f>_xlfn.XLOOKUP(B34,'Грант по страни'!$A$2:$A$34,'Грант по страни'!$B$2:$B$34,"")</f>
        <v>606</v>
      </c>
      <c r="G34" s="8">
        <v>45552</v>
      </c>
      <c r="H34" s="8">
        <v>45682</v>
      </c>
      <c r="I34" s="80">
        <f t="shared" si="0"/>
        <v>131</v>
      </c>
      <c r="J34" s="106">
        <f t="shared" si="1"/>
        <v>4.2739726027397253</v>
      </c>
      <c r="K34" s="107">
        <f t="shared" si="2"/>
        <v>2590.0273972602736</v>
      </c>
      <c r="M34" s="102"/>
      <c r="N34" s="102"/>
    </row>
    <row r="35" spans="1:19" ht="30" x14ac:dyDescent="0.25">
      <c r="A35" s="10" t="s">
        <v>101</v>
      </c>
      <c r="B35" s="11" t="s">
        <v>102</v>
      </c>
      <c r="C35" s="12" t="s">
        <v>103</v>
      </c>
      <c r="D35" s="13" t="s">
        <v>16</v>
      </c>
      <c r="E35" s="13" t="s">
        <v>64</v>
      </c>
      <c r="F35" s="38">
        <f>_xlfn.XLOOKUP(B35,'Грант по страни'!$A$2:$A$34,'Грант по страни'!$B$2:$B$34,"")</f>
        <v>674</v>
      </c>
      <c r="G35" s="8">
        <v>45563</v>
      </c>
      <c r="H35" s="8">
        <v>45697</v>
      </c>
      <c r="I35" s="80">
        <f t="shared" si="0"/>
        <v>135</v>
      </c>
      <c r="J35" s="106">
        <f t="shared" si="1"/>
        <v>4.4054794520547942</v>
      </c>
      <c r="K35" s="107">
        <f t="shared" si="2"/>
        <v>2969.2931506849313</v>
      </c>
      <c r="M35" s="102"/>
      <c r="N35" s="102"/>
    </row>
    <row r="36" spans="1:19" ht="30" x14ac:dyDescent="0.25">
      <c r="A36" s="10" t="s">
        <v>104</v>
      </c>
      <c r="B36" s="11" t="s">
        <v>105</v>
      </c>
      <c r="C36" s="12" t="s">
        <v>106</v>
      </c>
      <c r="D36" s="13" t="s">
        <v>11</v>
      </c>
      <c r="E36" s="13" t="s">
        <v>51</v>
      </c>
      <c r="F36" s="38">
        <f>_xlfn.XLOOKUP(B36,'Грант по страни'!$A$2:$A$34,'Грант по страни'!$B$2:$B$34,"")</f>
        <v>786</v>
      </c>
      <c r="G36" s="8">
        <v>45560</v>
      </c>
      <c r="H36" s="8">
        <v>45688</v>
      </c>
      <c r="I36" s="80">
        <f t="shared" si="0"/>
        <v>129</v>
      </c>
      <c r="J36" s="106">
        <f t="shared" si="1"/>
        <v>4.2082191780821923</v>
      </c>
      <c r="K36" s="107">
        <f t="shared" si="2"/>
        <v>3307.6602739726031</v>
      </c>
      <c r="M36" s="102"/>
      <c r="N36" s="102"/>
      <c r="O36" s="31" t="s">
        <v>169</v>
      </c>
      <c r="P36" s="31">
        <v>130</v>
      </c>
    </row>
    <row r="37" spans="1:19" ht="63" customHeight="1" x14ac:dyDescent="0.25">
      <c r="A37" s="10" t="s">
        <v>107</v>
      </c>
      <c r="B37" s="11" t="s">
        <v>33</v>
      </c>
      <c r="C37" s="12" t="s">
        <v>34</v>
      </c>
      <c r="D37" s="13" t="s">
        <v>21</v>
      </c>
      <c r="E37" s="13" t="s">
        <v>35</v>
      </c>
      <c r="F37" s="38">
        <f>_xlfn.XLOOKUP(B37,'Грант по страни'!$A$2:$A$34,'Грант по страни'!$B$2:$B$34,"")</f>
        <v>674</v>
      </c>
      <c r="G37" s="8">
        <v>45554</v>
      </c>
      <c r="H37" s="8">
        <v>45690</v>
      </c>
      <c r="I37" s="80">
        <f t="shared" si="0"/>
        <v>137</v>
      </c>
      <c r="J37" s="106">
        <f t="shared" si="1"/>
        <v>4.4712328767123291</v>
      </c>
      <c r="K37" s="107">
        <f t="shared" si="2"/>
        <v>3013.6109589041098</v>
      </c>
      <c r="M37" s="102"/>
      <c r="N37" s="102"/>
      <c r="O37" s="117" t="str">
        <f>"Брой студенти, осъществили мобилност с цел обучение по програма Еразъм+ , чиято продължителност е по-голяма или равна на "&amp;P36&amp; " дни"</f>
        <v>Брой студенти, осъществили мобилност с цел обучение по програма Еразъм+ , чиято продължителност е по-голяма или равна на 130 дни</v>
      </c>
      <c r="P37" s="118"/>
      <c r="Q37" s="32">
        <f>COUNTIF(I4:I73,"&gt;="&amp;P36)</f>
        <v>48</v>
      </c>
      <c r="R37" s="32">
        <f>COUNTIF(I4:I73,_xlfn.CONCAT("&gt;=",P36))</f>
        <v>48</v>
      </c>
    </row>
    <row r="38" spans="1:19" ht="45" x14ac:dyDescent="0.25">
      <c r="A38" s="10" t="s">
        <v>108</v>
      </c>
      <c r="B38" s="11" t="s">
        <v>39</v>
      </c>
      <c r="C38" s="12" t="s">
        <v>109</v>
      </c>
      <c r="D38" s="13" t="s">
        <v>30</v>
      </c>
      <c r="E38" s="13" t="s">
        <v>31</v>
      </c>
      <c r="F38" s="38">
        <f>_xlfn.XLOOKUP(B38,'Грант по страни'!$A$2:$A$34,'Грант по страни'!$B$2:$B$34,"")</f>
        <v>674</v>
      </c>
      <c r="G38" s="8">
        <v>45555</v>
      </c>
      <c r="H38" s="8">
        <v>45692</v>
      </c>
      <c r="I38" s="80">
        <f t="shared" si="0"/>
        <v>138</v>
      </c>
      <c r="J38" s="106">
        <f t="shared" si="1"/>
        <v>4.5041095890410965</v>
      </c>
      <c r="K38" s="107">
        <f t="shared" si="2"/>
        <v>3035.7698630136993</v>
      </c>
      <c r="M38" s="102"/>
      <c r="N38" s="102"/>
      <c r="O38" s="117" t="str">
        <f>"Изплатен Еразъм+ грант за обучение на студенти, осъществили мобилност с продължителност, по-голяма или равна на "&amp;P36&amp; " дни"</f>
        <v>Изплатен Еразъм+ грант за обучение на студенти, осъществили мобилност с продължителност, по-голяма или равна на 130 дни</v>
      </c>
      <c r="P38" s="118"/>
      <c r="Q38" s="33">
        <f>SUMIF(I4:I73,"&gt;="&amp;P36,K4:K73)</f>
        <v>142936.96438356163</v>
      </c>
      <c r="R38" s="33">
        <f>SUMIF(I4:I73,_xlfn.CONCAT("&gt;=",P36),K4:K73)</f>
        <v>142936.96438356163</v>
      </c>
    </row>
    <row r="39" spans="1:19" ht="63.75" customHeight="1" x14ac:dyDescent="0.25">
      <c r="A39" s="10" t="s">
        <v>110</v>
      </c>
      <c r="B39" s="11" t="s">
        <v>111</v>
      </c>
      <c r="C39" s="12" t="s">
        <v>112</v>
      </c>
      <c r="D39" s="13" t="s">
        <v>16</v>
      </c>
      <c r="E39" s="13" t="s">
        <v>41</v>
      </c>
      <c r="F39" s="38">
        <f>_xlfn.XLOOKUP(B39,'Грант по страни'!$A$2:$A$34,'Грант по страни'!$B$2:$B$34,"")</f>
        <v>674</v>
      </c>
      <c r="G39" s="8">
        <v>45560</v>
      </c>
      <c r="H39" s="8">
        <v>45706</v>
      </c>
      <c r="I39" s="80">
        <f t="shared" si="0"/>
        <v>147</v>
      </c>
      <c r="J39" s="106">
        <f t="shared" si="1"/>
        <v>4.8000000000000007</v>
      </c>
      <c r="K39" s="107">
        <f t="shared" si="2"/>
        <v>3235.2000000000003</v>
      </c>
      <c r="M39" s="102"/>
      <c r="N39" s="102"/>
      <c r="O39" s="117" t="str">
        <f>"Средна стойност на изплатения Еразъм+ грант за обучение на един студент, осъществил мобилност с продължителност, по-голяма или равна на "&amp;P36&amp; " дни"</f>
        <v>Средна стойност на изплатения Еразъм+ грант за обучение на един студент, осъществил мобилност с продължителност, по-голяма или равна на 130 дни</v>
      </c>
      <c r="P39" s="118"/>
      <c r="Q39" s="33">
        <f>IFERROR(AVERAGEIF(I4:I73,"&gt;="&amp;P36,K4:K73),"-")</f>
        <v>2977.8534246575341</v>
      </c>
      <c r="R39" s="33">
        <f>IFERROR(AVERAGEIF(I4:I73,_xlfn.CONCAT("&gt;=",P36),K4:K73),"-")</f>
        <v>2977.8534246575341</v>
      </c>
      <c r="S39" s="23">
        <f>R38/R37</f>
        <v>2977.8534246575341</v>
      </c>
    </row>
    <row r="40" spans="1:19" ht="30" x14ac:dyDescent="0.25">
      <c r="A40" s="10" t="s">
        <v>113</v>
      </c>
      <c r="B40" s="11" t="s">
        <v>105</v>
      </c>
      <c r="C40" s="12" t="s">
        <v>106</v>
      </c>
      <c r="D40" s="13" t="s">
        <v>16</v>
      </c>
      <c r="E40" s="13" t="s">
        <v>17</v>
      </c>
      <c r="F40" s="38">
        <f>_xlfn.XLOOKUP(B40,'Грант по страни'!$A$2:$A$34,'Грант по страни'!$B$2:$B$34,"")</f>
        <v>786</v>
      </c>
      <c r="G40" s="8">
        <v>45556</v>
      </c>
      <c r="H40" s="8">
        <v>45688</v>
      </c>
      <c r="I40" s="80">
        <f t="shared" si="0"/>
        <v>133</v>
      </c>
      <c r="J40" s="106">
        <f t="shared" si="1"/>
        <v>4.3397260273972602</v>
      </c>
      <c r="K40" s="107">
        <f t="shared" si="2"/>
        <v>3411.0246575342467</v>
      </c>
      <c r="M40" s="102"/>
      <c r="N40" s="102"/>
    </row>
    <row r="41" spans="1:19" ht="30" x14ac:dyDescent="0.25">
      <c r="A41" s="10" t="s">
        <v>114</v>
      </c>
      <c r="B41" s="11" t="s">
        <v>53</v>
      </c>
      <c r="C41" s="12" t="s">
        <v>115</v>
      </c>
      <c r="D41" s="13" t="s">
        <v>30</v>
      </c>
      <c r="E41" s="13" t="s">
        <v>45</v>
      </c>
      <c r="F41" s="38">
        <f>_xlfn.XLOOKUP(B41,'Грант по страни'!$A$2:$A$34,'Грант по страни'!$B$2:$B$34,"")</f>
        <v>674</v>
      </c>
      <c r="G41" s="8">
        <v>45560</v>
      </c>
      <c r="H41" s="8">
        <v>45707</v>
      </c>
      <c r="I41" s="80">
        <f t="shared" si="0"/>
        <v>148</v>
      </c>
      <c r="J41" s="106">
        <f t="shared" si="1"/>
        <v>4.8328767123287673</v>
      </c>
      <c r="K41" s="107">
        <f t="shared" si="2"/>
        <v>3257.3589041095893</v>
      </c>
      <c r="M41" s="102"/>
      <c r="N41" s="102"/>
    </row>
    <row r="42" spans="1:19" ht="30" x14ac:dyDescent="0.25">
      <c r="A42" s="10" t="s">
        <v>116</v>
      </c>
      <c r="B42" s="11" t="s">
        <v>43</v>
      </c>
      <c r="C42" s="12" t="s">
        <v>44</v>
      </c>
      <c r="D42" s="13" t="s">
        <v>11</v>
      </c>
      <c r="E42" s="13" t="s">
        <v>12</v>
      </c>
      <c r="F42" s="38">
        <f>_xlfn.XLOOKUP(B42,'Грант по страни'!$A$2:$A$34,'Грант по страни'!$B$2:$B$34,"")</f>
        <v>674</v>
      </c>
      <c r="G42" s="8">
        <v>45553</v>
      </c>
      <c r="H42" s="8">
        <v>45689</v>
      </c>
      <c r="I42" s="80">
        <f t="shared" si="0"/>
        <v>137</v>
      </c>
      <c r="J42" s="106">
        <f t="shared" si="1"/>
        <v>4.4712328767123291</v>
      </c>
      <c r="K42" s="107">
        <f t="shared" si="2"/>
        <v>3013.6109589041098</v>
      </c>
      <c r="M42" s="102"/>
      <c r="N42" s="102"/>
    </row>
    <row r="43" spans="1:19" ht="45" x14ac:dyDescent="0.25">
      <c r="A43" s="10" t="s">
        <v>117</v>
      </c>
      <c r="B43" s="11" t="s">
        <v>89</v>
      </c>
      <c r="C43" s="12" t="s">
        <v>118</v>
      </c>
      <c r="D43" s="13" t="s">
        <v>11</v>
      </c>
      <c r="E43" s="13" t="s">
        <v>119</v>
      </c>
      <c r="F43" s="38">
        <f>_xlfn.XLOOKUP(B43,'Грант по страни'!$A$2:$A$34,'Грант по страни'!$B$2:$B$34,"")</f>
        <v>606</v>
      </c>
      <c r="G43" s="8">
        <v>45553</v>
      </c>
      <c r="H43" s="8">
        <v>45699</v>
      </c>
      <c r="I43" s="80">
        <f t="shared" si="0"/>
        <v>147</v>
      </c>
      <c r="J43" s="106">
        <f t="shared" si="1"/>
        <v>4.8000000000000007</v>
      </c>
      <c r="K43" s="107">
        <f t="shared" si="2"/>
        <v>2908.8000000000006</v>
      </c>
      <c r="M43" s="102"/>
      <c r="N43" s="102"/>
    </row>
    <row r="44" spans="1:19" ht="45" x14ac:dyDescent="0.25">
      <c r="A44" s="10" t="s">
        <v>120</v>
      </c>
      <c r="B44" s="11" t="s">
        <v>57</v>
      </c>
      <c r="C44" s="12" t="s">
        <v>58</v>
      </c>
      <c r="D44" s="13" t="s">
        <v>21</v>
      </c>
      <c r="E44" s="13" t="s">
        <v>121</v>
      </c>
      <c r="F44" s="38">
        <f>_xlfn.XLOOKUP(B44,'Грант по страни'!$A$2:$A$34,'Грант по страни'!$B$2:$B$34,"")</f>
        <v>606</v>
      </c>
      <c r="G44" s="8">
        <v>45557</v>
      </c>
      <c r="H44" s="8">
        <v>45694</v>
      </c>
      <c r="I44" s="80">
        <f t="shared" si="0"/>
        <v>138</v>
      </c>
      <c r="J44" s="106">
        <f t="shared" si="1"/>
        <v>4.5041095890410965</v>
      </c>
      <c r="K44" s="107">
        <f t="shared" si="2"/>
        <v>2729.4904109589042</v>
      </c>
      <c r="M44" s="102"/>
      <c r="N44" s="102"/>
    </row>
    <row r="45" spans="1:19" ht="30" x14ac:dyDescent="0.25">
      <c r="A45" s="10" t="s">
        <v>122</v>
      </c>
      <c r="B45" s="11" t="s">
        <v>96</v>
      </c>
      <c r="C45" s="12" t="s">
        <v>123</v>
      </c>
      <c r="D45" s="13" t="s">
        <v>16</v>
      </c>
      <c r="E45" s="13" t="s">
        <v>41</v>
      </c>
      <c r="F45" s="38">
        <f>_xlfn.XLOOKUP(B45,'Грант по страни'!$A$2:$A$34,'Грант по страни'!$B$2:$B$34,"")</f>
        <v>606</v>
      </c>
      <c r="G45" s="8">
        <v>45556</v>
      </c>
      <c r="H45" s="8">
        <v>45698</v>
      </c>
      <c r="I45" s="80">
        <f t="shared" si="0"/>
        <v>143</v>
      </c>
      <c r="J45" s="106">
        <f t="shared" si="1"/>
        <v>4.6684931506849319</v>
      </c>
      <c r="K45" s="107">
        <f t="shared" si="2"/>
        <v>2829.1068493150688</v>
      </c>
      <c r="M45" s="102"/>
      <c r="N45" s="102"/>
    </row>
    <row r="46" spans="1:19" ht="45" x14ac:dyDescent="0.25">
      <c r="A46" s="10" t="s">
        <v>124</v>
      </c>
      <c r="B46" s="11" t="s">
        <v>33</v>
      </c>
      <c r="C46" s="12" t="s">
        <v>125</v>
      </c>
      <c r="D46" s="13" t="s">
        <v>16</v>
      </c>
      <c r="E46" s="13" t="s">
        <v>26</v>
      </c>
      <c r="F46" s="38">
        <f>_xlfn.XLOOKUP(B46,'Грант по страни'!$A$2:$A$34,'Грант по страни'!$B$2:$B$34,"")</f>
        <v>674</v>
      </c>
      <c r="G46" s="8">
        <v>45561</v>
      </c>
      <c r="H46" s="8">
        <v>45689</v>
      </c>
      <c r="I46" s="80">
        <f t="shared" si="0"/>
        <v>129</v>
      </c>
      <c r="J46" s="106">
        <f t="shared" si="1"/>
        <v>4.2082191780821923</v>
      </c>
      <c r="K46" s="107">
        <f t="shared" si="2"/>
        <v>2836.3397260273978</v>
      </c>
      <c r="M46" s="102"/>
      <c r="N46" s="102"/>
    </row>
    <row r="47" spans="1:19" ht="30" x14ac:dyDescent="0.25">
      <c r="A47" s="10" t="s">
        <v>126</v>
      </c>
      <c r="B47" s="11" t="s">
        <v>9</v>
      </c>
      <c r="C47" s="12" t="s">
        <v>10</v>
      </c>
      <c r="D47" s="13" t="s">
        <v>30</v>
      </c>
      <c r="E47" s="13" t="s">
        <v>31</v>
      </c>
      <c r="F47" s="38">
        <f>_xlfn.XLOOKUP(B47,'Грант по страни'!$A$2:$A$34,'Грант по страни'!$B$2:$B$34,"")</f>
        <v>606</v>
      </c>
      <c r="G47" s="8">
        <v>45554</v>
      </c>
      <c r="H47" s="8">
        <v>45680</v>
      </c>
      <c r="I47" s="80">
        <f t="shared" si="0"/>
        <v>127</v>
      </c>
      <c r="J47" s="106">
        <f t="shared" si="1"/>
        <v>4.1424657534246574</v>
      </c>
      <c r="K47" s="107">
        <f t="shared" si="2"/>
        <v>2510.3342465753426</v>
      </c>
      <c r="M47" s="102"/>
      <c r="N47" s="102"/>
    </row>
    <row r="48" spans="1:19" ht="30" x14ac:dyDescent="0.25">
      <c r="A48" s="10" t="s">
        <v>127</v>
      </c>
      <c r="B48" s="11" t="s">
        <v>128</v>
      </c>
      <c r="C48" s="12" t="s">
        <v>129</v>
      </c>
      <c r="D48" s="13" t="s">
        <v>16</v>
      </c>
      <c r="E48" s="13" t="s">
        <v>130</v>
      </c>
      <c r="F48" s="38">
        <f>_xlfn.XLOOKUP(B48,'Грант по страни'!$A$2:$A$34,'Грант по страни'!$B$2:$B$34,"")</f>
        <v>786</v>
      </c>
      <c r="G48" s="8">
        <v>45551</v>
      </c>
      <c r="H48" s="8">
        <v>45682</v>
      </c>
      <c r="I48" s="80">
        <f t="shared" si="0"/>
        <v>132</v>
      </c>
      <c r="J48" s="106">
        <f t="shared" si="1"/>
        <v>4.3068493150684937</v>
      </c>
      <c r="K48" s="107">
        <f t="shared" si="2"/>
        <v>3385.1835616438361</v>
      </c>
      <c r="M48" s="102"/>
      <c r="N48" s="102"/>
    </row>
    <row r="49" spans="1:14" ht="30" x14ac:dyDescent="0.25">
      <c r="A49" s="10" t="s">
        <v>131</v>
      </c>
      <c r="B49" s="11" t="s">
        <v>43</v>
      </c>
      <c r="C49" s="12" t="s">
        <v>44</v>
      </c>
      <c r="D49" s="13" t="s">
        <v>21</v>
      </c>
      <c r="E49" s="13" t="s">
        <v>132</v>
      </c>
      <c r="F49" s="38">
        <f>_xlfn.XLOOKUP(B49,'Грант по страни'!$A$2:$A$34,'Грант по страни'!$B$2:$B$34,"")</f>
        <v>674</v>
      </c>
      <c r="G49" s="8">
        <v>45553</v>
      </c>
      <c r="H49" s="8">
        <v>45691</v>
      </c>
      <c r="I49" s="80">
        <f t="shared" si="0"/>
        <v>139</v>
      </c>
      <c r="J49" s="106">
        <f t="shared" si="1"/>
        <v>4.536986301369863</v>
      </c>
      <c r="K49" s="107">
        <f t="shared" si="2"/>
        <v>3057.9287671232878</v>
      </c>
      <c r="M49" s="102"/>
      <c r="N49" s="102"/>
    </row>
    <row r="50" spans="1:14" ht="30" x14ac:dyDescent="0.25">
      <c r="A50" s="10" t="s">
        <v>133</v>
      </c>
      <c r="B50" s="11" t="s">
        <v>39</v>
      </c>
      <c r="C50" s="12" t="s">
        <v>134</v>
      </c>
      <c r="D50" s="13" t="s">
        <v>11</v>
      </c>
      <c r="E50" s="13" t="s">
        <v>135</v>
      </c>
      <c r="F50" s="38">
        <f>_xlfn.XLOOKUP(B50,'Грант по страни'!$A$2:$A$34,'Грант по страни'!$B$2:$B$34,"")</f>
        <v>674</v>
      </c>
      <c r="G50" s="8">
        <v>45557</v>
      </c>
      <c r="H50" s="8">
        <v>45692</v>
      </c>
      <c r="I50" s="80">
        <f t="shared" si="0"/>
        <v>136</v>
      </c>
      <c r="J50" s="106">
        <f t="shared" si="1"/>
        <v>4.4383561643835616</v>
      </c>
      <c r="K50" s="107">
        <f t="shared" si="2"/>
        <v>2991.4520547945203</v>
      </c>
      <c r="M50" s="102"/>
      <c r="N50" s="102"/>
    </row>
    <row r="51" spans="1:14" ht="30" x14ac:dyDescent="0.25">
      <c r="A51" s="10" t="s">
        <v>136</v>
      </c>
      <c r="B51" s="11" t="s">
        <v>92</v>
      </c>
      <c r="C51" s="12" t="s">
        <v>93</v>
      </c>
      <c r="D51" s="13" t="s">
        <v>30</v>
      </c>
      <c r="E51" s="13" t="s">
        <v>45</v>
      </c>
      <c r="F51" s="38">
        <f>_xlfn.XLOOKUP(B51,'Грант по страни'!$A$2:$A$34,'Грант по страни'!$B$2:$B$34,"")</f>
        <v>674</v>
      </c>
      <c r="G51" s="8">
        <v>45561</v>
      </c>
      <c r="H51" s="8">
        <v>45704</v>
      </c>
      <c r="I51" s="80">
        <f t="shared" si="0"/>
        <v>144</v>
      </c>
      <c r="J51" s="106">
        <f t="shared" si="1"/>
        <v>4.7013698630136984</v>
      </c>
      <c r="K51" s="107">
        <f t="shared" si="2"/>
        <v>3168.7232876712328</v>
      </c>
      <c r="M51" s="102"/>
      <c r="N51" s="102"/>
    </row>
    <row r="52" spans="1:14" ht="30" x14ac:dyDescent="0.25">
      <c r="A52" s="10" t="s">
        <v>137</v>
      </c>
      <c r="B52" s="11" t="s">
        <v>102</v>
      </c>
      <c r="C52" s="12" t="s">
        <v>103</v>
      </c>
      <c r="D52" s="13" t="s">
        <v>21</v>
      </c>
      <c r="E52" s="13" t="s">
        <v>94</v>
      </c>
      <c r="F52" s="38">
        <f>_xlfn.XLOOKUP(B52,'Грант по страни'!$A$2:$A$34,'Грант по страни'!$B$2:$B$34,"")</f>
        <v>674</v>
      </c>
      <c r="G52" s="8">
        <v>45556</v>
      </c>
      <c r="H52" s="8">
        <v>45688</v>
      </c>
      <c r="I52" s="80">
        <f t="shared" si="0"/>
        <v>133</v>
      </c>
      <c r="J52" s="106">
        <f t="shared" si="1"/>
        <v>4.3397260273972602</v>
      </c>
      <c r="K52" s="107">
        <f t="shared" si="2"/>
        <v>2924.9753424657533</v>
      </c>
      <c r="M52" s="102"/>
      <c r="N52" s="102"/>
    </row>
    <row r="53" spans="1:14" ht="30" x14ac:dyDescent="0.25">
      <c r="A53" s="10" t="s">
        <v>138</v>
      </c>
      <c r="B53" s="11" t="s">
        <v>139</v>
      </c>
      <c r="C53" s="12" t="s">
        <v>140</v>
      </c>
      <c r="D53" s="13" t="s">
        <v>16</v>
      </c>
      <c r="E53" s="13" t="s">
        <v>64</v>
      </c>
      <c r="F53" s="38">
        <f>_xlfn.XLOOKUP(B53,'Грант по страни'!$A$2:$A$34,'Грант по страни'!$B$2:$B$34,"")</f>
        <v>674</v>
      </c>
      <c r="G53" s="8">
        <v>45552</v>
      </c>
      <c r="H53" s="8">
        <v>45685</v>
      </c>
      <c r="I53" s="80">
        <f t="shared" si="0"/>
        <v>134</v>
      </c>
      <c r="J53" s="106">
        <f t="shared" si="1"/>
        <v>4.3726027397260276</v>
      </c>
      <c r="K53" s="107">
        <f t="shared" si="2"/>
        <v>2947.1342465753428</v>
      </c>
      <c r="M53" s="102"/>
      <c r="N53" s="102"/>
    </row>
    <row r="54" spans="1:14" ht="30" x14ac:dyDescent="0.25">
      <c r="A54" s="10" t="s">
        <v>141</v>
      </c>
      <c r="B54" s="11" t="s">
        <v>96</v>
      </c>
      <c r="C54" s="12" t="s">
        <v>123</v>
      </c>
      <c r="D54" s="13" t="s">
        <v>16</v>
      </c>
      <c r="E54" s="13" t="s">
        <v>41</v>
      </c>
      <c r="F54" s="38">
        <f>_xlfn.XLOOKUP(B54,'Грант по страни'!$A$2:$A$34,'Грант по страни'!$B$2:$B$34,"")</f>
        <v>606</v>
      </c>
      <c r="G54" s="8">
        <v>45556</v>
      </c>
      <c r="H54" s="8">
        <v>45688</v>
      </c>
      <c r="I54" s="80">
        <f t="shared" si="0"/>
        <v>133</v>
      </c>
      <c r="J54" s="106">
        <f t="shared" si="1"/>
        <v>4.3397260273972602</v>
      </c>
      <c r="K54" s="107">
        <f t="shared" si="2"/>
        <v>2629.8739726027397</v>
      </c>
      <c r="M54" s="102"/>
      <c r="N54" s="102"/>
    </row>
    <row r="55" spans="1:14" ht="30" x14ac:dyDescent="0.25">
      <c r="A55" s="10" t="s">
        <v>142</v>
      </c>
      <c r="B55" s="11" t="s">
        <v>67</v>
      </c>
      <c r="C55" s="12" t="s">
        <v>68</v>
      </c>
      <c r="D55" s="13" t="s">
        <v>21</v>
      </c>
      <c r="E55" s="13" t="s">
        <v>35</v>
      </c>
      <c r="F55" s="38">
        <f>_xlfn.XLOOKUP(B55,'Грант по страни'!$A$2:$A$34,'Грант по страни'!$B$2:$B$34,"")</f>
        <v>786</v>
      </c>
      <c r="G55" s="8">
        <v>45554</v>
      </c>
      <c r="H55" s="8">
        <v>45684</v>
      </c>
      <c r="I55" s="80">
        <f t="shared" si="0"/>
        <v>131</v>
      </c>
      <c r="J55" s="106">
        <f t="shared" si="1"/>
        <v>4.2739726027397253</v>
      </c>
      <c r="K55" s="107">
        <f t="shared" si="2"/>
        <v>3359.3424657534242</v>
      </c>
      <c r="M55" s="102"/>
      <c r="N55" s="102"/>
    </row>
    <row r="56" spans="1:14" ht="30" x14ac:dyDescent="0.25">
      <c r="A56" s="10" t="s">
        <v>143</v>
      </c>
      <c r="B56" s="11" t="s">
        <v>96</v>
      </c>
      <c r="C56" s="12" t="s">
        <v>144</v>
      </c>
      <c r="D56" s="13" t="s">
        <v>30</v>
      </c>
      <c r="E56" s="13" t="s">
        <v>45</v>
      </c>
      <c r="F56" s="38">
        <f>_xlfn.XLOOKUP(B56,'Грант по страни'!$A$2:$A$34,'Грант по страни'!$B$2:$B$34,"")</f>
        <v>606</v>
      </c>
      <c r="G56" s="8">
        <v>45564</v>
      </c>
      <c r="H56" s="8">
        <v>45700</v>
      </c>
      <c r="I56" s="80">
        <f t="shared" si="0"/>
        <v>137</v>
      </c>
      <c r="J56" s="106">
        <f t="shared" si="1"/>
        <v>4.4712328767123291</v>
      </c>
      <c r="K56" s="107">
        <f t="shared" si="2"/>
        <v>2709.5671232876716</v>
      </c>
      <c r="M56" s="102"/>
      <c r="N56" s="102"/>
    </row>
    <row r="57" spans="1:14" x14ac:dyDescent="0.25">
      <c r="A57" s="10" t="s">
        <v>145</v>
      </c>
      <c r="B57" s="11" t="s">
        <v>60</v>
      </c>
      <c r="C57" s="12" t="s">
        <v>61</v>
      </c>
      <c r="D57" s="13" t="s">
        <v>16</v>
      </c>
      <c r="E57" s="13" t="s">
        <v>55</v>
      </c>
      <c r="F57" s="38">
        <f>_xlfn.XLOOKUP(B57,'Грант по страни'!$A$2:$A$34,'Грант по страни'!$B$2:$B$34,"")</f>
        <v>674</v>
      </c>
      <c r="G57" s="8">
        <v>45560</v>
      </c>
      <c r="H57" s="8">
        <v>45681</v>
      </c>
      <c r="I57" s="80">
        <f t="shared" si="0"/>
        <v>122</v>
      </c>
      <c r="J57" s="106">
        <f t="shared" si="1"/>
        <v>3.978082191780822</v>
      </c>
      <c r="K57" s="107">
        <f t="shared" si="2"/>
        <v>2681.2273972602738</v>
      </c>
      <c r="M57" s="102"/>
      <c r="N57" s="102"/>
    </row>
    <row r="58" spans="1:14" ht="30" x14ac:dyDescent="0.25">
      <c r="A58" s="10" t="s">
        <v>146</v>
      </c>
      <c r="B58" s="11" t="s">
        <v>82</v>
      </c>
      <c r="C58" s="12" t="s">
        <v>147</v>
      </c>
      <c r="D58" s="13" t="s">
        <v>16</v>
      </c>
      <c r="E58" s="13" t="s">
        <v>17</v>
      </c>
      <c r="F58" s="38">
        <f>_xlfn.XLOOKUP(B58,'Грант по страни'!$A$2:$A$34,'Грант по страни'!$B$2:$B$34,"")</f>
        <v>606</v>
      </c>
      <c r="G58" s="8">
        <v>45554</v>
      </c>
      <c r="H58" s="8">
        <v>45696</v>
      </c>
      <c r="I58" s="80">
        <f t="shared" si="0"/>
        <v>143</v>
      </c>
      <c r="J58" s="106">
        <f t="shared" si="1"/>
        <v>4.6684931506849319</v>
      </c>
      <c r="K58" s="107">
        <f t="shared" si="2"/>
        <v>2829.1068493150688</v>
      </c>
      <c r="M58" s="102"/>
      <c r="N58" s="102"/>
    </row>
    <row r="59" spans="1:14" ht="30" x14ac:dyDescent="0.25">
      <c r="A59" s="10" t="s">
        <v>148</v>
      </c>
      <c r="B59" s="11" t="s">
        <v>139</v>
      </c>
      <c r="C59" s="12" t="s">
        <v>140</v>
      </c>
      <c r="D59" s="13" t="s">
        <v>30</v>
      </c>
      <c r="E59" s="13" t="s">
        <v>45</v>
      </c>
      <c r="F59" s="38">
        <f>_xlfn.XLOOKUP(B59,'Грант по страни'!$A$2:$A$34,'Грант по страни'!$B$2:$B$34,"")</f>
        <v>674</v>
      </c>
      <c r="G59" s="8">
        <v>45555</v>
      </c>
      <c r="H59" s="8">
        <v>45689</v>
      </c>
      <c r="I59" s="80">
        <f t="shared" si="0"/>
        <v>135</v>
      </c>
      <c r="J59" s="106">
        <f t="shared" si="1"/>
        <v>4.4054794520547942</v>
      </c>
      <c r="K59" s="107">
        <f t="shared" si="2"/>
        <v>2969.2931506849313</v>
      </c>
      <c r="M59" s="102"/>
      <c r="N59" s="102"/>
    </row>
    <row r="60" spans="1:14" ht="30" x14ac:dyDescent="0.25">
      <c r="A60" s="10" t="s">
        <v>149</v>
      </c>
      <c r="B60" s="11" t="s">
        <v>14</v>
      </c>
      <c r="C60" s="12" t="s">
        <v>15</v>
      </c>
      <c r="D60" s="13" t="s">
        <v>21</v>
      </c>
      <c r="E60" s="13" t="s">
        <v>35</v>
      </c>
      <c r="F60" s="38">
        <f>_xlfn.XLOOKUP(B60,'Грант по страни'!$A$2:$A$34,'Грант по страни'!$B$2:$B$34,"")</f>
        <v>674</v>
      </c>
      <c r="G60" s="8">
        <v>45558</v>
      </c>
      <c r="H60" s="8">
        <v>45679</v>
      </c>
      <c r="I60" s="80">
        <f t="shared" si="0"/>
        <v>122</v>
      </c>
      <c r="J60" s="106">
        <f t="shared" si="1"/>
        <v>3.978082191780822</v>
      </c>
      <c r="K60" s="107">
        <f t="shared" si="2"/>
        <v>2681.2273972602738</v>
      </c>
      <c r="M60" s="102"/>
      <c r="N60" s="102"/>
    </row>
    <row r="61" spans="1:14" ht="30" x14ac:dyDescent="0.25">
      <c r="A61" s="10" t="s">
        <v>150</v>
      </c>
      <c r="B61" s="11" t="s">
        <v>24</v>
      </c>
      <c r="C61" s="12" t="s">
        <v>25</v>
      </c>
      <c r="D61" s="13" t="s">
        <v>11</v>
      </c>
      <c r="E61" s="13" t="s">
        <v>135</v>
      </c>
      <c r="F61" s="38">
        <f>_xlfn.XLOOKUP(B61,'Грант по страни'!$A$2:$A$34,'Грант по страни'!$B$2:$B$34,"")</f>
        <v>674</v>
      </c>
      <c r="G61" s="8">
        <v>45558</v>
      </c>
      <c r="H61" s="8">
        <v>45697</v>
      </c>
      <c r="I61" s="80">
        <f t="shared" si="0"/>
        <v>140</v>
      </c>
      <c r="J61" s="106">
        <f t="shared" si="1"/>
        <v>4.5698630136986296</v>
      </c>
      <c r="K61" s="107">
        <f t="shared" si="2"/>
        <v>3080.0876712328763</v>
      </c>
      <c r="M61" s="102"/>
      <c r="N61" s="102"/>
    </row>
    <row r="62" spans="1:14" ht="30" x14ac:dyDescent="0.25">
      <c r="A62" s="10" t="s">
        <v>151</v>
      </c>
      <c r="B62" s="11" t="s">
        <v>53</v>
      </c>
      <c r="C62" s="12" t="s">
        <v>115</v>
      </c>
      <c r="D62" s="13" t="s">
        <v>21</v>
      </c>
      <c r="E62" s="13" t="s">
        <v>132</v>
      </c>
      <c r="F62" s="38">
        <f>_xlfn.XLOOKUP(B62,'Грант по страни'!$A$2:$A$34,'Грант по страни'!$B$2:$B$34,"")</f>
        <v>674</v>
      </c>
      <c r="G62" s="8">
        <v>45555</v>
      </c>
      <c r="H62" s="8">
        <v>45683</v>
      </c>
      <c r="I62" s="80">
        <f t="shared" si="0"/>
        <v>129</v>
      </c>
      <c r="J62" s="106">
        <f t="shared" si="1"/>
        <v>4.2082191780821923</v>
      </c>
      <c r="K62" s="107">
        <f t="shared" si="2"/>
        <v>2836.3397260273978</v>
      </c>
      <c r="M62" s="102"/>
      <c r="N62" s="102"/>
    </row>
    <row r="63" spans="1:14" ht="30" x14ac:dyDescent="0.25">
      <c r="A63" s="10" t="s">
        <v>152</v>
      </c>
      <c r="B63" s="11" t="s">
        <v>153</v>
      </c>
      <c r="C63" s="12" t="s">
        <v>154</v>
      </c>
      <c r="D63" s="13" t="s">
        <v>30</v>
      </c>
      <c r="E63" s="13" t="s">
        <v>31</v>
      </c>
      <c r="F63" s="38">
        <f>_xlfn.XLOOKUP(B63,'Грант по страни'!$A$2:$A$34,'Грант по страни'!$B$2:$B$34,"")</f>
        <v>606</v>
      </c>
      <c r="G63" s="8">
        <v>45553</v>
      </c>
      <c r="H63" s="8">
        <v>45675</v>
      </c>
      <c r="I63" s="80">
        <f t="shared" si="0"/>
        <v>123</v>
      </c>
      <c r="J63" s="106">
        <f t="shared" si="1"/>
        <v>4.0109589041095894</v>
      </c>
      <c r="K63" s="107">
        <f t="shared" si="2"/>
        <v>2430.6410958904112</v>
      </c>
      <c r="M63" s="102"/>
      <c r="N63" s="102"/>
    </row>
    <row r="64" spans="1:14" ht="30" x14ac:dyDescent="0.25">
      <c r="A64" s="10" t="s">
        <v>155</v>
      </c>
      <c r="B64" s="11" t="s">
        <v>96</v>
      </c>
      <c r="C64" s="12" t="s">
        <v>144</v>
      </c>
      <c r="D64" s="13" t="s">
        <v>21</v>
      </c>
      <c r="E64" s="13" t="s">
        <v>35</v>
      </c>
      <c r="F64" s="38">
        <f>_xlfn.XLOOKUP(B64,'Грант по страни'!$A$2:$A$34,'Грант по страни'!$B$2:$B$34,"")</f>
        <v>606</v>
      </c>
      <c r="G64" s="8">
        <v>45564</v>
      </c>
      <c r="H64" s="8">
        <v>45710</v>
      </c>
      <c r="I64" s="80">
        <f t="shared" si="0"/>
        <v>147</v>
      </c>
      <c r="J64" s="106">
        <f t="shared" si="1"/>
        <v>4.8000000000000007</v>
      </c>
      <c r="K64" s="107">
        <f t="shared" si="2"/>
        <v>2908.8000000000006</v>
      </c>
      <c r="M64" s="102"/>
      <c r="N64" s="102"/>
    </row>
    <row r="65" spans="1:14" ht="30" x14ac:dyDescent="0.25">
      <c r="A65" s="10" t="s">
        <v>156</v>
      </c>
      <c r="B65" s="11" t="s">
        <v>9</v>
      </c>
      <c r="C65" s="12" t="s">
        <v>10</v>
      </c>
      <c r="D65" s="13" t="s">
        <v>11</v>
      </c>
      <c r="E65" s="13" t="s">
        <v>71</v>
      </c>
      <c r="F65" s="38">
        <f>_xlfn.XLOOKUP(B65,'Грант по страни'!$A$2:$A$34,'Грант по страни'!$B$2:$B$34,"")</f>
        <v>606</v>
      </c>
      <c r="G65" s="8">
        <v>45557</v>
      </c>
      <c r="H65" s="8">
        <v>45690</v>
      </c>
      <c r="I65" s="80">
        <f t="shared" si="0"/>
        <v>134</v>
      </c>
      <c r="J65" s="106">
        <f t="shared" si="1"/>
        <v>4.3726027397260276</v>
      </c>
      <c r="K65" s="107">
        <f t="shared" si="2"/>
        <v>2649.7972602739728</v>
      </c>
      <c r="M65" s="102"/>
      <c r="N65" s="102"/>
    </row>
    <row r="66" spans="1:14" ht="30" x14ac:dyDescent="0.25">
      <c r="A66" s="10" t="s">
        <v>157</v>
      </c>
      <c r="B66" s="11" t="s">
        <v>9</v>
      </c>
      <c r="C66" s="12" t="s">
        <v>10</v>
      </c>
      <c r="D66" s="13" t="s">
        <v>21</v>
      </c>
      <c r="E66" s="13" t="s">
        <v>22</v>
      </c>
      <c r="F66" s="38">
        <f>_xlfn.XLOOKUP(B66,'Грант по страни'!$A$2:$A$34,'Грант по страни'!$B$2:$B$34,"")</f>
        <v>606</v>
      </c>
      <c r="G66" s="8">
        <v>45560</v>
      </c>
      <c r="H66" s="8">
        <v>45695</v>
      </c>
      <c r="I66" s="80">
        <f t="shared" si="0"/>
        <v>136</v>
      </c>
      <c r="J66" s="106">
        <f t="shared" si="1"/>
        <v>4.4383561643835616</v>
      </c>
      <c r="K66" s="107">
        <f t="shared" si="2"/>
        <v>2689.6438356164385</v>
      </c>
      <c r="M66" s="102"/>
      <c r="N66" s="102"/>
    </row>
    <row r="67" spans="1:14" ht="30" x14ac:dyDescent="0.25">
      <c r="A67" s="10" t="s">
        <v>158</v>
      </c>
      <c r="B67" s="11" t="s">
        <v>39</v>
      </c>
      <c r="C67" s="12" t="s">
        <v>159</v>
      </c>
      <c r="D67" s="13" t="s">
        <v>11</v>
      </c>
      <c r="E67" s="13" t="s">
        <v>12</v>
      </c>
      <c r="F67" s="38">
        <f>_xlfn.XLOOKUP(B67,'Грант по страни'!$A$2:$A$34,'Грант по страни'!$B$2:$B$34,"")</f>
        <v>674</v>
      </c>
      <c r="G67" s="8">
        <v>45553</v>
      </c>
      <c r="H67" s="8">
        <v>45701</v>
      </c>
      <c r="I67" s="80">
        <f t="shared" si="0"/>
        <v>149</v>
      </c>
      <c r="J67" s="106">
        <f t="shared" si="1"/>
        <v>4.8657534246575338</v>
      </c>
      <c r="K67" s="107">
        <f t="shared" si="2"/>
        <v>3279.5178082191778</v>
      </c>
      <c r="M67" s="102"/>
      <c r="N67" s="102"/>
    </row>
    <row r="68" spans="1:14" ht="30" x14ac:dyDescent="0.25">
      <c r="A68" s="10" t="s">
        <v>160</v>
      </c>
      <c r="B68" s="11" t="s">
        <v>47</v>
      </c>
      <c r="C68" s="12" t="s">
        <v>161</v>
      </c>
      <c r="D68" s="13" t="s">
        <v>16</v>
      </c>
      <c r="E68" s="13" t="s">
        <v>17</v>
      </c>
      <c r="F68" s="38">
        <f>_xlfn.XLOOKUP(B68,'Грант по страни'!$A$2:$A$34,'Грант по страни'!$B$2:$B$34,"")</f>
        <v>674</v>
      </c>
      <c r="G68" s="8">
        <v>45553</v>
      </c>
      <c r="H68" s="8">
        <v>45676</v>
      </c>
      <c r="I68" s="80">
        <f t="shared" si="0"/>
        <v>124</v>
      </c>
      <c r="J68" s="106">
        <f t="shared" si="1"/>
        <v>4.043835616438356</v>
      </c>
      <c r="K68" s="107">
        <f t="shared" si="2"/>
        <v>2725.5452054794519</v>
      </c>
      <c r="M68" s="102"/>
      <c r="N68" s="102"/>
    </row>
    <row r="69" spans="1:14" ht="30" x14ac:dyDescent="0.25">
      <c r="A69" s="10" t="s">
        <v>162</v>
      </c>
      <c r="B69" s="11" t="s">
        <v>89</v>
      </c>
      <c r="C69" s="12" t="s">
        <v>163</v>
      </c>
      <c r="D69" s="13" t="s">
        <v>11</v>
      </c>
      <c r="E69" s="13" t="s">
        <v>71</v>
      </c>
      <c r="F69" s="38">
        <f>_xlfn.XLOOKUP(B69,'Грант по страни'!$A$2:$A$34,'Грант по страни'!$B$2:$B$34,"")</f>
        <v>606</v>
      </c>
      <c r="G69" s="8">
        <v>45555</v>
      </c>
      <c r="H69" s="8">
        <v>45689</v>
      </c>
      <c r="I69" s="80">
        <f t="shared" ref="I69:I73" si="9">H69-G69+1</f>
        <v>135</v>
      </c>
      <c r="J69" s="106">
        <f t="shared" ref="J69:J73" si="10">YEARFRAC(G69,H69,1)*12</f>
        <v>4.4054794520547942</v>
      </c>
      <c r="K69" s="107">
        <f t="shared" ref="K69:K73" si="11">F69*J69</f>
        <v>2669.7205479452055</v>
      </c>
      <c r="M69" s="102"/>
      <c r="N69" s="102"/>
    </row>
    <row r="70" spans="1:14" ht="30" x14ac:dyDescent="0.25">
      <c r="A70" s="10" t="s">
        <v>164</v>
      </c>
      <c r="B70" s="11" t="s">
        <v>96</v>
      </c>
      <c r="C70" s="12" t="s">
        <v>123</v>
      </c>
      <c r="D70" s="13" t="s">
        <v>16</v>
      </c>
      <c r="E70" s="13" t="s">
        <v>74</v>
      </c>
      <c r="F70" s="38">
        <f>_xlfn.XLOOKUP(B70,'Грант по страни'!$A$2:$A$34,'Грант по страни'!$B$2:$B$34,"")</f>
        <v>606</v>
      </c>
      <c r="G70" s="8">
        <v>45558</v>
      </c>
      <c r="H70" s="8">
        <v>45706</v>
      </c>
      <c r="I70" s="80">
        <f t="shared" si="9"/>
        <v>149</v>
      </c>
      <c r="J70" s="106">
        <f t="shared" si="10"/>
        <v>4.8657534246575338</v>
      </c>
      <c r="K70" s="107">
        <f t="shared" si="11"/>
        <v>2948.6465753424654</v>
      </c>
      <c r="M70" s="102"/>
      <c r="N70" s="102"/>
    </row>
    <row r="71" spans="1:14" ht="30" x14ac:dyDescent="0.25">
      <c r="A71" s="10" t="s">
        <v>165</v>
      </c>
      <c r="B71" s="11" t="s">
        <v>24</v>
      </c>
      <c r="C71" s="12" t="s">
        <v>25</v>
      </c>
      <c r="D71" s="13" t="s">
        <v>16</v>
      </c>
      <c r="E71" s="13" t="s">
        <v>64</v>
      </c>
      <c r="F71" s="38">
        <f>_xlfn.XLOOKUP(B71,'Грант по страни'!$A$2:$A$34,'Грант по страни'!$B$2:$B$34,"")</f>
        <v>674</v>
      </c>
      <c r="G71" s="8">
        <v>45556</v>
      </c>
      <c r="H71" s="8">
        <v>45686</v>
      </c>
      <c r="I71" s="80">
        <f t="shared" si="9"/>
        <v>131</v>
      </c>
      <c r="J71" s="106">
        <f t="shared" si="10"/>
        <v>4.2739726027397253</v>
      </c>
      <c r="K71" s="107">
        <f t="shared" si="11"/>
        <v>2880.6575342465749</v>
      </c>
      <c r="M71" s="102"/>
      <c r="N71" s="102"/>
    </row>
    <row r="72" spans="1:14" ht="30" x14ac:dyDescent="0.25">
      <c r="A72" s="10" t="s">
        <v>166</v>
      </c>
      <c r="B72" s="11" t="s">
        <v>43</v>
      </c>
      <c r="C72" s="12" t="s">
        <v>44</v>
      </c>
      <c r="D72" s="13" t="s">
        <v>11</v>
      </c>
      <c r="E72" s="13" t="s">
        <v>12</v>
      </c>
      <c r="F72" s="38">
        <f>_xlfn.XLOOKUP(B72,'Грант по страни'!$A$2:$A$34,'Грант по страни'!$B$2:$B$34,"")</f>
        <v>674</v>
      </c>
      <c r="G72" s="8">
        <v>45562</v>
      </c>
      <c r="H72" s="8">
        <v>45703</v>
      </c>
      <c r="I72" s="80">
        <f t="shared" si="9"/>
        <v>142</v>
      </c>
      <c r="J72" s="106">
        <f t="shared" si="10"/>
        <v>4.6356164383561644</v>
      </c>
      <c r="K72" s="107">
        <f t="shared" si="11"/>
        <v>3124.4054794520548</v>
      </c>
      <c r="M72" s="102"/>
      <c r="N72" s="102"/>
    </row>
    <row r="73" spans="1:14" ht="30" x14ac:dyDescent="0.25">
      <c r="A73" s="10" t="s">
        <v>167</v>
      </c>
      <c r="B73" s="11" t="s">
        <v>92</v>
      </c>
      <c r="C73" s="12" t="s">
        <v>168</v>
      </c>
      <c r="D73" s="13" t="s">
        <v>30</v>
      </c>
      <c r="E73" s="13" t="s">
        <v>31</v>
      </c>
      <c r="F73" s="38">
        <f>_xlfn.XLOOKUP(B73,'Грант по страни'!$A$2:$A$34,'Грант по страни'!$B$2:$B$34,"")</f>
        <v>674</v>
      </c>
      <c r="G73" s="8">
        <v>45555</v>
      </c>
      <c r="H73" s="8">
        <v>45697</v>
      </c>
      <c r="I73" s="80">
        <f t="shared" si="9"/>
        <v>143</v>
      </c>
      <c r="J73" s="106">
        <f t="shared" si="10"/>
        <v>4.6684931506849319</v>
      </c>
      <c r="K73" s="107">
        <f t="shared" si="11"/>
        <v>3146.5643835616443</v>
      </c>
      <c r="M73" s="102"/>
      <c r="N73" s="102"/>
    </row>
  </sheetData>
  <mergeCells count="15">
    <mergeCell ref="C1:K1"/>
    <mergeCell ref="O38:P38"/>
    <mergeCell ref="O39:P39"/>
    <mergeCell ref="S4:T4"/>
    <mergeCell ref="S12:T12"/>
    <mergeCell ref="S1:T1"/>
    <mergeCell ref="S20:T20"/>
    <mergeCell ref="O4:P4"/>
    <mergeCell ref="O12:P12"/>
    <mergeCell ref="O29:P29"/>
    <mergeCell ref="O37:P37"/>
    <mergeCell ref="O20:P20"/>
    <mergeCell ref="O1:P1"/>
    <mergeCell ref="O30:P30"/>
    <mergeCell ref="O31:P31"/>
  </mergeCells>
  <conditionalFormatting sqref="K4:K73">
    <cfRule type="aboveAverage" dxfId="10" priority="1"/>
  </conditionalFormatting>
  <dataValidations count="2">
    <dataValidation type="date" operator="greaterThanOrEqual" allowBlank="1" showInputMessage="1" showErrorMessage="1" errorTitle="Въведете отново дата!" error="Въведената дата за край на престоя е преди началото на престоя" sqref="H4:H73" xr:uid="{0E010242-1AEF-4569-9FBC-C1488E9CD466}">
      <formula1>G4</formula1>
    </dataValidation>
    <dataValidation type="list" allowBlank="1" showInputMessage="1" showErrorMessage="1" sqref="Q3" xr:uid="{4D0AAC1A-309D-4EFC-AF21-7B51CC74AC81}">
      <formula1>Страни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7C60-1BFB-4F24-A3BA-FF4F3EDA03CB}">
  <dimension ref="A1:J29"/>
  <sheetViews>
    <sheetView tabSelected="1" workbookViewId="0">
      <selection activeCell="G33" sqref="G33"/>
    </sheetView>
  </sheetViews>
  <sheetFormatPr defaultRowHeight="15" x14ac:dyDescent="0.25"/>
  <cols>
    <col min="1" max="1" width="16.42578125" bestFit="1" customWidth="1"/>
    <col min="2" max="2" width="21.85546875" bestFit="1" customWidth="1"/>
    <col min="3" max="3" width="27.5703125" bestFit="1" customWidth="1"/>
    <col min="4" max="4" width="25.85546875" bestFit="1" customWidth="1"/>
    <col min="5" max="5" width="34.42578125" bestFit="1" customWidth="1"/>
    <col min="6" max="6" width="12.7109375" customWidth="1"/>
    <col min="9" max="9" width="16.7109375" customWidth="1"/>
    <col min="10" max="10" width="23.7109375" customWidth="1"/>
  </cols>
  <sheetData>
    <row r="1" spans="1:10" x14ac:dyDescent="0.25">
      <c r="A1" s="114" t="s">
        <v>270</v>
      </c>
      <c r="B1" s="114"/>
      <c r="C1" s="114"/>
      <c r="D1" s="114"/>
      <c r="E1" s="114"/>
      <c r="F1" s="114"/>
    </row>
    <row r="2" spans="1:10" x14ac:dyDescent="0.25">
      <c r="I2" s="109" t="s">
        <v>273</v>
      </c>
    </row>
    <row r="3" spans="1:10" x14ac:dyDescent="0.25">
      <c r="A3" t="s">
        <v>177</v>
      </c>
      <c r="B3" t="s">
        <v>16</v>
      </c>
      <c r="C3" t="s">
        <v>30</v>
      </c>
      <c r="D3" t="s">
        <v>11</v>
      </c>
      <c r="E3" t="s">
        <v>21</v>
      </c>
      <c r="F3" t="s">
        <v>170</v>
      </c>
      <c r="I3" s="9" t="s">
        <v>177</v>
      </c>
      <c r="J3" s="110" t="s">
        <v>24</v>
      </c>
    </row>
    <row r="4" spans="1:10" x14ac:dyDescent="0.25">
      <c r="A4" t="s">
        <v>111</v>
      </c>
      <c r="B4" s="108" cm="1">
        <f t="array" ref="B4">COUNTIFS(Еразъм!$B$4:$B$73,Table6[[#This Row],[Страна]:[Страна]],Еразъм!$D$4:$D$73,Table6[[#Headers],[Стопански факултет]])</f>
        <v>1</v>
      </c>
      <c r="C4" s="108" cm="1">
        <f t="array" ref="C4">COUNTIFS(Еразъм!$B$4:$B$73,Table6[[#This Row],[Страна]:[Страна]],Еразъм!$D$4:$D$73,Table6[[#Headers],[Факултет "Информатика"]])</f>
        <v>0</v>
      </c>
      <c r="D4" s="108" cm="1">
        <f t="array" ref="D4">COUNTIFS(Еразъм!$B$4:$B$73,Table6[[#This Row],[Страна]:[Страна]],Еразъм!$D$4:$D$73,Table6[[#Headers],[Факултет "Управление"]])</f>
        <v>0</v>
      </c>
      <c r="E4" s="108" cm="1">
        <f t="array" ref="E4">COUNTIFS(Еразъм!$B$4:$B$73,Table6[[#This Row],[Страна]:[Страна]],Еразъм!$D$4:$D$73,Table6[[#Headers],[Финансово-счетоводен факултет]])</f>
        <v>0</v>
      </c>
      <c r="F4" s="108">
        <f>SUM(Table6[[#This Row],[Стопански факултет]:[Финансово-счетоводен факултет]])</f>
        <v>1</v>
      </c>
      <c r="I4" s="9" t="s">
        <v>271</v>
      </c>
      <c r="J4" s="9"/>
    </row>
    <row r="5" spans="1:10" x14ac:dyDescent="0.25">
      <c r="A5" t="s">
        <v>128</v>
      </c>
      <c r="B5" s="108" cm="1">
        <f t="array" ref="B5">COUNTIFS(Еразъм!$B$4:$B$73,Table6[[#This Row],[Страна]:[Страна]],Еразъм!$D$4:$D$73,Table6[[#Headers],[Стопански факултет]])</f>
        <v>1</v>
      </c>
      <c r="C5" s="108" cm="1">
        <f t="array" ref="C5">COUNTIFS(Еразъм!$B$4:$B$73,Table6[[#This Row],[Страна]:[Страна]],Еразъм!$D$4:$D$73,Table6[[#Headers],[Факултет "Информатика"]])</f>
        <v>0</v>
      </c>
      <c r="D5" s="108" cm="1">
        <f t="array" ref="D5">COUNTIFS(Еразъм!$B$4:$B$73,Table6[[#This Row],[Страна]:[Страна]],Еразъм!$D$4:$D$73,Table6[[#Headers],[Факултет "Управление"]])</f>
        <v>0</v>
      </c>
      <c r="E5" s="108" cm="1">
        <f t="array" ref="E5">COUNTIFS(Еразъм!$B$4:$B$73,Table6[[#This Row],[Страна]:[Страна]],Еразъм!$D$4:$D$73,Table6[[#Headers],[Финансово-счетоводен факултет]])</f>
        <v>0</v>
      </c>
      <c r="F5" s="108">
        <f>SUM(Table6[[#This Row],[Стопански факултет]:[Финансово-счетоводен факултет]])</f>
        <v>1</v>
      </c>
      <c r="I5" s="9" t="s">
        <v>271</v>
      </c>
      <c r="J5" s="9"/>
    </row>
    <row r="6" spans="1:10" x14ac:dyDescent="0.25">
      <c r="A6" t="s">
        <v>67</v>
      </c>
      <c r="B6" s="108" cm="1">
        <f t="array" ref="B6">COUNTIFS(Еразъм!$B$4:$B$73,Table6[[#This Row],[Страна]:[Страна]],Еразъм!$D$4:$D$73,Table6[[#Headers],[Стопански факултет]])</f>
        <v>0</v>
      </c>
      <c r="C6" s="108" cm="1">
        <f t="array" ref="C6">COUNTIFS(Еразъм!$B$4:$B$73,Table6[[#This Row],[Страна]:[Страна]],Еразъм!$D$4:$D$73,Table6[[#Headers],[Факултет "Информатика"]])</f>
        <v>1</v>
      </c>
      <c r="D6" s="108" cm="1">
        <f t="array" ref="D6">COUNTIFS(Еразъм!$B$4:$B$73,Table6[[#This Row],[Страна]:[Страна]],Еразъм!$D$4:$D$73,Table6[[#Headers],[Факултет "Управление"]])</f>
        <v>0</v>
      </c>
      <c r="E6" s="108" cm="1">
        <f t="array" ref="E6">COUNTIFS(Еразъм!$B$4:$B$73,Table6[[#This Row],[Страна]:[Страна]],Еразъм!$D$4:$D$73,Table6[[#Headers],[Финансово-счетоводен факултет]])</f>
        <v>1</v>
      </c>
      <c r="F6" s="108">
        <f>SUM(Table6[[#This Row],[Стопански факултет]:[Финансово-счетоводен факултет]])</f>
        <v>2</v>
      </c>
    </row>
    <row r="7" spans="1:10" x14ac:dyDescent="0.25">
      <c r="A7" t="s">
        <v>19</v>
      </c>
      <c r="B7" s="108" cm="1">
        <f t="array" ref="B7">COUNTIFS(Еразъм!$B$4:$B$73,Table6[[#This Row],[Страна]:[Страна]],Еразъм!$D$4:$D$73,Table6[[#Headers],[Стопански факултет]])</f>
        <v>1</v>
      </c>
      <c r="C7" s="108" cm="1">
        <f t="array" ref="C7">COUNTIFS(Еразъм!$B$4:$B$73,Table6[[#This Row],[Страна]:[Страна]],Еразъм!$D$4:$D$73,Table6[[#Headers],[Факултет "Информатика"]])</f>
        <v>0</v>
      </c>
      <c r="D7" s="108" cm="1">
        <f t="array" ref="D7">COUNTIFS(Еразъм!$B$4:$B$73,Table6[[#This Row],[Страна]:[Страна]],Еразъм!$D$4:$D$73,Table6[[#Headers],[Факултет "Управление"]])</f>
        <v>0</v>
      </c>
      <c r="E7" s="108" cm="1">
        <f t="array" ref="E7">COUNTIFS(Еразъм!$B$4:$B$73,Table6[[#This Row],[Страна]:[Страна]],Еразъм!$D$4:$D$73,Table6[[#Headers],[Финансово-счетоводен факултет]])</f>
        <v>1</v>
      </c>
      <c r="F7" s="108">
        <f>SUM(Table6[[#This Row],[Стопански факултет]:[Финансово-счетоводен факултет]])</f>
        <v>2</v>
      </c>
    </row>
    <row r="8" spans="1:10" x14ac:dyDescent="0.25">
      <c r="A8" t="s">
        <v>24</v>
      </c>
      <c r="B8" s="108" cm="1">
        <f t="array" ref="B8">COUNTIFS(Еразъм!$B$4:$B$73,Table6[[#This Row],[Страна]:[Страна]],Еразъм!$D$4:$D$73,Table6[[#Headers],[Стопански факултет]])</f>
        <v>2</v>
      </c>
      <c r="C8" s="108" cm="1">
        <f t="array" ref="C8">COUNTIFS(Еразъм!$B$4:$B$73,Table6[[#This Row],[Страна]:[Страна]],Еразъм!$D$4:$D$73,Table6[[#Headers],[Факултет "Информатика"]])</f>
        <v>1</v>
      </c>
      <c r="D8" s="108" cm="1">
        <f t="array" ref="D8">COUNTIFS(Еразъм!$B$4:$B$73,Table6[[#This Row],[Страна]:[Страна]],Еразъм!$D$4:$D$73,Table6[[#Headers],[Факултет "Управление"]])</f>
        <v>1</v>
      </c>
      <c r="E8" s="108" cm="1">
        <f t="array" ref="E8">COUNTIFS(Еразъм!$B$4:$B$73,Table6[[#This Row],[Страна]:[Страна]],Еразъм!$D$4:$D$73,Table6[[#Headers],[Финансово-счетоводен факултет]])</f>
        <v>2</v>
      </c>
      <c r="F8" s="108">
        <f>SUM(Table6[[#This Row],[Стопански факултет]:[Финансово-счетоводен факултет]])</f>
        <v>6</v>
      </c>
      <c r="I8" s="109" t="s">
        <v>272</v>
      </c>
    </row>
    <row r="9" spans="1:10" x14ac:dyDescent="0.25">
      <c r="A9" t="s">
        <v>33</v>
      </c>
      <c r="B9" s="108" cm="1">
        <f t="array" ref="B9">COUNTIFS(Еразъм!$B$4:$B$73,Table6[[#This Row],[Страна]:[Страна]],Еразъм!$D$4:$D$73,Table6[[#Headers],[Стопански факултет]])</f>
        <v>1</v>
      </c>
      <c r="C9" s="108" cm="1">
        <f t="array" ref="C9">COUNTIFS(Еразъм!$B$4:$B$73,Table6[[#This Row],[Страна]:[Страна]],Еразъм!$D$4:$D$73,Table6[[#Headers],[Факултет "Информатика"]])</f>
        <v>0</v>
      </c>
      <c r="D9" s="108" cm="1">
        <f t="array" ref="D9">COUNTIFS(Еразъм!$B$4:$B$73,Table6[[#This Row],[Страна]:[Страна]],Еразъм!$D$4:$D$73,Table6[[#Headers],[Факултет "Управление"]])</f>
        <v>2</v>
      </c>
      <c r="E9" s="108" cm="1">
        <f t="array" ref="E9">COUNTIFS(Еразъм!$B$4:$B$73,Table6[[#This Row],[Страна]:[Страна]],Еразъм!$D$4:$D$73,Table6[[#Headers],[Финансово-счетоводен факултет]])</f>
        <v>2</v>
      </c>
      <c r="F9" s="108">
        <f>SUM(Table6[[#This Row],[Стопански факултет]:[Финансово-счетоводен факултет]])</f>
        <v>5</v>
      </c>
      <c r="I9" s="9" t="s">
        <v>177</v>
      </c>
      <c r="J9" s="110" t="s">
        <v>96</v>
      </c>
    </row>
    <row r="10" spans="1:10" ht="15.75" customHeight="1" x14ac:dyDescent="0.25">
      <c r="A10" t="s">
        <v>14</v>
      </c>
      <c r="B10" s="108" cm="1">
        <f t="array" ref="B10">COUNTIFS(Еразъм!$B$4:$B$73,Table6[[#This Row],[Страна]:[Страна]],Еразъм!$D$4:$D$73,Table6[[#Headers],[Стопански факултет]])</f>
        <v>1</v>
      </c>
      <c r="C10" s="108" cm="1">
        <f t="array" ref="C10">COUNTIFS(Еразъм!$B$4:$B$73,Table6[[#This Row],[Страна]:[Страна]],Еразъм!$D$4:$D$73,Table6[[#Headers],[Факултет "Информатика"]])</f>
        <v>0</v>
      </c>
      <c r="D10" s="108" cm="1">
        <f t="array" ref="D10">COUNTIFS(Еразъм!$B$4:$B$73,Table6[[#This Row],[Страна]:[Страна]],Еразъм!$D$4:$D$73,Table6[[#Headers],[Факултет "Управление"]])</f>
        <v>0</v>
      </c>
      <c r="E10" s="108" cm="1">
        <f t="array" ref="E10">COUNTIFS(Еразъм!$B$4:$B$73,Table6[[#This Row],[Страна]:[Страна]],Еразъм!$D$4:$D$73,Table6[[#Headers],[Финансово-счетоводен факултет]])</f>
        <v>1</v>
      </c>
      <c r="F10" s="108">
        <f>SUM(Table6[[#This Row],[Стопански факултет]:[Финансово-счетоводен факултет]])</f>
        <v>2</v>
      </c>
      <c r="I10" s="9" t="s">
        <v>2</v>
      </c>
      <c r="J10" s="110" t="s">
        <v>16</v>
      </c>
    </row>
    <row r="11" spans="1:10" x14ac:dyDescent="0.25">
      <c r="A11" t="s">
        <v>9</v>
      </c>
      <c r="B11" s="108" cm="1">
        <f t="array" ref="B11">COUNTIFS(Еразъм!$B$4:$B$73,Table6[[#This Row],[Страна]:[Страна]],Еразъм!$D$4:$D$73,Table6[[#Headers],[Стопански факултет]])</f>
        <v>0</v>
      </c>
      <c r="C11" s="108" cm="1">
        <f t="array" ref="C11">COUNTIFS(Еразъм!$B$4:$B$73,Table6[[#This Row],[Страна]:[Страна]],Еразъм!$D$4:$D$73,Table6[[#Headers],[Факултет "Информатика"]])</f>
        <v>1</v>
      </c>
      <c r="D11" s="108" cm="1">
        <f t="array" ref="D11">COUNTIFS(Еразъм!$B$4:$B$73,Table6[[#This Row],[Страна]:[Страна]],Еразъм!$D$4:$D$73,Table6[[#Headers],[Факултет "Управление"]])</f>
        <v>4</v>
      </c>
      <c r="E11" s="108" cm="1">
        <f t="array" ref="E11">COUNTIFS(Еразъм!$B$4:$B$73,Table6[[#This Row],[Страна]:[Страна]],Еразъм!$D$4:$D$73,Table6[[#Headers],[Финансово-счетоводен факултет]])</f>
        <v>1</v>
      </c>
      <c r="F11" s="108">
        <f>SUM(Table6[[#This Row],[Стопански факултет]:[Финансово-счетоводен факултет]])</f>
        <v>6</v>
      </c>
      <c r="I11" s="9" t="s">
        <v>271</v>
      </c>
      <c r="J11" s="111" cm="1">
        <f t="array" ref="J11">_xlfn.IFNA(_xlfn.XLOOKUP(J10,Table6[[#Headers],[Стопански факултет]:[Финансово-счетоводен факултет]],_xlfn.XLOOKUP(J9,Table6[Страна],Table6[[Стопански факултет]:[Финансово-счетоводен факултет]])),"")</f>
        <v>4</v>
      </c>
    </row>
    <row r="12" spans="1:10" x14ac:dyDescent="0.25">
      <c r="A12" t="s">
        <v>43</v>
      </c>
      <c r="B12" s="108" cm="1">
        <f t="array" ref="B12">COUNTIFS(Еразъм!$B$4:$B$73,Table6[[#This Row],[Страна]:[Страна]],Еразъм!$D$4:$D$73,Table6[[#Headers],[Стопански факултет]])</f>
        <v>1</v>
      </c>
      <c r="C12" s="108" cm="1">
        <f t="array" ref="C12">COUNTIFS(Еразъм!$B$4:$B$73,Table6[[#This Row],[Страна]:[Страна]],Еразъм!$D$4:$D$73,Table6[[#Headers],[Факултет "Информатика"]])</f>
        <v>1</v>
      </c>
      <c r="D12" s="108" cm="1">
        <f t="array" ref="D12">COUNTIFS(Еразъм!$B$4:$B$73,Table6[[#This Row],[Страна]:[Страна]],Еразъм!$D$4:$D$73,Table6[[#Headers],[Факултет "Управление"]])</f>
        <v>2</v>
      </c>
      <c r="E12" s="108" cm="1">
        <f t="array" ref="E12">COUNTIFS(Еразъм!$B$4:$B$73,Table6[[#This Row],[Страна]:[Страна]],Еразъм!$D$4:$D$73,Table6[[#Headers],[Финансово-счетоводен факултет]])</f>
        <v>1</v>
      </c>
      <c r="F12" s="108">
        <f>SUM(Table6[[#This Row],[Стопански факултет]:[Финансово-счетоводен факултет]])</f>
        <v>5</v>
      </c>
    </row>
    <row r="13" spans="1:10" x14ac:dyDescent="0.25">
      <c r="A13" t="s">
        <v>39</v>
      </c>
      <c r="B13" s="108" cm="1">
        <f t="array" ref="B13">COUNTIFS(Еразъм!$B$4:$B$73,Table6[[#This Row],[Страна]:[Страна]],Еразъм!$D$4:$D$73,Table6[[#Headers],[Стопански факултет]])</f>
        <v>1</v>
      </c>
      <c r="C13" s="108" cm="1">
        <f t="array" ref="C13">COUNTIFS(Еразъм!$B$4:$B$73,Table6[[#This Row],[Страна]:[Страна]],Еразъм!$D$4:$D$73,Table6[[#Headers],[Факултет "Информатика"]])</f>
        <v>1</v>
      </c>
      <c r="D13" s="108" cm="1">
        <f t="array" ref="D13">COUNTIFS(Еразъм!$B$4:$B$73,Table6[[#This Row],[Страна]:[Страна]],Еразъм!$D$4:$D$73,Table6[[#Headers],[Факултет "Управление"]])</f>
        <v>2</v>
      </c>
      <c r="E13" s="108" cm="1">
        <f t="array" ref="E13">COUNTIFS(Еразъм!$B$4:$B$73,Table6[[#This Row],[Страна]:[Страна]],Еразъм!$D$4:$D$73,Table6[[#Headers],[Финансово-счетоводен факултет]])</f>
        <v>0</v>
      </c>
      <c r="F13" s="108">
        <f>SUM(Table6[[#This Row],[Стопански факултет]:[Финансово-счетоводен факултет]])</f>
        <v>4</v>
      </c>
    </row>
    <row r="14" spans="1:10" x14ac:dyDescent="0.25">
      <c r="A14" t="s">
        <v>47</v>
      </c>
      <c r="B14" s="108" cm="1">
        <f t="array" ref="B14">COUNTIFS(Еразъм!$B$4:$B$73,Table6[[#This Row],[Страна]:[Страна]],Еразъм!$D$4:$D$73,Table6[[#Headers],[Стопански факултет]])</f>
        <v>1</v>
      </c>
      <c r="C14" s="108" cm="1">
        <f t="array" ref="C14">COUNTIFS(Еразъм!$B$4:$B$73,Table6[[#This Row],[Страна]:[Страна]],Еразъм!$D$4:$D$73,Table6[[#Headers],[Факултет "Информатика"]])</f>
        <v>1</v>
      </c>
      <c r="D14" s="108" cm="1">
        <f t="array" ref="D14">COUNTIFS(Еразъм!$B$4:$B$73,Table6[[#This Row],[Страна]:[Страна]],Еразъм!$D$4:$D$73,Table6[[#Headers],[Факултет "Управление"]])</f>
        <v>0</v>
      </c>
      <c r="E14" s="108" cm="1">
        <f t="array" ref="E14">COUNTIFS(Еразъм!$B$4:$B$73,Table6[[#This Row],[Страна]:[Страна]],Еразъм!$D$4:$D$73,Table6[[#Headers],[Финансово-счетоводен факултет]])</f>
        <v>1</v>
      </c>
      <c r="F14" s="108">
        <f>SUM(Table6[[#This Row],[Стопански факултет]:[Финансово-счетоводен факултет]])</f>
        <v>3</v>
      </c>
    </row>
    <row r="15" spans="1:10" x14ac:dyDescent="0.25">
      <c r="A15" t="s">
        <v>105</v>
      </c>
      <c r="B15" s="108" cm="1">
        <f t="array" ref="B15">COUNTIFS(Еразъм!$B$4:$B$73,Table6[[#This Row],[Страна]:[Страна]],Еразъм!$D$4:$D$73,Table6[[#Headers],[Стопански факултет]])</f>
        <v>1</v>
      </c>
      <c r="C15" s="108" cm="1">
        <f t="array" ref="C15">COUNTIFS(Еразъм!$B$4:$B$73,Table6[[#This Row],[Страна]:[Страна]],Еразъм!$D$4:$D$73,Table6[[#Headers],[Факултет "Информатика"]])</f>
        <v>0</v>
      </c>
      <c r="D15" s="108" cm="1">
        <f t="array" ref="D15">COUNTIFS(Еразъм!$B$4:$B$73,Table6[[#This Row],[Страна]:[Страна]],Еразъм!$D$4:$D$73,Table6[[#Headers],[Факултет "Управление"]])</f>
        <v>1</v>
      </c>
      <c r="E15" s="108" cm="1">
        <f t="array" ref="E15">COUNTIFS(Еразъм!$B$4:$B$73,Table6[[#This Row],[Страна]:[Страна]],Еразъм!$D$4:$D$73,Table6[[#Headers],[Финансово-счетоводен факултет]])</f>
        <v>0</v>
      </c>
      <c r="F15" s="108">
        <f>SUM(Table6[[#This Row],[Стопански факултет]:[Финансово-счетоводен факултет]])</f>
        <v>2</v>
      </c>
    </row>
    <row r="16" spans="1:10" x14ac:dyDescent="0.25">
      <c r="A16" t="s">
        <v>53</v>
      </c>
      <c r="B16" s="108" cm="1">
        <f t="array" ref="B16">COUNTIFS(Еразъм!$B$4:$B$73,Table6[[#This Row],[Страна]:[Страна]],Еразъм!$D$4:$D$73,Table6[[#Headers],[Стопански факултет]])</f>
        <v>1</v>
      </c>
      <c r="C16" s="108" cm="1">
        <f t="array" ref="C16">COUNTIFS(Еразъм!$B$4:$B$73,Table6[[#This Row],[Страна]:[Страна]],Еразъм!$D$4:$D$73,Table6[[#Headers],[Факултет "Информатика"]])</f>
        <v>1</v>
      </c>
      <c r="D16" s="108" cm="1">
        <f t="array" ref="D16">COUNTIFS(Еразъм!$B$4:$B$73,Table6[[#This Row],[Страна]:[Страна]],Еразъм!$D$4:$D$73,Table6[[#Headers],[Факултет "Управление"]])</f>
        <v>0</v>
      </c>
      <c r="E16" s="108" cm="1">
        <f t="array" ref="E16">COUNTIFS(Еразъм!$B$4:$B$73,Table6[[#This Row],[Страна]:[Страна]],Еразъм!$D$4:$D$73,Table6[[#Headers],[Финансово-счетоводен факултет]])</f>
        <v>1</v>
      </c>
      <c r="F16" s="108">
        <f>SUM(Table6[[#This Row],[Стопански факултет]:[Финансово-счетоводен факултет]])</f>
        <v>3</v>
      </c>
    </row>
    <row r="17" spans="1:10" x14ac:dyDescent="0.25">
      <c r="A17" t="s">
        <v>57</v>
      </c>
      <c r="B17" s="108" cm="1">
        <f t="array" ref="B17">COUNTIFS(Еразъм!$B$4:$B$73,Table6[[#This Row],[Страна]:[Страна]],Еразъм!$D$4:$D$73,Table6[[#Headers],[Стопански факултет]])</f>
        <v>0</v>
      </c>
      <c r="C17" s="108" cm="1">
        <f t="array" ref="C17">COUNTIFS(Еразъм!$B$4:$B$73,Table6[[#This Row],[Страна]:[Страна]],Еразъм!$D$4:$D$73,Table6[[#Headers],[Факултет "Информатика"]])</f>
        <v>1</v>
      </c>
      <c r="D17" s="108" cm="1">
        <f t="array" ref="D17">COUNTIFS(Еразъм!$B$4:$B$73,Table6[[#This Row],[Страна]:[Страна]],Еразъм!$D$4:$D$73,Table6[[#Headers],[Факултет "Управление"]])</f>
        <v>0</v>
      </c>
      <c r="E17" s="108" cm="1">
        <f t="array" ref="E17">COUNTIFS(Еразъм!$B$4:$B$73,Table6[[#This Row],[Страна]:[Страна]],Еразъм!$D$4:$D$73,Table6[[#Headers],[Финансово-счетоводен факултет]])</f>
        <v>1</v>
      </c>
      <c r="F17" s="108">
        <f>SUM(Table6[[#This Row],[Стопански факултет]:[Финансово-счетоводен факултет]])</f>
        <v>2</v>
      </c>
      <c r="I17" s="108"/>
      <c r="J17" s="108"/>
    </row>
    <row r="18" spans="1:10" x14ac:dyDescent="0.25">
      <c r="A18" t="s">
        <v>60</v>
      </c>
      <c r="B18" s="108" cm="1">
        <f t="array" ref="B18">COUNTIFS(Еразъм!$B$4:$B$73,Table6[[#This Row],[Страна]:[Страна]],Еразъм!$D$4:$D$73,Table6[[#Headers],[Стопански факултет]])</f>
        <v>1</v>
      </c>
      <c r="C18" s="108" cm="1">
        <f t="array" ref="C18">COUNTIFS(Еразъм!$B$4:$B$73,Table6[[#This Row],[Страна]:[Страна]],Еразъм!$D$4:$D$73,Table6[[#Headers],[Факултет "Информатика"]])</f>
        <v>0</v>
      </c>
      <c r="D18" s="108" cm="1">
        <f t="array" ref="D18">COUNTIFS(Еразъм!$B$4:$B$73,Table6[[#This Row],[Страна]:[Страна]],Еразъм!$D$4:$D$73,Table6[[#Headers],[Факултет "Управление"]])</f>
        <v>1</v>
      </c>
      <c r="E18" s="108" cm="1">
        <f t="array" ref="E18">COUNTIFS(Еразъм!$B$4:$B$73,Table6[[#This Row],[Страна]:[Страна]],Еразъм!$D$4:$D$73,Table6[[#Headers],[Финансово-счетоводен факултет]])</f>
        <v>1</v>
      </c>
      <c r="F18" s="108">
        <f>SUM(Table6[[#This Row],[Стопански факултет]:[Финансово-счетоводен факултет]])</f>
        <v>3</v>
      </c>
      <c r="I18" s="108"/>
      <c r="J18" s="108"/>
    </row>
    <row r="19" spans="1:10" x14ac:dyDescent="0.25">
      <c r="A19" t="s">
        <v>89</v>
      </c>
      <c r="B19" s="108" cm="1">
        <f t="array" ref="B19">COUNTIFS(Еразъм!$B$4:$B$73,Table6[[#This Row],[Страна]:[Страна]],Еразъм!$D$4:$D$73,Table6[[#Headers],[Стопански факултет]])</f>
        <v>0</v>
      </c>
      <c r="C19" s="108" cm="1">
        <f t="array" ref="C19">COUNTIFS(Еразъм!$B$4:$B$73,Table6[[#This Row],[Страна]:[Страна]],Еразъм!$D$4:$D$73,Table6[[#Headers],[Факултет "Информатика"]])</f>
        <v>0</v>
      </c>
      <c r="D19" s="108" cm="1">
        <f t="array" ref="D19">COUNTIFS(Еразъм!$B$4:$B$73,Table6[[#This Row],[Страна]:[Страна]],Еразъм!$D$4:$D$73,Table6[[#Headers],[Факултет "Управление"]])</f>
        <v>3</v>
      </c>
      <c r="E19" s="108" cm="1">
        <f t="array" ref="E19">COUNTIFS(Еразъм!$B$4:$B$73,Table6[[#This Row],[Страна]:[Страна]],Еразъм!$D$4:$D$73,Table6[[#Headers],[Финансово-счетоводен факултет]])</f>
        <v>0</v>
      </c>
      <c r="F19" s="108">
        <f>SUM(Table6[[#This Row],[Стопански факултет]:[Финансово-счетоводен факултет]])</f>
        <v>3</v>
      </c>
      <c r="I19" s="108"/>
      <c r="J19" s="108"/>
    </row>
    <row r="20" spans="1:10" x14ac:dyDescent="0.25">
      <c r="A20" t="s">
        <v>92</v>
      </c>
      <c r="B20" s="108" cm="1">
        <f t="array" ref="B20">COUNTIFS(Еразъм!$B$4:$B$73,Table6[[#This Row],[Страна]:[Страна]],Еразъм!$D$4:$D$73,Table6[[#Headers],[Стопански факултет]])</f>
        <v>0</v>
      </c>
      <c r="C20" s="108" cm="1">
        <f t="array" ref="C20">COUNTIFS(Еразъм!$B$4:$B$73,Table6[[#This Row],[Страна]:[Страна]],Еразъм!$D$4:$D$73,Table6[[#Headers],[Факултет "Информатика"]])</f>
        <v>2</v>
      </c>
      <c r="D20" s="108" cm="1">
        <f t="array" ref="D20">COUNTIFS(Еразъм!$B$4:$B$73,Table6[[#This Row],[Страна]:[Страна]],Еразъм!$D$4:$D$73,Table6[[#Headers],[Факултет "Управление"]])</f>
        <v>0</v>
      </c>
      <c r="E20" s="108" cm="1">
        <f t="array" ref="E20">COUNTIFS(Еразъм!$B$4:$B$73,Table6[[#This Row],[Страна]:[Страна]],Еразъм!$D$4:$D$73,Table6[[#Headers],[Финансово-счетоводен факултет]])</f>
        <v>1</v>
      </c>
      <c r="F20" s="108">
        <f>SUM(Table6[[#This Row],[Стопански факултет]:[Финансово-счетоводен факултет]])</f>
        <v>3</v>
      </c>
      <c r="I20">
        <f>SUM(Table6[[Стопански факултет]:[Факултет "Управление"]])</f>
        <v>53</v>
      </c>
    </row>
    <row r="21" spans="1:10" x14ac:dyDescent="0.25">
      <c r="A21" t="s">
        <v>99</v>
      </c>
      <c r="B21" s="108" cm="1">
        <f t="array" ref="B21">COUNTIFS(Еразъм!$B$4:$B$73,Table6[[#This Row],[Страна]:[Страна]],Еразъм!$D$4:$D$73,Table6[[#Headers],[Стопански факултет]])</f>
        <v>0</v>
      </c>
      <c r="C21" s="108" cm="1">
        <f t="array" ref="C21">COUNTIFS(Еразъм!$B$4:$B$73,Table6[[#This Row],[Страна]:[Страна]],Еразъм!$D$4:$D$73,Table6[[#Headers],[Факултет "Информатика"]])</f>
        <v>1</v>
      </c>
      <c r="D21" s="108" cm="1">
        <f t="array" ref="D21">COUNTIFS(Еразъм!$B$4:$B$73,Table6[[#This Row],[Страна]:[Страна]],Еразъм!$D$4:$D$73,Table6[[#Headers],[Факултет "Управление"]])</f>
        <v>0</v>
      </c>
      <c r="E21" s="108" cm="1">
        <f t="array" ref="E21">COUNTIFS(Еразъм!$B$4:$B$73,Table6[[#This Row],[Страна]:[Страна]],Еразъм!$D$4:$D$73,Table6[[#Headers],[Финансово-счетоводен факултет]])</f>
        <v>0</v>
      </c>
      <c r="F21" s="108">
        <f>SUM(Table6[[#This Row],[Стопански факултет]:[Финансово-счетоводен факултет]])</f>
        <v>1</v>
      </c>
      <c r="I21" s="108"/>
    </row>
    <row r="22" spans="1:10" x14ac:dyDescent="0.25">
      <c r="A22" t="s">
        <v>153</v>
      </c>
      <c r="B22" s="108" cm="1">
        <f t="array" ref="B22">COUNTIFS(Еразъм!$B$4:$B$73,Table6[[#This Row],[Страна]:[Страна]],Еразъм!$D$4:$D$73,Table6[[#Headers],[Стопански факултет]])</f>
        <v>0</v>
      </c>
      <c r="C22" s="108" cm="1">
        <f t="array" ref="C22">COUNTIFS(Еразъм!$B$4:$B$73,Table6[[#This Row],[Страна]:[Страна]],Еразъм!$D$4:$D$73,Table6[[#Headers],[Факултет "Информатика"]])</f>
        <v>1</v>
      </c>
      <c r="D22" s="108" cm="1">
        <f t="array" ref="D22">COUNTIFS(Еразъм!$B$4:$B$73,Table6[[#This Row],[Страна]:[Страна]],Еразъм!$D$4:$D$73,Table6[[#Headers],[Факултет "Управление"]])</f>
        <v>0</v>
      </c>
      <c r="E22" s="108" cm="1">
        <f t="array" ref="E22">COUNTIFS(Еразъм!$B$4:$B$73,Table6[[#This Row],[Страна]:[Страна]],Еразъм!$D$4:$D$73,Table6[[#Headers],[Финансово-счетоводен факултет]])</f>
        <v>0</v>
      </c>
      <c r="F22" s="108">
        <f>SUM(Table6[[#This Row],[Стопански факултет]:[Финансово-счетоводен факултет]])</f>
        <v>1</v>
      </c>
    </row>
    <row r="23" spans="1:10" x14ac:dyDescent="0.25">
      <c r="A23" t="s">
        <v>78</v>
      </c>
      <c r="B23" s="108" cm="1">
        <f t="array" ref="B23">COUNTIFS(Еразъм!$B$4:$B$73,Table6[[#This Row],[Страна]:[Страна]],Еразъм!$D$4:$D$73,Table6[[#Headers],[Стопански факултет]])</f>
        <v>1</v>
      </c>
      <c r="C23" s="108" cm="1">
        <f t="array" ref="C23">COUNTIFS(Еразъм!$B$4:$B$73,Table6[[#This Row],[Страна]:[Страна]],Еразъм!$D$4:$D$73,Table6[[#Headers],[Факултет "Информатика"]])</f>
        <v>0</v>
      </c>
      <c r="D23" s="108" cm="1">
        <f t="array" ref="D23">COUNTIFS(Еразъм!$B$4:$B$73,Table6[[#This Row],[Страна]:[Страна]],Еразъм!$D$4:$D$73,Table6[[#Headers],[Факултет "Управление"]])</f>
        <v>0</v>
      </c>
      <c r="E23" s="108" cm="1">
        <f t="array" ref="E23">COUNTIFS(Еразъм!$B$4:$B$73,Table6[[#This Row],[Страна]:[Страна]],Еразъм!$D$4:$D$73,Table6[[#Headers],[Финансово-счетоводен факултет]])</f>
        <v>1</v>
      </c>
      <c r="F23" s="108">
        <f>SUM(Table6[[#This Row],[Стопански факултет]:[Финансово-счетоводен факултет]])</f>
        <v>2</v>
      </c>
    </row>
    <row r="24" spans="1:10" x14ac:dyDescent="0.25">
      <c r="A24" t="s">
        <v>96</v>
      </c>
      <c r="B24" s="108" cm="1">
        <f t="array" ref="B24">COUNTIFS(Еразъм!$B$4:$B$73,Table6[[#This Row],[Страна]:[Страна]],Еразъм!$D$4:$D$73,Table6[[#Headers],[Стопански факултет]])</f>
        <v>4</v>
      </c>
      <c r="C24" s="108" cm="1">
        <f t="array" ref="C24">COUNTIFS(Еразъм!$B$4:$B$73,Table6[[#This Row],[Страна]:[Страна]],Еразъм!$D$4:$D$73,Table6[[#Headers],[Факултет "Информатика"]])</f>
        <v>1</v>
      </c>
      <c r="D24" s="108" cm="1">
        <f t="array" ref="D24">COUNTIFS(Еразъм!$B$4:$B$73,Table6[[#This Row],[Страна]:[Страна]],Еразъм!$D$4:$D$73,Table6[[#Headers],[Факултет "Управление"]])</f>
        <v>0</v>
      </c>
      <c r="E24" s="108" cm="1">
        <f t="array" ref="E24">COUNTIFS(Еразъм!$B$4:$B$73,Table6[[#This Row],[Страна]:[Страна]],Еразъм!$D$4:$D$73,Table6[[#Headers],[Финансово-счетоводен факултет]])</f>
        <v>1</v>
      </c>
      <c r="F24" s="108">
        <f>SUM(Table6[[#This Row],[Стопански факултет]:[Финансово-счетоводен факултет]])</f>
        <v>6</v>
      </c>
    </row>
    <row r="25" spans="1:10" x14ac:dyDescent="0.25">
      <c r="A25" t="s">
        <v>139</v>
      </c>
      <c r="B25" s="108" cm="1">
        <f t="array" ref="B25">COUNTIFS(Еразъм!$B$4:$B$73,Table6[[#This Row],[Страна]:[Страна]],Еразъм!$D$4:$D$73,Table6[[#Headers],[Стопански факултет]])</f>
        <v>1</v>
      </c>
      <c r="C25" s="108" cm="1">
        <f t="array" ref="C25">COUNTIFS(Еразъм!$B$4:$B$73,Table6[[#This Row],[Страна]:[Страна]],Еразъм!$D$4:$D$73,Table6[[#Headers],[Факултет "Информатика"]])</f>
        <v>1</v>
      </c>
      <c r="D25" s="108" cm="1">
        <f t="array" ref="D25">COUNTIFS(Еразъм!$B$4:$B$73,Table6[[#This Row],[Страна]:[Страна]],Еразъм!$D$4:$D$73,Table6[[#Headers],[Факултет "Управление"]])</f>
        <v>0</v>
      </c>
      <c r="E25" s="108" cm="1">
        <f t="array" ref="E25">COUNTIFS(Еразъм!$B$4:$B$73,Table6[[#This Row],[Страна]:[Страна]],Еразъм!$D$4:$D$73,Table6[[#Headers],[Финансово-счетоводен факултет]])</f>
        <v>0</v>
      </c>
      <c r="F25" s="108">
        <f>SUM(Table6[[#This Row],[Стопански факултет]:[Финансово-счетоводен факултет]])</f>
        <v>2</v>
      </c>
    </row>
    <row r="26" spans="1:10" x14ac:dyDescent="0.25">
      <c r="A26" t="s">
        <v>102</v>
      </c>
      <c r="B26" s="108" cm="1">
        <f t="array" ref="B26">COUNTIFS(Еразъм!$B$4:$B$73,Table6[[#This Row],[Страна]:[Страна]],Еразъм!$D$4:$D$73,Table6[[#Headers],[Стопански факултет]])</f>
        <v>1</v>
      </c>
      <c r="C26" s="108" cm="1">
        <f t="array" ref="C26">COUNTIFS(Еразъм!$B$4:$B$73,Table6[[#This Row],[Страна]:[Страна]],Еразъм!$D$4:$D$73,Table6[[#Headers],[Факултет "Информатика"]])</f>
        <v>0</v>
      </c>
      <c r="D26" s="108" cm="1">
        <f t="array" ref="D26">COUNTIFS(Еразъм!$B$4:$B$73,Table6[[#This Row],[Страна]:[Страна]],Еразъм!$D$4:$D$73,Table6[[#Headers],[Факултет "Управление"]])</f>
        <v>0</v>
      </c>
      <c r="E26" s="108" cm="1">
        <f t="array" ref="E26">COUNTIFS(Еразъм!$B$4:$B$73,Table6[[#This Row],[Страна]:[Страна]],Еразъм!$D$4:$D$73,Table6[[#Headers],[Финансово-счетоводен факултет]])</f>
        <v>1</v>
      </c>
      <c r="F26" s="108">
        <f>SUM(Table6[[#This Row],[Стопански факултет]:[Финансово-счетоводен факултет]])</f>
        <v>2</v>
      </c>
    </row>
    <row r="27" spans="1:10" x14ac:dyDescent="0.25">
      <c r="A27" t="s">
        <v>85</v>
      </c>
      <c r="B27" s="108" cm="1">
        <f t="array" ref="B27">COUNTIFS(Еразъм!$B$4:$B$73,Table6[[#This Row],[Страна]:[Страна]],Еразъм!$D$4:$D$73,Table6[[#Headers],[Стопански факултет]])</f>
        <v>0</v>
      </c>
      <c r="C27" s="108" cm="1">
        <f t="array" ref="C27">COUNTIFS(Еразъм!$B$4:$B$73,Table6[[#This Row],[Страна]:[Страна]],Еразъм!$D$4:$D$73,Table6[[#Headers],[Факултет "Информатика"]])</f>
        <v>1</v>
      </c>
      <c r="D27" s="108" cm="1">
        <f t="array" ref="D27">COUNTIFS(Еразъм!$B$4:$B$73,Table6[[#This Row],[Страна]:[Страна]],Еразъм!$D$4:$D$73,Table6[[#Headers],[Факултет "Управление"]])</f>
        <v>0</v>
      </c>
      <c r="E27" s="108" cm="1">
        <f t="array" ref="E27">COUNTIFS(Еразъм!$B$4:$B$73,Table6[[#This Row],[Страна]:[Страна]],Еразъм!$D$4:$D$73,Table6[[#Headers],[Финансово-счетоводен факултет]])</f>
        <v>0</v>
      </c>
      <c r="F27" s="108">
        <f>SUM(Table6[[#This Row],[Стопански факултет]:[Финансово-счетоводен факултет]])</f>
        <v>1</v>
      </c>
    </row>
    <row r="28" spans="1:10" x14ac:dyDescent="0.25">
      <c r="A28" t="s">
        <v>82</v>
      </c>
      <c r="B28" s="108" cm="1">
        <f t="array" ref="B28">COUNTIFS(Еразъм!$B$4:$B$73,Table6[[#This Row],[Страна]:[Страна]],Еразъм!$D$4:$D$73,Table6[[#Headers],[Стопански факултет]])</f>
        <v>2</v>
      </c>
      <c r="C28" s="108" cm="1">
        <f t="array" ref="C28">COUNTIFS(Еразъм!$B$4:$B$73,Table6[[#This Row],[Страна]:[Страна]],Еразъм!$D$4:$D$73,Table6[[#Headers],[Факултет "Информатика"]])</f>
        <v>0</v>
      </c>
      <c r="D28" s="108" cm="1">
        <f t="array" ref="D28">COUNTIFS(Еразъм!$B$4:$B$73,Table6[[#This Row],[Страна]:[Страна]],Еразъм!$D$4:$D$73,Table6[[#Headers],[Факултет "Управление"]])</f>
        <v>0</v>
      </c>
      <c r="E28" s="108" cm="1">
        <f t="array" ref="E28">COUNTIFS(Еразъм!$B$4:$B$73,Table6[[#This Row],[Страна]:[Страна]],Еразъм!$D$4:$D$73,Table6[[#Headers],[Финансово-счетоводен факултет]])</f>
        <v>0</v>
      </c>
      <c r="F28" s="108">
        <f>SUM(Table6[[#This Row],[Стопански факултет]:[Финансово-счетоводен факултет]])</f>
        <v>2</v>
      </c>
    </row>
    <row r="29" spans="1:10" x14ac:dyDescent="0.25">
      <c r="A29" t="s">
        <v>170</v>
      </c>
      <c r="B29" s="108">
        <f>SUM(Table6[Стопански факултет])</f>
        <v>22</v>
      </c>
      <c r="C29" s="108">
        <f>SUM(Table6[Факултет "Информатика"])</f>
        <v>15</v>
      </c>
      <c r="D29" s="108">
        <f>SUM(Table6[Факултет "Управление"])</f>
        <v>16</v>
      </c>
      <c r="E29" s="108">
        <f>SUM(Table6[Финансово-счетоводен факултет])</f>
        <v>17</v>
      </c>
      <c r="F29" s="108">
        <f>SUM(Table6[Общо])</f>
        <v>70</v>
      </c>
    </row>
  </sheetData>
  <mergeCells count="1">
    <mergeCell ref="A1:F1"/>
  </mergeCells>
  <dataValidations count="2">
    <dataValidation type="list" allowBlank="1" showInputMessage="1" showErrorMessage="1" sqref="J9 J3" xr:uid="{1A19C19F-3B68-4BB5-8BB7-604FD2F7549C}">
      <formula1>$A$4:$A$28</formula1>
    </dataValidation>
    <dataValidation type="list" allowBlank="1" showInputMessage="1" showErrorMessage="1" sqref="J10" xr:uid="{82A0D35C-D410-4F7B-BD7E-1812F67C9615}">
      <formula1>$B$3:$E$3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B3E9-35B2-45EE-BDDF-96EAF8253833}">
  <dimension ref="A1:C34"/>
  <sheetViews>
    <sheetView workbookViewId="0">
      <selection activeCell="J31" sqref="J31"/>
    </sheetView>
  </sheetViews>
  <sheetFormatPr defaultRowHeight="15" x14ac:dyDescent="0.25"/>
  <cols>
    <col min="1" max="1" width="23.140625" customWidth="1"/>
    <col min="2" max="2" width="21.28515625" style="30" customWidth="1"/>
    <col min="3" max="3" width="7.28515625" bestFit="1" customWidth="1"/>
  </cols>
  <sheetData>
    <row r="1" spans="1:3" ht="30" x14ac:dyDescent="0.25">
      <c r="A1" s="36" t="s">
        <v>176</v>
      </c>
      <c r="B1" s="37" t="s">
        <v>4</v>
      </c>
      <c r="C1" s="37" t="s">
        <v>227</v>
      </c>
    </row>
    <row r="2" spans="1:3" x14ac:dyDescent="0.25">
      <c r="A2" s="9" t="s">
        <v>111</v>
      </c>
      <c r="B2" s="39">
        <f>_xlfn.XLOOKUP("*"&amp;A2&amp;"*",'Месечен грант'!$B$2:$B$5,'Месечен грант'!$C$2:$C$5,"",2)</f>
        <v>674</v>
      </c>
      <c r="C2" s="80" t="str">
        <f>LEFT(_xlfn.XLOOKUP("*"&amp;A2&amp;"*",'Месечен грант'!$B$2:$B$5,'Месечен грант'!$A$2:$A$5,"",2),7)</f>
        <v>Група 2</v>
      </c>
    </row>
    <row r="3" spans="1:3" x14ac:dyDescent="0.25">
      <c r="A3" s="9" t="s">
        <v>128</v>
      </c>
      <c r="B3" s="39">
        <f>_xlfn.XLOOKUP("*"&amp;A3&amp;"*",'Месечен грант'!$B$2:$B$5,'Месечен грант'!$C$2:$C$5,"",2)</f>
        <v>786</v>
      </c>
      <c r="C3" s="80" t="str">
        <f>LEFT(_xlfn.XLOOKUP("*"&amp;A3&amp;"*",'Месечен грант'!$B$2:$B$5,'Месечен грант'!$A$2:$A$5,"",2),7)</f>
        <v>Група 4</v>
      </c>
    </row>
    <row r="4" spans="1:3" x14ac:dyDescent="0.25">
      <c r="A4" s="9" t="s">
        <v>67</v>
      </c>
      <c r="B4" s="39">
        <f>_xlfn.XLOOKUP("*"&amp;A4&amp;"*",'Месечен грант'!$B$2:$B$5,'Месечен грант'!$C$2:$C$5,"",2)</f>
        <v>786</v>
      </c>
      <c r="C4" s="80" t="str">
        <f>LEFT(_xlfn.XLOOKUP("*"&amp;A4&amp;"*",'Месечен грант'!$B$2:$B$5,'Месечен грант'!$A$2:$A$5,"",2),7)</f>
        <v>Група 4</v>
      </c>
    </row>
    <row r="5" spans="1:3" x14ac:dyDescent="0.25">
      <c r="A5" s="9" t="s">
        <v>19</v>
      </c>
      <c r="B5" s="39">
        <f>_xlfn.XLOOKUP("*"&amp;A5&amp;"*",'Месечен грант'!$B$2:$B$5,'Месечен грант'!$C$2:$C$5,"",2)</f>
        <v>674</v>
      </c>
      <c r="C5" s="80" t="str">
        <f>LEFT(_xlfn.XLOOKUP("*"&amp;A5&amp;"*",'Месечен грант'!$B$2:$B$5,'Месечен грант'!$A$2:$A$5,"",2),7)</f>
        <v>Група 2</v>
      </c>
    </row>
    <row r="6" spans="1:3" x14ac:dyDescent="0.25">
      <c r="A6" s="9" t="s">
        <v>24</v>
      </c>
      <c r="B6" s="39">
        <f>_xlfn.XLOOKUP("*"&amp;A6&amp;"*",'Месечен грант'!$B$2:$B$5,'Месечен грант'!$C$2:$C$5,"",2)</f>
        <v>674</v>
      </c>
      <c r="C6" s="80" t="str">
        <f>LEFT(_xlfn.XLOOKUP("*"&amp;A6&amp;"*",'Месечен грант'!$B$2:$B$5,'Месечен грант'!$A$2:$A$5,"",2),7)</f>
        <v>Група 1</v>
      </c>
    </row>
    <row r="7" spans="1:3" x14ac:dyDescent="0.25">
      <c r="A7" s="9" t="s">
        <v>33</v>
      </c>
      <c r="B7" s="39">
        <f>_xlfn.XLOOKUP("*"&amp;A7&amp;"*",'Месечен грант'!$B$2:$B$5,'Месечен грант'!$C$2:$C$5,"",2)</f>
        <v>674</v>
      </c>
      <c r="C7" s="80" t="str">
        <f>LEFT(_xlfn.XLOOKUP("*"&amp;A7&amp;"*",'Месечен грант'!$B$2:$B$5,'Месечен грант'!$A$2:$A$5,"",2),7)</f>
        <v>Група 2</v>
      </c>
    </row>
    <row r="8" spans="1:3" ht="15" customHeight="1" x14ac:dyDescent="0.25">
      <c r="A8" s="9" t="s">
        <v>14</v>
      </c>
      <c r="B8" s="39">
        <f>_xlfn.XLOOKUP("*"&amp;A8&amp;"*",'Месечен грант'!$B$2:$B$5,'Месечен грант'!$C$2:$C$5,"",2)</f>
        <v>674</v>
      </c>
      <c r="C8" s="80" t="str">
        <f>LEFT(_xlfn.XLOOKUP("*"&amp;A8&amp;"*",'Месечен грант'!$B$2:$B$5,'Месечен грант'!$A$2:$A$5,"",2),7)</f>
        <v>Група 2</v>
      </c>
    </row>
    <row r="9" spans="1:3" x14ac:dyDescent="0.25">
      <c r="A9" s="9" t="s">
        <v>9</v>
      </c>
      <c r="B9" s="39">
        <f>_xlfn.XLOOKUP("*"&amp;A9&amp;"*",'Месечен грант'!$B$2:$B$5,'Месечен грант'!$C$2:$C$5,"",2)</f>
        <v>606</v>
      </c>
      <c r="C9" s="80" t="str">
        <f>LEFT(_xlfn.XLOOKUP("*"&amp;A9&amp;"*",'Месечен грант'!$B$2:$B$5,'Месечен грант'!$A$2:$A$5,"",2),7)</f>
        <v>Група 3</v>
      </c>
    </row>
    <row r="10" spans="1:3" x14ac:dyDescent="0.25">
      <c r="A10" s="9" t="s">
        <v>237</v>
      </c>
      <c r="B10" s="39">
        <f>_xlfn.XLOOKUP("*"&amp;A10&amp;"*",'Месечен грант'!$B$2:$B$5,'Месечен грант'!$C$2:$C$5,"",2)</f>
        <v>786</v>
      </c>
      <c r="C10" s="80" t="str">
        <f>LEFT(_xlfn.XLOOKUP("*"&amp;A10&amp;"*",'Месечен грант'!$B$2:$B$5,'Месечен грант'!$A$2:$A$5,"",2),7)</f>
        <v>Група 4</v>
      </c>
    </row>
    <row r="11" spans="1:3" ht="15" customHeight="1" x14ac:dyDescent="0.25">
      <c r="A11" s="9" t="s">
        <v>43</v>
      </c>
      <c r="B11" s="39">
        <f>_xlfn.XLOOKUP("*"&amp;A11&amp;"*",'Месечен грант'!$B$2:$B$5,'Месечен грант'!$C$2:$C$5,"",2)</f>
        <v>674</v>
      </c>
      <c r="C11" s="80" t="str">
        <f>LEFT(_xlfn.XLOOKUP("*"&amp;A11&amp;"*",'Месечен грант'!$B$2:$B$5,'Месечен грант'!$A$2:$A$5,"",2),7)</f>
        <v>Група 1</v>
      </c>
    </row>
    <row r="12" spans="1:3" x14ac:dyDescent="0.25">
      <c r="A12" s="9" t="s">
        <v>39</v>
      </c>
      <c r="B12" s="39">
        <f>_xlfn.XLOOKUP("*"&amp;A12&amp;"*",'Месечен грант'!$B$2:$B$5,'Месечен грант'!$C$2:$C$5,"",2)</f>
        <v>674</v>
      </c>
      <c r="C12" s="80" t="str">
        <f>LEFT(_xlfn.XLOOKUP("*"&amp;A12&amp;"*",'Месечен грант'!$B$2:$B$5,'Месечен грант'!$A$2:$A$5,"",2),7)</f>
        <v>Група 2</v>
      </c>
    </row>
    <row r="13" spans="1:3" x14ac:dyDescent="0.25">
      <c r="A13" s="9" t="s">
        <v>47</v>
      </c>
      <c r="B13" s="39">
        <f>_xlfn.XLOOKUP("*"&amp;A13&amp;"*",'Месечен грант'!$B$2:$B$5,'Месечен грант'!$C$2:$C$5,"",2)</f>
        <v>674</v>
      </c>
      <c r="C13" s="80" t="str">
        <f>LEFT(_xlfn.XLOOKUP("*"&amp;A13&amp;"*",'Месечен грант'!$B$2:$B$5,'Месечен грант'!$A$2:$A$5,"",2),7)</f>
        <v>Група 2</v>
      </c>
    </row>
    <row r="14" spans="1:3" x14ac:dyDescent="0.25">
      <c r="A14" s="9" t="s">
        <v>105</v>
      </c>
      <c r="B14" s="39">
        <f>_xlfn.XLOOKUP("*"&amp;A14&amp;"*",'Месечен грант'!$B$2:$B$5,'Месечен грант'!$C$2:$C$5,"",2)</f>
        <v>786</v>
      </c>
      <c r="C14" s="80" t="str">
        <f>LEFT(_xlfn.XLOOKUP("*"&amp;A14&amp;"*",'Месечен грант'!$B$2:$B$5,'Месечен грант'!$A$2:$A$5,"",2),7)</f>
        <v>Група 4</v>
      </c>
    </row>
    <row r="15" spans="1:3" x14ac:dyDescent="0.25">
      <c r="A15" s="9" t="s">
        <v>53</v>
      </c>
      <c r="B15" s="39">
        <f>_xlfn.XLOOKUP("*"&amp;A15&amp;"*",'Месечен грант'!$B$2:$B$5,'Месечен грант'!$C$2:$C$5,"",2)</f>
        <v>674</v>
      </c>
      <c r="C15" s="80" t="str">
        <f>LEFT(_xlfn.XLOOKUP("*"&amp;A15&amp;"*",'Месечен грант'!$B$2:$B$5,'Месечен грант'!$A$2:$A$5,"",2),7)</f>
        <v>Група 2</v>
      </c>
    </row>
    <row r="16" spans="1:3" x14ac:dyDescent="0.25">
      <c r="A16" s="9" t="s">
        <v>57</v>
      </c>
      <c r="B16" s="39">
        <f>_xlfn.XLOOKUP("*"&amp;A16&amp;"*",'Месечен грант'!$B$2:$B$5,'Месечен грант'!$C$2:$C$5,"",2)</f>
        <v>606</v>
      </c>
      <c r="C16" s="80" t="str">
        <f>LEFT(_xlfn.XLOOKUP("*"&amp;A16&amp;"*",'Месечен грант'!$B$2:$B$5,'Месечен грант'!$A$2:$A$5,"",2),7)</f>
        <v>Група 3</v>
      </c>
    </row>
    <row r="17" spans="1:3" x14ac:dyDescent="0.25">
      <c r="A17" s="9" t="s">
        <v>238</v>
      </c>
      <c r="B17" s="39">
        <f>_xlfn.XLOOKUP("*"&amp;A17&amp;"*",'Месечен грант'!$B$2:$B$5,'Месечен грант'!$C$2:$C$5,"",2)</f>
        <v>606</v>
      </c>
      <c r="C17" s="80" t="str">
        <f>LEFT(_xlfn.XLOOKUP("*"&amp;A17&amp;"*",'Месечен грант'!$B$2:$B$5,'Месечен грант'!$A$2:$A$5,"",2),7)</f>
        <v>Група 3</v>
      </c>
    </row>
    <row r="18" spans="1:3" x14ac:dyDescent="0.25">
      <c r="A18" s="9" t="s">
        <v>60</v>
      </c>
      <c r="B18" s="39">
        <f>_xlfn.XLOOKUP("*"&amp;A18&amp;"*",'Месечен грант'!$B$2:$B$5,'Месечен грант'!$C$2:$C$5,"",2)</f>
        <v>674</v>
      </c>
      <c r="C18" s="80" t="str">
        <f>LEFT(_xlfn.XLOOKUP("*"&amp;A18&amp;"*",'Месечен грант'!$B$2:$B$5,'Месечен грант'!$A$2:$A$5,"",2),7)</f>
        <v>Група 2</v>
      </c>
    </row>
    <row r="19" spans="1:3" x14ac:dyDescent="0.25">
      <c r="A19" s="9" t="s">
        <v>89</v>
      </c>
      <c r="B19" s="39">
        <f>_xlfn.XLOOKUP("*"&amp;A19&amp;"*",'Месечен грант'!$B$2:$B$5,'Месечен грант'!$C$2:$C$5,"",2)</f>
        <v>606</v>
      </c>
      <c r="C19" s="80" t="str">
        <f>LEFT(_xlfn.XLOOKUP("*"&amp;A19&amp;"*",'Месечен грант'!$B$2:$B$5,'Месечен грант'!$A$2:$A$5,"",2),7)</f>
        <v>Група 3</v>
      </c>
    </row>
    <row r="20" spans="1:3" x14ac:dyDescent="0.25">
      <c r="A20" s="9" t="s">
        <v>92</v>
      </c>
      <c r="B20" s="39">
        <f>_xlfn.XLOOKUP("*"&amp;A20&amp;"*",'Месечен грант'!$B$2:$B$5,'Месечен грант'!$C$2:$C$5,"",2)</f>
        <v>674</v>
      </c>
      <c r="C20" s="80" t="str">
        <f>LEFT(_xlfn.XLOOKUP("*"&amp;A20&amp;"*",'Месечен грант'!$B$2:$B$5,'Месечен грант'!$A$2:$A$5,"",2),7)</f>
        <v>Група 2</v>
      </c>
    </row>
    <row r="21" spans="1:3" x14ac:dyDescent="0.25">
      <c r="A21" s="9" t="s">
        <v>99</v>
      </c>
      <c r="B21" s="39">
        <f>_xlfn.XLOOKUP("*"&amp;A21&amp;"*",'Месечен грант'!$B$2:$B$5,'Месечен грант'!$C$2:$C$5,"",2)</f>
        <v>606</v>
      </c>
      <c r="C21" s="80" t="str">
        <f>LEFT(_xlfn.XLOOKUP("*"&amp;A21&amp;"*",'Месечен грант'!$B$2:$B$5,'Месечен грант'!$A$2:$A$5,"",2),7)</f>
        <v>Група 3</v>
      </c>
    </row>
    <row r="22" spans="1:3" x14ac:dyDescent="0.25">
      <c r="A22" s="9" t="s">
        <v>239</v>
      </c>
      <c r="B22" s="39">
        <f>_xlfn.XLOOKUP("*"&amp;A22&amp;"*",'Месечен грант'!$B$2:$B$5,'Месечен грант'!$C$2:$C$5,"",2)</f>
        <v>786</v>
      </c>
      <c r="C22" s="80" t="str">
        <f>LEFT(_xlfn.XLOOKUP("*"&amp;A22&amp;"*",'Месечен грант'!$B$2:$B$5,'Месечен грант'!$A$2:$A$5,"",2),7)</f>
        <v>Група 4</v>
      </c>
    </row>
    <row r="23" spans="1:3" x14ac:dyDescent="0.25">
      <c r="A23" s="9" t="s">
        <v>240</v>
      </c>
      <c r="B23" s="39">
        <f>_xlfn.XLOOKUP("*"&amp;A23&amp;"*",'Месечен грант'!$B$2:$B$5,'Месечен грант'!$C$2:$C$5,"",2)</f>
        <v>786</v>
      </c>
      <c r="C23" s="80" t="str">
        <f>LEFT(_xlfn.XLOOKUP("*"&amp;A23&amp;"*",'Месечен грант'!$B$2:$B$5,'Месечен грант'!$A$2:$A$5,"",2),7)</f>
        <v>Група 4</v>
      </c>
    </row>
    <row r="24" spans="1:3" x14ac:dyDescent="0.25">
      <c r="A24" s="9" t="s">
        <v>241</v>
      </c>
      <c r="B24" s="39">
        <f>_xlfn.XLOOKUP("*"&amp;A24&amp;"*",'Месечен грант'!$B$2:$B$5,'Месечен грант'!$C$2:$C$5,"",2)</f>
        <v>606</v>
      </c>
      <c r="C24" s="80" t="str">
        <f>LEFT(_xlfn.XLOOKUP("*"&amp;A24&amp;"*",'Месечен грант'!$B$2:$B$5,'Месечен грант'!$A$2:$A$5,"",2),7)</f>
        <v>Група 3</v>
      </c>
    </row>
    <row r="25" spans="1:3" x14ac:dyDescent="0.25">
      <c r="A25" s="9" t="s">
        <v>153</v>
      </c>
      <c r="B25" s="39">
        <f>_xlfn.XLOOKUP("*"&amp;A25&amp;"*",'Месечен грант'!$B$2:$B$5,'Месечен грант'!$C$2:$C$5,"",2)</f>
        <v>606</v>
      </c>
      <c r="C25" s="80" t="str">
        <f>LEFT(_xlfn.XLOOKUP("*"&amp;A25&amp;"*",'Месечен грант'!$B$2:$B$5,'Месечен грант'!$A$2:$A$5,"",2),7)</f>
        <v>Група 3</v>
      </c>
    </row>
    <row r="26" spans="1:3" x14ac:dyDescent="0.25">
      <c r="A26" s="9" t="s">
        <v>242</v>
      </c>
      <c r="B26" s="39">
        <f>_xlfn.XLOOKUP("*"&amp;A26&amp;"*",'Месечен грант'!$B$2:$B$5,'Месечен грант'!$C$2:$C$5,"",2)</f>
        <v>606</v>
      </c>
      <c r="C26" s="80" t="str">
        <f>LEFT(_xlfn.XLOOKUP("*"&amp;A26&amp;"*",'Месечен грант'!$B$2:$B$5,'Месечен грант'!$A$2:$A$5,"",2),7)</f>
        <v>Група 3</v>
      </c>
    </row>
    <row r="27" spans="1:3" x14ac:dyDescent="0.25">
      <c r="A27" s="9" t="s">
        <v>78</v>
      </c>
      <c r="B27" s="39">
        <f>_xlfn.XLOOKUP("*"&amp;A27&amp;"*",'Месечен грант'!$B$2:$B$5,'Месечен грант'!$C$2:$C$5,"",2)</f>
        <v>606</v>
      </c>
      <c r="C27" s="80" t="str">
        <f>LEFT(_xlfn.XLOOKUP("*"&amp;A27&amp;"*",'Месечен грант'!$B$2:$B$5,'Месечен грант'!$A$2:$A$5,"",2),7)</f>
        <v>Група 3</v>
      </c>
    </row>
    <row r="28" spans="1:3" x14ac:dyDescent="0.25">
      <c r="A28" s="9" t="s">
        <v>243</v>
      </c>
      <c r="B28" s="39">
        <f>_xlfn.XLOOKUP("*"&amp;A28&amp;"*",'Месечен грант'!$B$2:$B$5,'Месечен грант'!$C$2:$C$5,"",2)</f>
        <v>786</v>
      </c>
      <c r="C28" s="80" t="str">
        <f>LEFT(_xlfn.XLOOKUP("*"&amp;A28&amp;"*",'Месечен грант'!$B$2:$B$5,'Месечен грант'!$A$2:$A$5,"",2),7)</f>
        <v>Група 4</v>
      </c>
    </row>
    <row r="29" spans="1:3" x14ac:dyDescent="0.25">
      <c r="A29" s="9" t="s">
        <v>96</v>
      </c>
      <c r="B29" s="39">
        <f>_xlfn.XLOOKUP("*"&amp;A29&amp;"*",'Месечен грант'!$B$2:$B$5,'Месечен грант'!$C$2:$C$5,"",2)</f>
        <v>606</v>
      </c>
      <c r="C29" s="80" t="str">
        <f>LEFT(_xlfn.XLOOKUP("*"&amp;A29&amp;"*",'Месечен грант'!$B$2:$B$5,'Месечен грант'!$A$2:$A$5,"",2),7)</f>
        <v>Група 3</v>
      </c>
    </row>
    <row r="30" spans="1:3" x14ac:dyDescent="0.25">
      <c r="A30" s="9" t="s">
        <v>139</v>
      </c>
      <c r="B30" s="39">
        <f>_xlfn.XLOOKUP("*"&amp;A30&amp;"*",'Месечен грант'!$B$2:$B$5,'Месечен грант'!$C$2:$C$5,"",2)</f>
        <v>674</v>
      </c>
      <c r="C30" s="80" t="str">
        <f>LEFT(_xlfn.XLOOKUP("*"&amp;A30&amp;"*",'Месечен грант'!$B$2:$B$5,'Месечен грант'!$A$2:$A$5,"",2),7)</f>
        <v>Група 1</v>
      </c>
    </row>
    <row r="31" spans="1:3" x14ac:dyDescent="0.25">
      <c r="A31" s="9" t="s">
        <v>102</v>
      </c>
      <c r="B31" s="39">
        <f>_xlfn.XLOOKUP("*"&amp;A31&amp;"*",'Месечен грант'!$B$2:$B$5,'Месечен грант'!$C$2:$C$5,"",2)</f>
        <v>674</v>
      </c>
      <c r="C31" s="80" t="str">
        <f>LEFT(_xlfn.XLOOKUP("*"&amp;A31&amp;"*",'Месечен грант'!$B$2:$B$5,'Месечен грант'!$A$2:$A$5,"",2),7)</f>
        <v>Група 2</v>
      </c>
    </row>
    <row r="32" spans="1:3" x14ac:dyDescent="0.25">
      <c r="A32" s="9" t="s">
        <v>85</v>
      </c>
      <c r="B32" s="39">
        <f>_xlfn.XLOOKUP("*"&amp;A32&amp;"*",'Месечен грант'!$B$2:$B$5,'Месечен грант'!$C$2:$C$5,"",2)</f>
        <v>606</v>
      </c>
      <c r="C32" s="80" t="str">
        <f>LEFT(_xlfn.XLOOKUP("*"&amp;A32&amp;"*",'Месечен грант'!$B$2:$B$5,'Месечен грант'!$A$2:$A$5,"",2),7)</f>
        <v>Група 3</v>
      </c>
    </row>
    <row r="33" spans="1:3" x14ac:dyDescent="0.25">
      <c r="A33" s="9" t="s">
        <v>244</v>
      </c>
      <c r="B33" s="39">
        <f>_xlfn.XLOOKUP("*"&amp;A33&amp;"*",'Месечен грант'!$B$2:$B$5,'Месечен грант'!$C$2:$C$5,"",2)</f>
        <v>786</v>
      </c>
      <c r="C33" s="80" t="str">
        <f>LEFT(_xlfn.XLOOKUP("*"&amp;A33&amp;"*",'Месечен грант'!$B$2:$B$5,'Месечен грант'!$A$2:$A$5,"",2),7)</f>
        <v>Група 4</v>
      </c>
    </row>
    <row r="34" spans="1:3" x14ac:dyDescent="0.25">
      <c r="A34" s="9" t="s">
        <v>82</v>
      </c>
      <c r="B34" s="39">
        <f>_xlfn.XLOOKUP("*"&amp;A34&amp;"*",'Месечен грант'!$B$2:$B$5,'Месечен грант'!$C$2:$C$5,"",2)</f>
        <v>606</v>
      </c>
      <c r="C34" s="80" t="str">
        <f>LEFT(_xlfn.XLOOKUP("*"&amp;A34&amp;"*",'Месечен грант'!$B$2:$B$5,'Месечен грант'!$A$2:$A$5,"",2),7)</f>
        <v>Група 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536F-7F75-43AA-801D-7A458D99C1BB}">
  <dimension ref="A1:C5"/>
  <sheetViews>
    <sheetView workbookViewId="0">
      <selection activeCell="C5" sqref="C5"/>
    </sheetView>
  </sheetViews>
  <sheetFormatPr defaultRowHeight="15" x14ac:dyDescent="0.25"/>
  <cols>
    <col min="1" max="1" width="28.7109375" customWidth="1"/>
    <col min="2" max="2" width="29.42578125" customWidth="1"/>
    <col min="3" max="3" width="37.140625" style="30" customWidth="1"/>
  </cols>
  <sheetData>
    <row r="1" spans="1:3" x14ac:dyDescent="0.25">
      <c r="A1" s="40" t="s">
        <v>227</v>
      </c>
      <c r="B1" s="40" t="s">
        <v>228</v>
      </c>
      <c r="C1" s="40" t="s">
        <v>4</v>
      </c>
    </row>
    <row r="2" spans="1:3" ht="75" x14ac:dyDescent="0.25">
      <c r="A2" s="41" t="s">
        <v>229</v>
      </c>
      <c r="B2" s="42" t="s">
        <v>230</v>
      </c>
      <c r="C2" s="41">
        <v>674</v>
      </c>
    </row>
    <row r="3" spans="1:3" ht="60" x14ac:dyDescent="0.25">
      <c r="A3" s="41" t="s">
        <v>231</v>
      </c>
      <c r="B3" s="41" t="s">
        <v>232</v>
      </c>
      <c r="C3" s="41">
        <v>674</v>
      </c>
    </row>
    <row r="4" spans="1:3" ht="75" x14ac:dyDescent="0.25">
      <c r="A4" s="41" t="s">
        <v>233</v>
      </c>
      <c r="B4" s="41" t="s">
        <v>234</v>
      </c>
      <c r="C4" s="41">
        <v>606</v>
      </c>
    </row>
    <row r="5" spans="1:3" ht="60" x14ac:dyDescent="0.25">
      <c r="A5" s="43" t="s">
        <v>235</v>
      </c>
      <c r="B5" s="43" t="s">
        <v>236</v>
      </c>
      <c r="C5" s="43">
        <v>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F613-B19A-4123-95C1-E694F8889641}">
  <dimension ref="A1:A26"/>
  <sheetViews>
    <sheetView workbookViewId="0">
      <selection activeCell="G33" sqref="G33"/>
    </sheetView>
  </sheetViews>
  <sheetFormatPr defaultRowHeight="15" x14ac:dyDescent="0.25"/>
  <cols>
    <col min="1" max="1" width="23.5703125" customWidth="1"/>
  </cols>
  <sheetData>
    <row r="1" spans="1:1" x14ac:dyDescent="0.25">
      <c r="A1" s="17" t="s">
        <v>176</v>
      </c>
    </row>
    <row r="2" spans="1:1" x14ac:dyDescent="0.25">
      <c r="A2" s="18" t="s">
        <v>9</v>
      </c>
    </row>
    <row r="3" spans="1:1" x14ac:dyDescent="0.25">
      <c r="A3" s="19" t="s">
        <v>14</v>
      </c>
    </row>
    <row r="4" spans="1:1" x14ac:dyDescent="0.25">
      <c r="A4" s="20" t="s">
        <v>19</v>
      </c>
    </row>
    <row r="5" spans="1:1" x14ac:dyDescent="0.25">
      <c r="A5" s="19" t="s">
        <v>24</v>
      </c>
    </row>
    <row r="6" spans="1:1" x14ac:dyDescent="0.25">
      <c r="A6" s="20" t="s">
        <v>33</v>
      </c>
    </row>
    <row r="7" spans="1:1" x14ac:dyDescent="0.25">
      <c r="A7" s="19" t="s">
        <v>39</v>
      </c>
    </row>
    <row r="8" spans="1:1" x14ac:dyDescent="0.25">
      <c r="A8" s="20" t="s">
        <v>43</v>
      </c>
    </row>
    <row r="9" spans="1:1" x14ac:dyDescent="0.25">
      <c r="A9" s="19" t="s">
        <v>47</v>
      </c>
    </row>
    <row r="10" spans="1:1" x14ac:dyDescent="0.25">
      <c r="A10" s="20" t="s">
        <v>53</v>
      </c>
    </row>
    <row r="11" spans="1:1" x14ac:dyDescent="0.25">
      <c r="A11" s="19" t="s">
        <v>57</v>
      </c>
    </row>
    <row r="12" spans="1:1" x14ac:dyDescent="0.25">
      <c r="A12" s="20" t="s">
        <v>60</v>
      </c>
    </row>
    <row r="13" spans="1:1" x14ac:dyDescent="0.25">
      <c r="A13" s="19" t="s">
        <v>67</v>
      </c>
    </row>
    <row r="14" spans="1:1" x14ac:dyDescent="0.25">
      <c r="A14" s="20" t="s">
        <v>78</v>
      </c>
    </row>
    <row r="15" spans="1:1" x14ac:dyDescent="0.25">
      <c r="A15" s="19" t="s">
        <v>82</v>
      </c>
    </row>
    <row r="16" spans="1:1" x14ac:dyDescent="0.25">
      <c r="A16" s="20" t="s">
        <v>85</v>
      </c>
    </row>
    <row r="17" spans="1:1" x14ac:dyDescent="0.25">
      <c r="A17" s="19" t="s">
        <v>89</v>
      </c>
    </row>
    <row r="18" spans="1:1" x14ac:dyDescent="0.25">
      <c r="A18" s="20" t="s">
        <v>92</v>
      </c>
    </row>
    <row r="19" spans="1:1" x14ac:dyDescent="0.25">
      <c r="A19" s="19" t="s">
        <v>96</v>
      </c>
    </row>
    <row r="20" spans="1:1" x14ac:dyDescent="0.25">
      <c r="A20" s="20" t="s">
        <v>99</v>
      </c>
    </row>
    <row r="21" spans="1:1" x14ac:dyDescent="0.25">
      <c r="A21" s="19" t="s">
        <v>102</v>
      </c>
    </row>
    <row r="22" spans="1:1" x14ac:dyDescent="0.25">
      <c r="A22" s="20" t="s">
        <v>105</v>
      </c>
    </row>
    <row r="23" spans="1:1" x14ac:dyDescent="0.25">
      <c r="A23" s="19" t="s">
        <v>111</v>
      </c>
    </row>
    <row r="24" spans="1:1" x14ac:dyDescent="0.25">
      <c r="A24" s="20" t="s">
        <v>128</v>
      </c>
    </row>
    <row r="25" spans="1:1" x14ac:dyDescent="0.25">
      <c r="A25" s="19" t="s">
        <v>139</v>
      </c>
    </row>
    <row r="26" spans="1:1" x14ac:dyDescent="0.25">
      <c r="A26" s="21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VLOOKUP</vt:lpstr>
      <vt:lpstr>XlOOKUP</vt:lpstr>
      <vt:lpstr>Резултати тест</vt:lpstr>
      <vt:lpstr>Еразъм</vt:lpstr>
      <vt:lpstr>XLOOKUP2</vt:lpstr>
      <vt:lpstr>Грант по страни</vt:lpstr>
      <vt:lpstr>Месечен грант</vt:lpstr>
      <vt:lpstr>Страни</vt:lpstr>
      <vt:lpstr>Страни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2024-10-13T10:35:00Z</cp:lastPrinted>
  <dcterms:created xsi:type="dcterms:W3CDTF">2021-04-13T08:47:24Z</dcterms:created>
  <dcterms:modified xsi:type="dcterms:W3CDTF">2024-10-28T12:53:18Z</dcterms:modified>
</cp:coreProperties>
</file>