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 tabRatio="900" activeTab="4"/>
  </bookViews>
  <sheets>
    <sheet name="RESUMEN" sheetId="10" r:id="rId1"/>
    <sheet name="PRESUPUESTOS" sheetId="9" r:id="rId2"/>
    <sheet name="Hoja3" sheetId="11" r:id="rId3"/>
    <sheet name="Anexo Flujo de caja &amp; VAN T" sheetId="1" r:id="rId4"/>
    <sheet name="T Estado de resultado proye" sheetId="2" r:id="rId5"/>
    <sheet name="Balance proyectado" sheetId="3" r:id="rId6"/>
    <sheet name="T Balance proyectado (2)" sheetId="13" r:id="rId7"/>
    <sheet name="Anexo Roa y ROE" sheetId="4" r:id="rId8"/>
    <sheet name="Ppto Operaciones" sheetId="5" r:id="rId9"/>
    <sheet name="Salarios" sheetId="12" r:id="rId10"/>
    <sheet name="Ppto RRHH" sheetId="6" r:id="rId11"/>
    <sheet name="Ppto MKT" sheetId="7" r:id="rId12"/>
    <sheet name="Ppto RS" sheetId="8" r:id="rId13"/>
  </sheets>
  <externalReferences>
    <externalReference r:id="rId14"/>
  </externalReferences>
  <definedNames>
    <definedName name="_ftn1" localSheetId="8">'Ppto Operaciones'!#REF!</definedName>
    <definedName name="_ftnref1" localSheetId="8">'Ppto Operaciones'!#REF!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0" i="2" l="1"/>
  <c r="D40" i="2"/>
  <c r="B40" i="2"/>
  <c r="B51" i="1"/>
  <c r="D50" i="1"/>
  <c r="C50" i="1"/>
  <c r="B50" i="1"/>
  <c r="D49" i="1"/>
  <c r="C49" i="1"/>
  <c r="B49" i="1"/>
  <c r="D48" i="1"/>
  <c r="C48" i="1"/>
  <c r="B48" i="1"/>
  <c r="D39" i="1"/>
  <c r="C39" i="1"/>
  <c r="B39" i="1"/>
  <c r="D30" i="1"/>
  <c r="C30" i="1"/>
  <c r="B30" i="1"/>
  <c r="B29" i="1"/>
  <c r="B7" i="1"/>
  <c r="B31" i="1"/>
  <c r="B36" i="1"/>
  <c r="B41" i="1"/>
  <c r="C29" i="1"/>
  <c r="C31" i="1"/>
  <c r="C36" i="1"/>
  <c r="C41" i="1"/>
  <c r="D29" i="1"/>
  <c r="D31" i="1"/>
  <c r="D36" i="1"/>
  <c r="D41" i="1"/>
  <c r="B44" i="1"/>
  <c r="D35" i="2"/>
  <c r="C35" i="2"/>
  <c r="B35" i="2"/>
  <c r="D29" i="2"/>
  <c r="C29" i="2"/>
  <c r="B29" i="2"/>
  <c r="D28" i="2"/>
  <c r="C28" i="2"/>
  <c r="G34" i="11"/>
  <c r="G33" i="11"/>
  <c r="E34" i="11"/>
  <c r="E33" i="11"/>
  <c r="B28" i="2"/>
  <c r="D26" i="2"/>
  <c r="C26" i="2"/>
  <c r="B26" i="2"/>
  <c r="D30" i="2"/>
  <c r="D32" i="2"/>
  <c r="D37" i="2"/>
  <c r="D38" i="2"/>
  <c r="C30" i="2"/>
  <c r="C32" i="2"/>
  <c r="C37" i="2"/>
  <c r="C38" i="2"/>
  <c r="B30" i="2"/>
  <c r="B32" i="2"/>
  <c r="B37" i="2"/>
  <c r="B38" i="2"/>
  <c r="D33" i="2"/>
  <c r="C33" i="2"/>
  <c r="B33" i="2"/>
  <c r="C46" i="11"/>
  <c r="C44" i="11"/>
  <c r="C41" i="11"/>
  <c r="C38" i="11"/>
  <c r="C34" i="11"/>
  <c r="C33" i="11"/>
  <c r="G32" i="11"/>
  <c r="E32" i="11"/>
  <c r="G35" i="11"/>
  <c r="G38" i="11"/>
  <c r="G41" i="11"/>
  <c r="G44" i="11"/>
  <c r="G46" i="11"/>
  <c r="G49" i="11"/>
  <c r="G37" i="11"/>
  <c r="G54" i="11"/>
  <c r="H54" i="11"/>
  <c r="E35" i="11"/>
  <c r="E38" i="11"/>
  <c r="E41" i="11"/>
  <c r="E44" i="11"/>
  <c r="E46" i="11"/>
  <c r="E49" i="11"/>
  <c r="E37" i="11"/>
  <c r="E54" i="11"/>
  <c r="F54" i="11"/>
  <c r="C35" i="11"/>
  <c r="C37" i="11"/>
  <c r="C54" i="11"/>
  <c r="D54" i="11"/>
  <c r="H53" i="11"/>
  <c r="F53" i="11"/>
  <c r="D53" i="11"/>
  <c r="H52" i="11"/>
  <c r="F52" i="11"/>
  <c r="D52" i="11"/>
  <c r="H51" i="11"/>
  <c r="F51" i="11"/>
  <c r="D51" i="11"/>
  <c r="H50" i="11"/>
  <c r="F50" i="11"/>
  <c r="D50" i="11"/>
  <c r="H49" i="11"/>
  <c r="F49" i="11"/>
  <c r="D49" i="11"/>
  <c r="H48" i="11"/>
  <c r="F48" i="11"/>
  <c r="D48" i="11"/>
  <c r="H47" i="11"/>
  <c r="F47" i="11"/>
  <c r="D47" i="11"/>
  <c r="H46" i="11"/>
  <c r="F46" i="11"/>
  <c r="D46" i="11"/>
  <c r="H45" i="11"/>
  <c r="F45" i="11"/>
  <c r="D45" i="11"/>
  <c r="H44" i="11"/>
  <c r="F44" i="11"/>
  <c r="D44" i="11"/>
  <c r="H43" i="11"/>
  <c r="F43" i="11"/>
  <c r="D43" i="11"/>
  <c r="H42" i="11"/>
  <c r="F42" i="11"/>
  <c r="D42" i="11"/>
  <c r="H41" i="11"/>
  <c r="F41" i="11"/>
  <c r="D41" i="11"/>
  <c r="H40" i="11"/>
  <c r="F40" i="11"/>
  <c r="D40" i="11"/>
  <c r="H39" i="11"/>
  <c r="F39" i="11"/>
  <c r="D39" i="11"/>
  <c r="H38" i="11"/>
  <c r="F38" i="11"/>
  <c r="D38" i="11"/>
  <c r="H37" i="11"/>
  <c r="F37" i="11"/>
  <c r="D37" i="11"/>
  <c r="H35" i="11"/>
  <c r="F35" i="11"/>
  <c r="D35" i="11"/>
  <c r="H34" i="11"/>
  <c r="F34" i="11"/>
  <c r="D34" i="11"/>
  <c r="H33" i="11"/>
  <c r="F33" i="11"/>
  <c r="D33" i="11"/>
  <c r="H20" i="13"/>
  <c r="F20" i="13"/>
  <c r="D20" i="13"/>
  <c r="I23" i="13"/>
  <c r="I22" i="13"/>
  <c r="G23" i="13"/>
  <c r="G22" i="13"/>
  <c r="E23" i="13"/>
  <c r="E22" i="13"/>
  <c r="C22" i="13"/>
  <c r="C23" i="13"/>
  <c r="I20" i="13"/>
  <c r="G20" i="13"/>
  <c r="I19" i="13"/>
  <c r="G19" i="13"/>
  <c r="E19" i="13"/>
  <c r="E20" i="13"/>
  <c r="D20" i="3"/>
  <c r="E20" i="3"/>
  <c r="E8" i="4"/>
  <c r="D8" i="4"/>
  <c r="C8" i="4"/>
  <c r="B8" i="4"/>
  <c r="E7" i="4"/>
  <c r="D7" i="4"/>
  <c r="C7" i="4"/>
  <c r="B7" i="4"/>
  <c r="D7" i="1"/>
  <c r="C7" i="1"/>
  <c r="B8" i="1"/>
  <c r="B18" i="1"/>
  <c r="C6" i="1"/>
  <c r="C8" i="1"/>
  <c r="C18" i="1"/>
  <c r="D6" i="1"/>
  <c r="D8" i="1"/>
  <c r="D18" i="1"/>
  <c r="D18" i="2"/>
  <c r="C18" i="2"/>
  <c r="B18" i="2"/>
  <c r="D17" i="2"/>
  <c r="C17" i="2"/>
  <c r="B17" i="2"/>
  <c r="D15" i="2"/>
  <c r="C15" i="2"/>
  <c r="B15" i="2"/>
  <c r="D13" i="2"/>
  <c r="C13" i="2"/>
  <c r="B13" i="2"/>
  <c r="D12" i="2"/>
  <c r="C12" i="2"/>
  <c r="B12" i="2"/>
  <c r="D10" i="2"/>
  <c r="C10" i="2"/>
  <c r="B10" i="2"/>
  <c r="D9" i="2"/>
  <c r="C9" i="2"/>
  <c r="B9" i="2"/>
  <c r="C138" i="9"/>
  <c r="C137" i="9"/>
  <c r="C136" i="9"/>
  <c r="C135" i="9"/>
  <c r="C134" i="9"/>
  <c r="C133" i="9"/>
  <c r="C132" i="9"/>
  <c r="C131" i="9"/>
  <c r="C130" i="9"/>
  <c r="C129" i="9"/>
  <c r="C128" i="9"/>
  <c r="C127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97" i="9"/>
  <c r="C96" i="9"/>
  <c r="C95" i="9"/>
  <c r="C94" i="9"/>
  <c r="C93" i="9"/>
  <c r="C92" i="9"/>
  <c r="C91" i="9"/>
  <c r="C90" i="9"/>
  <c r="C89" i="9"/>
  <c r="C88" i="9"/>
  <c r="C87" i="9"/>
  <c r="C86" i="9"/>
  <c r="C84" i="9"/>
  <c r="C83" i="9"/>
  <c r="C82" i="9"/>
  <c r="C81" i="9"/>
  <c r="C80" i="9"/>
  <c r="C79" i="9"/>
  <c r="C78" i="9"/>
  <c r="C77" i="9"/>
  <c r="C76" i="9"/>
  <c r="C75" i="9"/>
  <c r="C74" i="9"/>
  <c r="C73" i="9"/>
  <c r="C71" i="9"/>
  <c r="C70" i="9"/>
  <c r="C69" i="9"/>
  <c r="C68" i="9"/>
  <c r="C67" i="9"/>
  <c r="C66" i="9"/>
  <c r="C65" i="9"/>
  <c r="C64" i="9"/>
  <c r="C63" i="9"/>
  <c r="C62" i="9"/>
  <c r="C61" i="9"/>
  <c r="C60" i="9"/>
  <c r="G21" i="11"/>
  <c r="E21" i="11"/>
  <c r="T140" i="9"/>
  <c r="T141" i="9"/>
  <c r="T142" i="9"/>
  <c r="T143" i="9"/>
  <c r="T144" i="9"/>
  <c r="T145" i="9"/>
  <c r="T146" i="9"/>
  <c r="T147" i="9"/>
  <c r="T148" i="9"/>
  <c r="T149" i="9"/>
  <c r="T150" i="9"/>
  <c r="T151" i="9"/>
  <c r="T139" i="9"/>
  <c r="T127" i="9"/>
  <c r="T128" i="9"/>
  <c r="T129" i="9"/>
  <c r="T130" i="9"/>
  <c r="T131" i="9"/>
  <c r="T132" i="9"/>
  <c r="T133" i="9"/>
  <c r="T134" i="9"/>
  <c r="T135" i="9"/>
  <c r="T136" i="9"/>
  <c r="T137" i="9"/>
  <c r="T138" i="9"/>
  <c r="T126" i="9"/>
  <c r="T114" i="9"/>
  <c r="T115" i="9"/>
  <c r="T116" i="9"/>
  <c r="T117" i="9"/>
  <c r="T118" i="9"/>
  <c r="T119" i="9"/>
  <c r="T120" i="9"/>
  <c r="T121" i="9"/>
  <c r="T122" i="9"/>
  <c r="T123" i="9"/>
  <c r="T124" i="9"/>
  <c r="T125" i="9"/>
  <c r="T113" i="9"/>
  <c r="T152" i="9"/>
  <c r="T162" i="9"/>
  <c r="G4" i="11"/>
  <c r="H6" i="11"/>
  <c r="G7" i="11"/>
  <c r="T73" i="9"/>
  <c r="T74" i="9"/>
  <c r="T75" i="9"/>
  <c r="T76" i="9"/>
  <c r="T77" i="9"/>
  <c r="T78" i="9"/>
  <c r="T79" i="9"/>
  <c r="T80" i="9"/>
  <c r="T81" i="9"/>
  <c r="T82" i="9"/>
  <c r="T83" i="9"/>
  <c r="T84" i="9"/>
  <c r="T72" i="9"/>
  <c r="T86" i="9"/>
  <c r="T87" i="9"/>
  <c r="T88" i="9"/>
  <c r="T89" i="9"/>
  <c r="T90" i="9"/>
  <c r="T91" i="9"/>
  <c r="T92" i="9"/>
  <c r="T93" i="9"/>
  <c r="T94" i="9"/>
  <c r="T95" i="9"/>
  <c r="T96" i="9"/>
  <c r="T97" i="9"/>
  <c r="T85" i="9"/>
  <c r="T60" i="9"/>
  <c r="T61" i="9"/>
  <c r="T62" i="9"/>
  <c r="T63" i="9"/>
  <c r="T64" i="9"/>
  <c r="T65" i="9"/>
  <c r="T66" i="9"/>
  <c r="T67" i="9"/>
  <c r="T68" i="9"/>
  <c r="T69" i="9"/>
  <c r="T70" i="9"/>
  <c r="T71" i="9"/>
  <c r="T59" i="9"/>
  <c r="T98" i="9"/>
  <c r="T108" i="9"/>
  <c r="E4" i="11"/>
  <c r="F6" i="11"/>
  <c r="E7" i="11"/>
  <c r="D6" i="11"/>
  <c r="C7" i="11"/>
  <c r="D8" i="2"/>
  <c r="C8" i="2"/>
  <c r="B8" i="2"/>
  <c r="D6" i="2"/>
  <c r="C6" i="2"/>
  <c r="B6" i="2"/>
  <c r="G5" i="11"/>
  <c r="G10" i="11"/>
  <c r="G13" i="11"/>
  <c r="G16" i="11"/>
  <c r="G18" i="11"/>
  <c r="G9" i="11"/>
  <c r="G26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7" i="11"/>
  <c r="H5" i="11"/>
  <c r="E5" i="11"/>
  <c r="E10" i="11"/>
  <c r="E13" i="11"/>
  <c r="E16" i="11"/>
  <c r="E18" i="11"/>
  <c r="E9" i="11"/>
  <c r="E26" i="11"/>
  <c r="C4" i="11"/>
  <c r="C5" i="11"/>
  <c r="C10" i="11"/>
  <c r="C13" i="11"/>
  <c r="C16" i="11"/>
  <c r="C18" i="11"/>
  <c r="C9" i="11"/>
  <c r="C26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7" i="11"/>
  <c r="F5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7" i="11"/>
  <c r="D5" i="11"/>
  <c r="E12" i="6"/>
  <c r="D12" i="6"/>
  <c r="C12" i="6"/>
  <c r="E59" i="12"/>
  <c r="F59" i="12"/>
  <c r="G59" i="12"/>
  <c r="H59" i="12"/>
  <c r="E60" i="12"/>
  <c r="F60" i="12"/>
  <c r="G60" i="12"/>
  <c r="H60" i="12"/>
  <c r="E61" i="12"/>
  <c r="F61" i="12"/>
  <c r="G61" i="12"/>
  <c r="H61" i="12"/>
  <c r="E62" i="12"/>
  <c r="F62" i="12"/>
  <c r="G62" i="12"/>
  <c r="H62" i="12"/>
  <c r="E63" i="12"/>
  <c r="F63" i="12"/>
  <c r="G63" i="12"/>
  <c r="H63" i="12"/>
  <c r="E64" i="12"/>
  <c r="F64" i="12"/>
  <c r="G64" i="12"/>
  <c r="H64" i="12"/>
  <c r="E65" i="12"/>
  <c r="F65" i="12"/>
  <c r="G65" i="12"/>
  <c r="H65" i="12"/>
  <c r="E66" i="12"/>
  <c r="F66" i="12"/>
  <c r="G66" i="12"/>
  <c r="H66" i="12"/>
  <c r="E67" i="12"/>
  <c r="F67" i="12"/>
  <c r="G67" i="12"/>
  <c r="H67" i="12"/>
  <c r="E68" i="12"/>
  <c r="F68" i="12"/>
  <c r="G68" i="12"/>
  <c r="H68" i="12"/>
  <c r="E69" i="12"/>
  <c r="F69" i="12"/>
  <c r="G69" i="12"/>
  <c r="H69" i="12"/>
  <c r="E70" i="12"/>
  <c r="F70" i="12"/>
  <c r="G70" i="12"/>
  <c r="H70" i="12"/>
  <c r="E71" i="12"/>
  <c r="F71" i="12"/>
  <c r="G71" i="12"/>
  <c r="H71" i="12"/>
  <c r="E72" i="12"/>
  <c r="F72" i="12"/>
  <c r="G72" i="12"/>
  <c r="H72" i="12"/>
  <c r="E73" i="12"/>
  <c r="F73" i="12"/>
  <c r="G73" i="12"/>
  <c r="H73" i="12"/>
  <c r="E74" i="12"/>
  <c r="F74" i="12"/>
  <c r="G74" i="12"/>
  <c r="H74" i="12"/>
  <c r="E75" i="12"/>
  <c r="F75" i="12"/>
  <c r="G75" i="12"/>
  <c r="H75" i="12"/>
  <c r="E76" i="12"/>
  <c r="F76" i="12"/>
  <c r="G76" i="12"/>
  <c r="H76" i="12"/>
  <c r="E77" i="12"/>
  <c r="F77" i="12"/>
  <c r="G77" i="12"/>
  <c r="H77" i="12"/>
  <c r="E78" i="12"/>
  <c r="F78" i="12"/>
  <c r="G78" i="12"/>
  <c r="H78" i="12"/>
  <c r="E79" i="12"/>
  <c r="F79" i="12"/>
  <c r="G79" i="12"/>
  <c r="H79" i="12"/>
  <c r="E80" i="12"/>
  <c r="F80" i="12"/>
  <c r="G80" i="12"/>
  <c r="H80" i="12"/>
  <c r="E81" i="12"/>
  <c r="F81" i="12"/>
  <c r="G81" i="12"/>
  <c r="H81" i="12"/>
  <c r="H82" i="12"/>
  <c r="G82" i="12"/>
  <c r="F82" i="12"/>
  <c r="E82" i="12"/>
  <c r="D82" i="12"/>
  <c r="C82" i="12"/>
  <c r="B82" i="12"/>
  <c r="E31" i="12"/>
  <c r="F31" i="12"/>
  <c r="G31" i="12"/>
  <c r="H31" i="12"/>
  <c r="E32" i="12"/>
  <c r="F32" i="12"/>
  <c r="G32" i="12"/>
  <c r="H32" i="12"/>
  <c r="E33" i="12"/>
  <c r="F33" i="12"/>
  <c r="G33" i="12"/>
  <c r="H33" i="12"/>
  <c r="E34" i="12"/>
  <c r="F34" i="12"/>
  <c r="G34" i="12"/>
  <c r="H34" i="12"/>
  <c r="E35" i="12"/>
  <c r="F35" i="12"/>
  <c r="G35" i="12"/>
  <c r="H35" i="12"/>
  <c r="E36" i="12"/>
  <c r="F36" i="12"/>
  <c r="G36" i="12"/>
  <c r="H36" i="12"/>
  <c r="E37" i="12"/>
  <c r="F37" i="12"/>
  <c r="G37" i="12"/>
  <c r="H37" i="12"/>
  <c r="E38" i="12"/>
  <c r="F38" i="12"/>
  <c r="G38" i="12"/>
  <c r="H38" i="12"/>
  <c r="E39" i="12"/>
  <c r="F39" i="12"/>
  <c r="G39" i="12"/>
  <c r="H39" i="12"/>
  <c r="E40" i="12"/>
  <c r="F40" i="12"/>
  <c r="G40" i="12"/>
  <c r="H40" i="12"/>
  <c r="E41" i="12"/>
  <c r="F41" i="12"/>
  <c r="G41" i="12"/>
  <c r="H41" i="12"/>
  <c r="E42" i="12"/>
  <c r="F42" i="12"/>
  <c r="G42" i="12"/>
  <c r="H42" i="12"/>
  <c r="E43" i="12"/>
  <c r="F43" i="12"/>
  <c r="G43" i="12"/>
  <c r="H43" i="12"/>
  <c r="E44" i="12"/>
  <c r="F44" i="12"/>
  <c r="G44" i="12"/>
  <c r="H44" i="12"/>
  <c r="E45" i="12"/>
  <c r="F45" i="12"/>
  <c r="G45" i="12"/>
  <c r="H45" i="12"/>
  <c r="E46" i="12"/>
  <c r="F46" i="12"/>
  <c r="G46" i="12"/>
  <c r="H46" i="12"/>
  <c r="E47" i="12"/>
  <c r="F47" i="12"/>
  <c r="G47" i="12"/>
  <c r="H47" i="12"/>
  <c r="E48" i="12"/>
  <c r="F48" i="12"/>
  <c r="G48" i="12"/>
  <c r="H48" i="12"/>
  <c r="E49" i="12"/>
  <c r="F49" i="12"/>
  <c r="G49" i="12"/>
  <c r="H49" i="12"/>
  <c r="E50" i="12"/>
  <c r="F50" i="12"/>
  <c r="G50" i="12"/>
  <c r="H50" i="12"/>
  <c r="E51" i="12"/>
  <c r="F51" i="12"/>
  <c r="G51" i="12"/>
  <c r="H51" i="12"/>
  <c r="E52" i="12"/>
  <c r="F52" i="12"/>
  <c r="G52" i="12"/>
  <c r="H52" i="12"/>
  <c r="E53" i="12"/>
  <c r="F53" i="12"/>
  <c r="G53" i="12"/>
  <c r="H53" i="12"/>
  <c r="H54" i="12"/>
  <c r="G54" i="12"/>
  <c r="F54" i="12"/>
  <c r="E54" i="12"/>
  <c r="D54" i="12"/>
  <c r="C54" i="12"/>
  <c r="B54" i="12"/>
  <c r="E3" i="12"/>
  <c r="F3" i="12"/>
  <c r="G3" i="12"/>
  <c r="H3" i="12"/>
  <c r="E4" i="12"/>
  <c r="F4" i="12"/>
  <c r="G4" i="12"/>
  <c r="H4" i="12"/>
  <c r="E5" i="12"/>
  <c r="F5" i="12"/>
  <c r="G5" i="12"/>
  <c r="H5" i="12"/>
  <c r="E6" i="12"/>
  <c r="F6" i="12"/>
  <c r="G6" i="12"/>
  <c r="H6" i="12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H26" i="12"/>
  <c r="G26" i="12"/>
  <c r="F26" i="12"/>
  <c r="D26" i="12"/>
  <c r="C26" i="12"/>
  <c r="E26" i="12"/>
  <c r="B26" i="12"/>
  <c r="D12" i="10"/>
  <c r="D10" i="10"/>
  <c r="C12" i="10"/>
  <c r="C10" i="10"/>
  <c r="C8" i="10"/>
  <c r="R97" i="9"/>
  <c r="R96" i="9"/>
  <c r="R95" i="9"/>
  <c r="R94" i="9"/>
  <c r="R93" i="9"/>
  <c r="R92" i="9"/>
  <c r="R91" i="9"/>
  <c r="R90" i="9"/>
  <c r="R89" i="9"/>
  <c r="R88" i="9"/>
  <c r="R87" i="9"/>
  <c r="R86" i="9"/>
  <c r="R84" i="9"/>
  <c r="R83" i="9"/>
  <c r="R82" i="9"/>
  <c r="R81" i="9"/>
  <c r="R80" i="9"/>
  <c r="R79" i="9"/>
  <c r="R78" i="9"/>
  <c r="R77" i="9"/>
  <c r="R76" i="9"/>
  <c r="R75" i="9"/>
  <c r="R74" i="9"/>
  <c r="R73" i="9"/>
  <c r="R71" i="9"/>
  <c r="R70" i="9"/>
  <c r="R69" i="9"/>
  <c r="R68" i="9"/>
  <c r="R67" i="9"/>
  <c r="R66" i="9"/>
  <c r="R65" i="9"/>
  <c r="R64" i="9"/>
  <c r="R63" i="9"/>
  <c r="R62" i="9"/>
  <c r="R61" i="9"/>
  <c r="R60" i="9"/>
  <c r="R151" i="9"/>
  <c r="R150" i="9"/>
  <c r="R149" i="9"/>
  <c r="R148" i="9"/>
  <c r="R147" i="9"/>
  <c r="R146" i="9"/>
  <c r="R145" i="9"/>
  <c r="R144" i="9"/>
  <c r="R143" i="9"/>
  <c r="R142" i="9"/>
  <c r="R141" i="9"/>
  <c r="R140" i="9"/>
  <c r="R138" i="9"/>
  <c r="R137" i="9"/>
  <c r="R136" i="9"/>
  <c r="R135" i="9"/>
  <c r="R134" i="9"/>
  <c r="R133" i="9"/>
  <c r="R132" i="9"/>
  <c r="R131" i="9"/>
  <c r="R130" i="9"/>
  <c r="R129" i="9"/>
  <c r="R128" i="9"/>
  <c r="R127" i="9"/>
  <c r="R125" i="9"/>
  <c r="R124" i="9"/>
  <c r="R123" i="9"/>
  <c r="R122" i="9"/>
  <c r="R121" i="9"/>
  <c r="R120" i="9"/>
  <c r="R119" i="9"/>
  <c r="R118" i="9"/>
  <c r="R117" i="9"/>
  <c r="R116" i="9"/>
  <c r="R115" i="9"/>
  <c r="R114" i="9"/>
  <c r="R154" i="9"/>
  <c r="U154" i="9"/>
  <c r="R155" i="9"/>
  <c r="U155" i="9"/>
  <c r="R156" i="9"/>
  <c r="U156" i="9"/>
  <c r="R157" i="9"/>
  <c r="U157" i="9"/>
  <c r="R158" i="9"/>
  <c r="U158" i="9"/>
  <c r="R159" i="9"/>
  <c r="U159" i="9"/>
  <c r="R160" i="9"/>
  <c r="U160" i="9"/>
  <c r="R161" i="9"/>
  <c r="U161" i="9"/>
  <c r="U153" i="9"/>
  <c r="U140" i="9"/>
  <c r="U141" i="9"/>
  <c r="U142" i="9"/>
  <c r="U143" i="9"/>
  <c r="U144" i="9"/>
  <c r="U145" i="9"/>
  <c r="U146" i="9"/>
  <c r="U147" i="9"/>
  <c r="U148" i="9"/>
  <c r="U149" i="9"/>
  <c r="U150" i="9"/>
  <c r="U151" i="9"/>
  <c r="U139" i="9"/>
  <c r="U127" i="9"/>
  <c r="U128" i="9"/>
  <c r="U129" i="9"/>
  <c r="U130" i="9"/>
  <c r="U131" i="9"/>
  <c r="U132" i="9"/>
  <c r="U133" i="9"/>
  <c r="U134" i="9"/>
  <c r="U135" i="9"/>
  <c r="U136" i="9"/>
  <c r="U137" i="9"/>
  <c r="U138" i="9"/>
  <c r="U126" i="9"/>
  <c r="U114" i="9"/>
  <c r="U115" i="9"/>
  <c r="U116" i="9"/>
  <c r="U117" i="9"/>
  <c r="U118" i="9"/>
  <c r="U119" i="9"/>
  <c r="U120" i="9"/>
  <c r="U121" i="9"/>
  <c r="U122" i="9"/>
  <c r="U123" i="9"/>
  <c r="U124" i="9"/>
  <c r="U125" i="9"/>
  <c r="U113" i="9"/>
  <c r="U152" i="9"/>
  <c r="U162" i="9"/>
  <c r="T154" i="9"/>
  <c r="T155" i="9"/>
  <c r="T156" i="9"/>
  <c r="T157" i="9"/>
  <c r="T158" i="9"/>
  <c r="T159" i="9"/>
  <c r="T160" i="9"/>
  <c r="T161" i="9"/>
  <c r="T153" i="9"/>
  <c r="R153" i="9"/>
  <c r="R139" i="9"/>
  <c r="R126" i="9"/>
  <c r="R113" i="9"/>
  <c r="R152" i="9"/>
  <c r="R162" i="9"/>
  <c r="Q153" i="9"/>
  <c r="Q139" i="9"/>
  <c r="Q126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13" i="9"/>
  <c r="Q152" i="9"/>
  <c r="Q162" i="9"/>
  <c r="P153" i="9"/>
  <c r="P139" i="9"/>
  <c r="P126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13" i="9"/>
  <c r="P152" i="9"/>
  <c r="P162" i="9"/>
  <c r="O153" i="9"/>
  <c r="O139" i="9"/>
  <c r="O126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13" i="9"/>
  <c r="O152" i="9"/>
  <c r="O162" i="9"/>
  <c r="N153" i="9"/>
  <c r="N139" i="9"/>
  <c r="N126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13" i="9"/>
  <c r="N152" i="9"/>
  <c r="N162" i="9"/>
  <c r="M153" i="9"/>
  <c r="M139" i="9"/>
  <c r="M126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13" i="9"/>
  <c r="M152" i="9"/>
  <c r="M162" i="9"/>
  <c r="L153" i="9"/>
  <c r="L139" i="9"/>
  <c r="L126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13" i="9"/>
  <c r="L152" i="9"/>
  <c r="L162" i="9"/>
  <c r="K153" i="9"/>
  <c r="K139" i="9"/>
  <c r="K126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13" i="9"/>
  <c r="K152" i="9"/>
  <c r="K162" i="9"/>
  <c r="J153" i="9"/>
  <c r="J139" i="9"/>
  <c r="J126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13" i="9"/>
  <c r="J152" i="9"/>
  <c r="J162" i="9"/>
  <c r="I153" i="9"/>
  <c r="I139" i="9"/>
  <c r="I126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13" i="9"/>
  <c r="I152" i="9"/>
  <c r="I162" i="9"/>
  <c r="H153" i="9"/>
  <c r="H139" i="9"/>
  <c r="H126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13" i="9"/>
  <c r="H152" i="9"/>
  <c r="H162" i="9"/>
  <c r="G153" i="9"/>
  <c r="G139" i="9"/>
  <c r="G126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13" i="9"/>
  <c r="G152" i="9"/>
  <c r="G162" i="9"/>
  <c r="F153" i="9"/>
  <c r="F139" i="9"/>
  <c r="F126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13" i="9"/>
  <c r="F152" i="9"/>
  <c r="F162" i="9"/>
  <c r="U107" i="9"/>
  <c r="T107" i="9"/>
  <c r="U106" i="9"/>
  <c r="T106" i="9"/>
  <c r="U105" i="9"/>
  <c r="T105" i="9"/>
  <c r="U104" i="9"/>
  <c r="T104" i="9"/>
  <c r="U103" i="9"/>
  <c r="T103" i="9"/>
  <c r="U102" i="9"/>
  <c r="T102" i="9"/>
  <c r="U101" i="9"/>
  <c r="T101" i="9"/>
  <c r="U100" i="9"/>
  <c r="T100" i="9"/>
  <c r="U97" i="9"/>
  <c r="U96" i="9"/>
  <c r="U95" i="9"/>
  <c r="U94" i="9"/>
  <c r="U93" i="9"/>
  <c r="U92" i="9"/>
  <c r="U91" i="9"/>
  <c r="U90" i="9"/>
  <c r="U89" i="9"/>
  <c r="U88" i="9"/>
  <c r="U87" i="9"/>
  <c r="U86" i="9"/>
  <c r="U84" i="9"/>
  <c r="U83" i="9"/>
  <c r="U82" i="9"/>
  <c r="U81" i="9"/>
  <c r="U80" i="9"/>
  <c r="U79" i="9"/>
  <c r="U78" i="9"/>
  <c r="U77" i="9"/>
  <c r="U76" i="9"/>
  <c r="U75" i="9"/>
  <c r="U74" i="9"/>
  <c r="U73" i="9"/>
  <c r="U71" i="9"/>
  <c r="U70" i="9"/>
  <c r="U69" i="9"/>
  <c r="U68" i="9"/>
  <c r="U67" i="9"/>
  <c r="U66" i="9"/>
  <c r="U65" i="9"/>
  <c r="U64" i="9"/>
  <c r="U63" i="9"/>
  <c r="U62" i="9"/>
  <c r="U61" i="9"/>
  <c r="U60" i="9"/>
  <c r="R107" i="9"/>
  <c r="R106" i="9"/>
  <c r="R105" i="9"/>
  <c r="R104" i="9"/>
  <c r="R103" i="9"/>
  <c r="R102" i="9"/>
  <c r="R101" i="9"/>
  <c r="R100" i="9"/>
  <c r="R85" i="9"/>
  <c r="R72" i="9"/>
  <c r="Q71" i="9"/>
  <c r="P71" i="9"/>
  <c r="O71" i="9"/>
  <c r="N71" i="9"/>
  <c r="M71" i="9"/>
  <c r="L71" i="9"/>
  <c r="K71" i="9"/>
  <c r="J71" i="9"/>
  <c r="I71" i="9"/>
  <c r="H71" i="9"/>
  <c r="G71" i="9"/>
  <c r="F71" i="9"/>
  <c r="Q70" i="9"/>
  <c r="P70" i="9"/>
  <c r="O70" i="9"/>
  <c r="N70" i="9"/>
  <c r="M70" i="9"/>
  <c r="L70" i="9"/>
  <c r="K70" i="9"/>
  <c r="J70" i="9"/>
  <c r="I70" i="9"/>
  <c r="H70" i="9"/>
  <c r="G70" i="9"/>
  <c r="F70" i="9"/>
  <c r="Q69" i="9"/>
  <c r="P69" i="9"/>
  <c r="O69" i="9"/>
  <c r="N69" i="9"/>
  <c r="M69" i="9"/>
  <c r="L69" i="9"/>
  <c r="K69" i="9"/>
  <c r="J69" i="9"/>
  <c r="I69" i="9"/>
  <c r="H69" i="9"/>
  <c r="G69" i="9"/>
  <c r="F69" i="9"/>
  <c r="Q68" i="9"/>
  <c r="P68" i="9"/>
  <c r="O68" i="9"/>
  <c r="N68" i="9"/>
  <c r="M68" i="9"/>
  <c r="L68" i="9"/>
  <c r="K68" i="9"/>
  <c r="J68" i="9"/>
  <c r="I68" i="9"/>
  <c r="H68" i="9"/>
  <c r="G68" i="9"/>
  <c r="F68" i="9"/>
  <c r="Q67" i="9"/>
  <c r="P67" i="9"/>
  <c r="O67" i="9"/>
  <c r="N67" i="9"/>
  <c r="M67" i="9"/>
  <c r="L67" i="9"/>
  <c r="K67" i="9"/>
  <c r="J67" i="9"/>
  <c r="I67" i="9"/>
  <c r="H67" i="9"/>
  <c r="G67" i="9"/>
  <c r="F67" i="9"/>
  <c r="Q66" i="9"/>
  <c r="P66" i="9"/>
  <c r="O66" i="9"/>
  <c r="N66" i="9"/>
  <c r="M66" i="9"/>
  <c r="L66" i="9"/>
  <c r="K66" i="9"/>
  <c r="J66" i="9"/>
  <c r="I66" i="9"/>
  <c r="H66" i="9"/>
  <c r="G66" i="9"/>
  <c r="F66" i="9"/>
  <c r="Q65" i="9"/>
  <c r="P65" i="9"/>
  <c r="O65" i="9"/>
  <c r="N65" i="9"/>
  <c r="M65" i="9"/>
  <c r="L65" i="9"/>
  <c r="K65" i="9"/>
  <c r="J65" i="9"/>
  <c r="I65" i="9"/>
  <c r="H65" i="9"/>
  <c r="G65" i="9"/>
  <c r="F65" i="9"/>
  <c r="Q64" i="9"/>
  <c r="P64" i="9"/>
  <c r="O64" i="9"/>
  <c r="N64" i="9"/>
  <c r="M64" i="9"/>
  <c r="L64" i="9"/>
  <c r="K64" i="9"/>
  <c r="J64" i="9"/>
  <c r="I64" i="9"/>
  <c r="H64" i="9"/>
  <c r="G64" i="9"/>
  <c r="F64" i="9"/>
  <c r="Q63" i="9"/>
  <c r="P63" i="9"/>
  <c r="O63" i="9"/>
  <c r="N63" i="9"/>
  <c r="M63" i="9"/>
  <c r="L63" i="9"/>
  <c r="K63" i="9"/>
  <c r="J63" i="9"/>
  <c r="I63" i="9"/>
  <c r="H63" i="9"/>
  <c r="G63" i="9"/>
  <c r="F63" i="9"/>
  <c r="Q62" i="9"/>
  <c r="P62" i="9"/>
  <c r="O62" i="9"/>
  <c r="N62" i="9"/>
  <c r="M62" i="9"/>
  <c r="L62" i="9"/>
  <c r="K62" i="9"/>
  <c r="J62" i="9"/>
  <c r="I62" i="9"/>
  <c r="H62" i="9"/>
  <c r="G62" i="9"/>
  <c r="F62" i="9"/>
  <c r="Q61" i="9"/>
  <c r="P61" i="9"/>
  <c r="O61" i="9"/>
  <c r="N61" i="9"/>
  <c r="M61" i="9"/>
  <c r="L61" i="9"/>
  <c r="K61" i="9"/>
  <c r="J61" i="9"/>
  <c r="I61" i="9"/>
  <c r="H61" i="9"/>
  <c r="G61" i="9"/>
  <c r="F61" i="9"/>
  <c r="Q60" i="9"/>
  <c r="P60" i="9"/>
  <c r="O60" i="9"/>
  <c r="N60" i="9"/>
  <c r="M60" i="9"/>
  <c r="L60" i="9"/>
  <c r="K60" i="9"/>
  <c r="J60" i="9"/>
  <c r="I60" i="9"/>
  <c r="H60" i="9"/>
  <c r="G60" i="9"/>
  <c r="F60" i="9"/>
  <c r="U99" i="9"/>
  <c r="U85" i="9"/>
  <c r="U72" i="9"/>
  <c r="U59" i="9"/>
  <c r="U98" i="9"/>
  <c r="U108" i="9"/>
  <c r="T99" i="9"/>
  <c r="R99" i="9"/>
  <c r="R59" i="9"/>
  <c r="R98" i="9"/>
  <c r="R108" i="9"/>
  <c r="Q99" i="9"/>
  <c r="Q85" i="9"/>
  <c r="Q72" i="9"/>
  <c r="Q59" i="9"/>
  <c r="Q98" i="9"/>
  <c r="Q108" i="9"/>
  <c r="P99" i="9"/>
  <c r="P85" i="9"/>
  <c r="P72" i="9"/>
  <c r="P59" i="9"/>
  <c r="P98" i="9"/>
  <c r="P108" i="9"/>
  <c r="O99" i="9"/>
  <c r="O85" i="9"/>
  <c r="O72" i="9"/>
  <c r="O59" i="9"/>
  <c r="O98" i="9"/>
  <c r="O108" i="9"/>
  <c r="N99" i="9"/>
  <c r="N85" i="9"/>
  <c r="N72" i="9"/>
  <c r="N59" i="9"/>
  <c r="N98" i="9"/>
  <c r="N108" i="9"/>
  <c r="M99" i="9"/>
  <c r="M85" i="9"/>
  <c r="M72" i="9"/>
  <c r="M59" i="9"/>
  <c r="M98" i="9"/>
  <c r="M108" i="9"/>
  <c r="L99" i="9"/>
  <c r="L85" i="9"/>
  <c r="L72" i="9"/>
  <c r="L59" i="9"/>
  <c r="L98" i="9"/>
  <c r="L108" i="9"/>
  <c r="K99" i="9"/>
  <c r="K85" i="9"/>
  <c r="K72" i="9"/>
  <c r="K59" i="9"/>
  <c r="K98" i="9"/>
  <c r="K108" i="9"/>
  <c r="J99" i="9"/>
  <c r="J85" i="9"/>
  <c r="J72" i="9"/>
  <c r="J59" i="9"/>
  <c r="J98" i="9"/>
  <c r="J108" i="9"/>
  <c r="I99" i="9"/>
  <c r="I85" i="9"/>
  <c r="I72" i="9"/>
  <c r="I59" i="9"/>
  <c r="I98" i="9"/>
  <c r="I108" i="9"/>
  <c r="H99" i="9"/>
  <c r="H85" i="9"/>
  <c r="H72" i="9"/>
  <c r="H59" i="9"/>
  <c r="H98" i="9"/>
  <c r="H108" i="9"/>
  <c r="G99" i="9"/>
  <c r="G85" i="9"/>
  <c r="G72" i="9"/>
  <c r="G59" i="9"/>
  <c r="G98" i="9"/>
  <c r="G108" i="9"/>
  <c r="F99" i="9"/>
  <c r="F85" i="9"/>
  <c r="F72" i="9"/>
  <c r="F59" i="9"/>
  <c r="F98" i="9"/>
  <c r="F108" i="9"/>
  <c r="U46" i="9"/>
  <c r="U47" i="9"/>
  <c r="U48" i="9"/>
  <c r="U49" i="9"/>
  <c r="U50" i="9"/>
  <c r="U51" i="9"/>
  <c r="U52" i="9"/>
  <c r="U53" i="9"/>
  <c r="U45" i="9"/>
  <c r="U32" i="9"/>
  <c r="U33" i="9"/>
  <c r="U34" i="9"/>
  <c r="U35" i="9"/>
  <c r="U36" i="9"/>
  <c r="U37" i="9"/>
  <c r="U38" i="9"/>
  <c r="U39" i="9"/>
  <c r="U40" i="9"/>
  <c r="U41" i="9"/>
  <c r="U42" i="9"/>
  <c r="U43" i="9"/>
  <c r="U31" i="9"/>
  <c r="U19" i="9"/>
  <c r="U20" i="9"/>
  <c r="U21" i="9"/>
  <c r="U22" i="9"/>
  <c r="U23" i="9"/>
  <c r="U24" i="9"/>
  <c r="U25" i="9"/>
  <c r="U26" i="9"/>
  <c r="U27" i="9"/>
  <c r="U28" i="9"/>
  <c r="U29" i="9"/>
  <c r="U30" i="9"/>
  <c r="U18" i="9"/>
  <c r="U6" i="9"/>
  <c r="U7" i="9"/>
  <c r="U8" i="9"/>
  <c r="U9" i="9"/>
  <c r="U10" i="9"/>
  <c r="U11" i="9"/>
  <c r="U12" i="9"/>
  <c r="U13" i="9"/>
  <c r="U14" i="9"/>
  <c r="U15" i="9"/>
  <c r="U16" i="9"/>
  <c r="U17" i="9"/>
  <c r="U5" i="9"/>
  <c r="U44" i="9"/>
  <c r="U54" i="9"/>
  <c r="T46" i="9"/>
  <c r="T47" i="9"/>
  <c r="T48" i="9"/>
  <c r="T49" i="9"/>
  <c r="T50" i="9"/>
  <c r="T51" i="9"/>
  <c r="T52" i="9"/>
  <c r="T53" i="9"/>
  <c r="T45" i="9"/>
  <c r="T32" i="9"/>
  <c r="T33" i="9"/>
  <c r="T34" i="9"/>
  <c r="T35" i="9"/>
  <c r="T36" i="9"/>
  <c r="T37" i="9"/>
  <c r="T38" i="9"/>
  <c r="T39" i="9"/>
  <c r="T40" i="9"/>
  <c r="T41" i="9"/>
  <c r="T42" i="9"/>
  <c r="T43" i="9"/>
  <c r="T31" i="9"/>
  <c r="T19" i="9"/>
  <c r="T20" i="9"/>
  <c r="T21" i="9"/>
  <c r="T22" i="9"/>
  <c r="T23" i="9"/>
  <c r="T24" i="9"/>
  <c r="T25" i="9"/>
  <c r="T26" i="9"/>
  <c r="T27" i="9"/>
  <c r="T28" i="9"/>
  <c r="T29" i="9"/>
  <c r="T30" i="9"/>
  <c r="T18" i="9"/>
  <c r="T6" i="9"/>
  <c r="T7" i="9"/>
  <c r="T8" i="9"/>
  <c r="T9" i="9"/>
  <c r="T10" i="9"/>
  <c r="T11" i="9"/>
  <c r="T12" i="9"/>
  <c r="T13" i="9"/>
  <c r="T14" i="9"/>
  <c r="T15" i="9"/>
  <c r="T16" i="9"/>
  <c r="T17" i="9"/>
  <c r="T5" i="9"/>
  <c r="T44" i="9"/>
  <c r="T54" i="9"/>
  <c r="R45" i="9"/>
  <c r="R32" i="9"/>
  <c r="R33" i="9"/>
  <c r="R34" i="9"/>
  <c r="R35" i="9"/>
  <c r="R36" i="9"/>
  <c r="R37" i="9"/>
  <c r="R38" i="9"/>
  <c r="R39" i="9"/>
  <c r="R40" i="9"/>
  <c r="R41" i="9"/>
  <c r="R42" i="9"/>
  <c r="R43" i="9"/>
  <c r="R31" i="9"/>
  <c r="R19" i="9"/>
  <c r="R20" i="9"/>
  <c r="R21" i="9"/>
  <c r="R22" i="9"/>
  <c r="R23" i="9"/>
  <c r="R24" i="9"/>
  <c r="R25" i="9"/>
  <c r="R26" i="9"/>
  <c r="R27" i="9"/>
  <c r="R28" i="9"/>
  <c r="R29" i="9"/>
  <c r="R30" i="9"/>
  <c r="R18" i="9"/>
  <c r="R6" i="9"/>
  <c r="R7" i="9"/>
  <c r="R8" i="9"/>
  <c r="R9" i="9"/>
  <c r="R10" i="9"/>
  <c r="R11" i="9"/>
  <c r="R12" i="9"/>
  <c r="R13" i="9"/>
  <c r="R14" i="9"/>
  <c r="R15" i="9"/>
  <c r="R16" i="9"/>
  <c r="R17" i="9"/>
  <c r="R5" i="9"/>
  <c r="R44" i="9"/>
  <c r="R54" i="9"/>
  <c r="Q45" i="9"/>
  <c r="Q31" i="9"/>
  <c r="Q18" i="9"/>
  <c r="Q5" i="9"/>
  <c r="Q44" i="9"/>
  <c r="Q54" i="9"/>
  <c r="P45" i="9"/>
  <c r="P31" i="9"/>
  <c r="P18" i="9"/>
  <c r="P5" i="9"/>
  <c r="P44" i="9"/>
  <c r="P54" i="9"/>
  <c r="O45" i="9"/>
  <c r="O31" i="9"/>
  <c r="O18" i="9"/>
  <c r="O5" i="9"/>
  <c r="O44" i="9"/>
  <c r="O54" i="9"/>
  <c r="N45" i="9"/>
  <c r="N31" i="9"/>
  <c r="N18" i="9"/>
  <c r="N5" i="9"/>
  <c r="N44" i="9"/>
  <c r="N54" i="9"/>
  <c r="M45" i="9"/>
  <c r="M31" i="9"/>
  <c r="M18" i="9"/>
  <c r="M5" i="9"/>
  <c r="M44" i="9"/>
  <c r="M54" i="9"/>
  <c r="L45" i="9"/>
  <c r="L31" i="9"/>
  <c r="L18" i="9"/>
  <c r="L5" i="9"/>
  <c r="L44" i="9"/>
  <c r="L54" i="9"/>
  <c r="K45" i="9"/>
  <c r="K31" i="9"/>
  <c r="K18" i="9"/>
  <c r="K5" i="9"/>
  <c r="K44" i="9"/>
  <c r="K54" i="9"/>
  <c r="J45" i="9"/>
  <c r="J31" i="9"/>
  <c r="J18" i="9"/>
  <c r="J5" i="9"/>
  <c r="J44" i="9"/>
  <c r="J54" i="9"/>
  <c r="I45" i="9"/>
  <c r="I31" i="9"/>
  <c r="I18" i="9"/>
  <c r="I5" i="9"/>
  <c r="I44" i="9"/>
  <c r="I54" i="9"/>
  <c r="H45" i="9"/>
  <c r="H31" i="9"/>
  <c r="H18" i="9"/>
  <c r="H5" i="9"/>
  <c r="H44" i="9"/>
  <c r="H54" i="9"/>
  <c r="G45" i="9"/>
  <c r="G31" i="9"/>
  <c r="G18" i="9"/>
  <c r="G5" i="9"/>
  <c r="G44" i="9"/>
  <c r="G54" i="9"/>
  <c r="F45" i="9"/>
  <c r="F31" i="9"/>
  <c r="F18" i="9"/>
  <c r="F5" i="9"/>
  <c r="F44" i="9"/>
  <c r="F54" i="9"/>
  <c r="B11" i="1"/>
  <c r="B12" i="1"/>
  <c r="B13" i="1"/>
  <c r="C11" i="1"/>
  <c r="C12" i="1"/>
  <c r="C13" i="1"/>
  <c r="D11" i="1"/>
  <c r="D12" i="1"/>
  <c r="D13" i="1"/>
  <c r="B21" i="1"/>
  <c r="E7" i="8"/>
  <c r="D7" i="8"/>
  <c r="C7" i="8"/>
  <c r="E16" i="6"/>
  <c r="D16" i="6"/>
  <c r="C16" i="6"/>
  <c r="E10" i="7"/>
  <c r="D10" i="7"/>
  <c r="C10" i="7"/>
  <c r="E5" i="7"/>
  <c r="D5" i="7"/>
  <c r="E2" i="5"/>
  <c r="E3" i="5"/>
  <c r="E4" i="5"/>
  <c r="E6" i="5"/>
  <c r="E7" i="5"/>
  <c r="E8" i="5"/>
  <c r="E9" i="5"/>
  <c r="E10" i="5"/>
  <c r="E11" i="5"/>
  <c r="E12" i="5"/>
  <c r="D13" i="5"/>
  <c r="E13" i="5"/>
  <c r="E18" i="5"/>
  <c r="D2" i="5"/>
  <c r="D3" i="5"/>
  <c r="D4" i="5"/>
  <c r="D6" i="5"/>
  <c r="D7" i="5"/>
  <c r="D8" i="5"/>
  <c r="D9" i="5"/>
  <c r="D10" i="5"/>
  <c r="D11" i="5"/>
  <c r="D12" i="5"/>
  <c r="D18" i="5"/>
  <c r="C2" i="5"/>
  <c r="C3" i="5"/>
  <c r="C4" i="5"/>
  <c r="C6" i="5"/>
  <c r="C7" i="5"/>
  <c r="C8" i="5"/>
  <c r="C9" i="5"/>
  <c r="C10" i="5"/>
  <c r="C11" i="5"/>
  <c r="C12" i="5"/>
  <c r="C13" i="5"/>
  <c r="C18" i="5"/>
</calcChain>
</file>

<file path=xl/sharedStrings.xml><?xml version="1.0" encoding="utf-8"?>
<sst xmlns="http://schemas.openxmlformats.org/spreadsheetml/2006/main" count="631" uniqueCount="276">
  <si>
    <t>Ingresos :</t>
  </si>
  <si>
    <t>Saldo inicial de caja</t>
  </si>
  <si>
    <t>Cobranzas de ventas</t>
  </si>
  <si>
    <t>TOTAL INGRESOS</t>
  </si>
  <si>
    <t>Egresos de Operación:</t>
  </si>
  <si>
    <t>Costo de Venta</t>
  </si>
  <si>
    <t>SG&amp;A</t>
  </si>
  <si>
    <t>TOTAL DE EGRESOS POR OPERACIÓN</t>
  </si>
  <si>
    <t>Gastos de capital</t>
  </si>
  <si>
    <t xml:space="preserve">Escudo fiscal </t>
  </si>
  <si>
    <t>SALDO FINAL</t>
  </si>
  <si>
    <t>VAN</t>
  </si>
  <si>
    <t>COK</t>
  </si>
  <si>
    <t>TOTAL 2017</t>
  </si>
  <si>
    <t>TOTAL 2018</t>
  </si>
  <si>
    <t>TOTAL 2019</t>
  </si>
  <si>
    <t>Cantidad de ventas proyectada (Número de audífonos)</t>
  </si>
  <si>
    <t>VALOR DE COMPRA (CIP 0% MARK UP)</t>
  </si>
  <si>
    <t>GASTOS DE IMPORTACIÓN</t>
  </si>
  <si>
    <t>COSTO DE BIENES VENDIDOS</t>
  </si>
  <si>
    <t>UTILIDAD BRUTA</t>
  </si>
  <si>
    <t>MARGEN BRUTO</t>
  </si>
  <si>
    <t>TOTAL GASTOS OPERATIVOS</t>
  </si>
  <si>
    <t>UTILIDAD OPERATIVA</t>
  </si>
  <si>
    <t>MARGEN OPERATIVO (ANTES DE IMPUESTOS)</t>
  </si>
  <si>
    <t>Debe</t>
  </si>
  <si>
    <t>Haber</t>
  </si>
  <si>
    <t>Caja y bancos TAA</t>
  </si>
  <si>
    <t>Cuentas por cobrar</t>
  </si>
  <si>
    <t>Otros activos corrientes</t>
  </si>
  <si>
    <t>Inventario de productos terminados</t>
  </si>
  <si>
    <t>Otros gastos prepagados</t>
  </si>
  <si>
    <t>Edificios y mejoras</t>
  </si>
  <si>
    <t>Otros equipos</t>
  </si>
  <si>
    <t>Depreciación acumulada - Edificios y mejoras</t>
  </si>
  <si>
    <t>Depreciación acumulada - Otros equipos</t>
  </si>
  <si>
    <t>Otros activos intangibles</t>
  </si>
  <si>
    <t>Cuentas por pagar</t>
  </si>
  <si>
    <t>Otros pasivos corrientes</t>
  </si>
  <si>
    <t>Acciones o capital social</t>
  </si>
  <si>
    <t>Utilidades retenidas de periodos anteriores</t>
  </si>
  <si>
    <t>Utilidad del ejercicio</t>
  </si>
  <si>
    <t>Utilidad neta del ejercicio</t>
  </si>
  <si>
    <t>Total Activos</t>
  </si>
  <si>
    <t>Total capital social</t>
  </si>
  <si>
    <t>ROA</t>
  </si>
  <si>
    <t>ROE</t>
  </si>
  <si>
    <t>Iniciativa</t>
  </si>
  <si>
    <t>Ejecutar un estricto control de calidad a los productos terminados importados y a los producidos localmente.</t>
  </si>
  <si>
    <t>Realizar un adecuado control de calidad a todas las reparaciones hechas localmente antes de ser entregadas a clientes.</t>
  </si>
  <si>
    <t>Monitorear el proceso de adaptación de clientes.</t>
  </si>
  <si>
    <t>EOE1</t>
  </si>
  <si>
    <t>Identificar oportunidades de optimización y utilización de sinergias o recursos compartidos con la matriz.</t>
  </si>
  <si>
    <t>Disminuir gastos fijos dentro de la estructura de costos operativos.</t>
  </si>
  <si>
    <t>EOE2</t>
  </si>
  <si>
    <t>Aprovechar tratados comerciales para reducción o eliminación de aranceles como la Alianza del Pacífico o TLC con EEUU.</t>
  </si>
  <si>
    <t>Búsqueda de eficiencias y ahorros en el servicio logístico de proveedores como cargos por almacenamiento, desaduanaje, transporte, etc.</t>
  </si>
  <si>
    <t>Homologación de productos.</t>
  </si>
  <si>
    <t>EOE2 &amp; EOE3</t>
  </si>
  <si>
    <t>Optimizar el proceso de despacho, días de tránsito y manejo aduanero.</t>
  </si>
  <si>
    <t>EOE3</t>
  </si>
  <si>
    <t>Identificación y cumplimiento con normas nacionales de certificación de equipos médicos y materiales de importación restringida o controlada.</t>
  </si>
  <si>
    <t>Utilización de tecnología disponible para digitalizar y por lo tanto hacer más ágil el proceso.</t>
  </si>
  <si>
    <t>Fortalecer las campañas de comunicación con clientes para incentivar los mantenimientos preventivos de audífonos y el cumplimiento de los cronogramas de revisiones y controles.</t>
  </si>
  <si>
    <t>EOE4</t>
  </si>
  <si>
    <t>Remodelación del Local 1 (San Borja) y habilitación de dos nuevos consultorios en este local (total 4 consultorios)</t>
  </si>
  <si>
    <t>Habilitación del segundo consultorio en el local de San Isidro.</t>
  </si>
  <si>
    <t>Apertura de local en Zona 7 (Miraflores) con un consultorio</t>
  </si>
  <si>
    <t>Apertura de local en Zona 6 (San Miguel) con un consultorio habilitado</t>
  </si>
  <si>
    <t>TOTAL</t>
  </si>
  <si>
    <t>Actividades</t>
  </si>
  <si>
    <t>Proceso de adquisición de competencias</t>
  </si>
  <si>
    <t>Elaboración de puestos y perfiles.</t>
  </si>
  <si>
    <t>Definir políticas de reclutamiento y selección de personal.</t>
  </si>
  <si>
    <t>Política de recolocación laboral para acceder a un nuevo empleo a colaboradores que sean despedidos sin faltas éticas.</t>
  </si>
  <si>
    <t>Proceso de desarrollo de competencias</t>
  </si>
  <si>
    <t>Establecer políticas de capacitación.</t>
  </si>
  <si>
    <t>Taller de gestión de ventas.</t>
  </si>
  <si>
    <t>Actualización de herramientas de gestión.</t>
  </si>
  <si>
    <t>Coaching de competencias gerenciales.</t>
  </si>
  <si>
    <t>Pasantías en la matriz de Starkey Laboratories en Estados Unidos</t>
  </si>
  <si>
    <t>Proceso Estimulación de competencias</t>
  </si>
  <si>
    <t>Desarrollar plan de gestión de desempeño.</t>
  </si>
  <si>
    <t>Bonificaciones de desempeño.</t>
  </si>
  <si>
    <t>Bonificaciones sobre retos de salud.</t>
  </si>
  <si>
    <t>Implementar herramientas de medición sobre clima laboral.</t>
  </si>
  <si>
    <t>Cultura organizacional</t>
  </si>
  <si>
    <t>Charlas/ Talleres de cultura organizacional y ética.</t>
  </si>
  <si>
    <t>Total</t>
  </si>
  <si>
    <t>Actividad</t>
  </si>
  <si>
    <t>Desarrollar una investigación de mercado que permita alinear objetivos con demanda.</t>
  </si>
  <si>
    <t>Ejecutar una investigación de mercado por medio de una empresa consultora.</t>
  </si>
  <si>
    <t>Incrementar los puntos del canal directo.</t>
  </si>
  <si>
    <t>Evaluar ubicaciones y demanda potencial.</t>
  </si>
  <si>
    <t xml:space="preserve">Desarrollar el canal de venta indirecta por medio de socios estratégicos. </t>
  </si>
  <si>
    <r>
      <t xml:space="preserve">Establecer un </t>
    </r>
    <r>
      <rPr>
        <i/>
        <sz val="9"/>
        <color theme="1"/>
        <rFont val="Times New Roman"/>
      </rPr>
      <t>mix</t>
    </r>
    <r>
      <rPr>
        <sz val="9"/>
        <color theme="1"/>
        <rFont val="Times New Roman"/>
      </rPr>
      <t xml:space="preserve"> de medios de comunicación.</t>
    </r>
  </si>
  <si>
    <t>Definir el mix de medios adecuado y establecer un plan de seguimiento de generación de ventas.</t>
  </si>
  <si>
    <t>Programa de fidelización de médicos OTL.</t>
  </si>
  <si>
    <t>Comisiones de visitadores médicos.</t>
  </si>
  <si>
    <t>Comisiones de médicos OTL.</t>
  </si>
  <si>
    <t xml:space="preserve">Total </t>
  </si>
  <si>
    <r>
      <t xml:space="preserve">Desarrollo de un plan  de </t>
    </r>
    <r>
      <rPr>
        <i/>
        <sz val="9"/>
        <color theme="1"/>
        <rFont val="Times New Roman"/>
      </rPr>
      <t xml:space="preserve">Customer Relationship Management </t>
    </r>
    <r>
      <rPr>
        <sz val="9"/>
        <color theme="1"/>
        <rFont val="Times New Roman"/>
      </rPr>
      <t>(CRM).</t>
    </r>
  </si>
  <si>
    <r>
      <t xml:space="preserve">Puesta en marcha y mantenimiento de un </t>
    </r>
    <r>
      <rPr>
        <i/>
        <sz val="9"/>
        <color rgb="FF000000"/>
        <rFont val="Times New Roman"/>
      </rPr>
      <t>software</t>
    </r>
    <r>
      <rPr>
        <sz val="9"/>
        <color rgb="FF000000"/>
        <rFont val="Times New Roman"/>
      </rPr>
      <t xml:space="preserve"> CRM.</t>
    </r>
  </si>
  <si>
    <t>Búsqueda, evaluación y mantenimiento de socios estratégicos comerciales.</t>
  </si>
  <si>
    <t>Premios por ventas.</t>
  </si>
  <si>
    <t>Integrar las políticas de compra, distribución, contratación y asociaciones estratégicas con criterios éticos, sociales y ambientales.</t>
  </si>
  <si>
    <t xml:space="preserve">Gestionar una política de ética para contrataciones y asociaciones estratégicas. </t>
  </si>
  <si>
    <t>Participar en forma proactiva en campañas de  ayuda educativas o de despistaje en el Perú</t>
  </si>
  <si>
    <t>Campañas de despistaje auditivo gratuito.</t>
  </si>
  <si>
    <t>Campañas de educación para el cuidado auditivo en colegios.</t>
  </si>
  <si>
    <t>Contratación de personal  técnico con discapacidad auditiva</t>
  </si>
  <si>
    <t>Establecer una política de reciclaje de pilas, al proporcionar de forma gratuita pilas nuevas por dos pilas usadas</t>
  </si>
  <si>
    <t>Disminución de los impactos ambientales causados por actividades de la empresa.</t>
  </si>
  <si>
    <t>STARKEY PERU</t>
  </si>
  <si>
    <t>NET ASP PER UNIT</t>
  </si>
  <si>
    <t>COST PER UNIT</t>
  </si>
  <si>
    <t>NET UNITS BY MONTH</t>
  </si>
  <si>
    <t>2017 UNITS</t>
  </si>
  <si>
    <t>NET 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</si>
  <si>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</si>
  <si>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</si>
  <si>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</si>
  <si>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</si>
  <si>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</si>
  <si>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</si>
  <si>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</si>
  <si>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</si>
  <si>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</si>
  <si>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</si>
  <si>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</si>
  <si>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</si>
  <si>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CUSTOM</t>
  </si>
  <si>
    <t>Premium Wired</t>
  </si>
  <si>
    <t>Premium Wireless</t>
  </si>
  <si>
    <t>High Wired</t>
  </si>
  <si>
    <t>High Wireless</t>
  </si>
  <si>
    <t>Mid-Level Wired</t>
  </si>
  <si>
    <t>Mid-Level Wireless</t>
  </si>
  <si>
    <t>Low Wired</t>
  </si>
  <si>
    <t>Low Wireless</t>
  </si>
  <si>
    <t>Basic Wired</t>
  </si>
  <si>
    <t>Basic Wireless</t>
  </si>
  <si>
    <t>Economy Wired</t>
  </si>
  <si>
    <t>Economy Wireless</t>
  </si>
  <si>
    <t>RIC</t>
  </si>
  <si>
    <t>BTE</t>
  </si>
  <si>
    <t>TOTAL HEARING AIDS</t>
  </si>
  <si>
    <t>OTHER REVENUE</t>
  </si>
  <si>
    <t>Batteries</t>
  </si>
  <si>
    <t>Earmolds</t>
  </si>
  <si>
    <t>Equipment</t>
  </si>
  <si>
    <t>Faceplates</t>
  </si>
  <si>
    <t>Repairs</t>
  </si>
  <si>
    <t>Wireless Accessories</t>
  </si>
  <si>
    <t>Extended Warranty</t>
  </si>
  <si>
    <t>Other</t>
  </si>
  <si>
    <t>TOTALS</t>
  </si>
  <si>
    <t>2017 BUDGET SUMMARY</t>
  </si>
  <si>
    <t>SELECT LOCATION</t>
  </si>
  <si>
    <t>2016 Reporting Exchange Rate Worksheet.xlsx</t>
  </si>
  <si>
    <t>P&amp;L SUMMARY</t>
  </si>
  <si>
    <t>UNIT SUMMARY</t>
  </si>
  <si>
    <t>ADVANCE HEARING</t>
  </si>
  <si>
    <t>INCREASE / (DECREASE)</t>
  </si>
  <si>
    <t>PRODUCT TYPE</t>
  </si>
  <si>
    <t>2017 BUDGET</t>
  </si>
  <si>
    <t>2016 PRO FORMA</t>
  </si>
  <si>
    <t>AUSTRALIA RETAIL</t>
  </si>
  <si>
    <t>BUDGET</t>
  </si>
  <si>
    <t>REVENUE</t>
  </si>
  <si>
    <t xml:space="preserve">          UNITS</t>
  </si>
  <si>
    <t xml:space="preserve">          ASP</t>
  </si>
  <si>
    <t>GM %</t>
  </si>
  <si>
    <t xml:space="preserve">        ASP</t>
  </si>
  <si>
    <t>CAMPBELLS</t>
  </si>
  <si>
    <t>IKEDA</t>
  </si>
  <si>
    <t>TOTAL NET REVENUE</t>
  </si>
  <si>
    <t>AUDIBEL ITALY</t>
  </si>
  <si>
    <t xml:space="preserve">BTE </t>
  </si>
  <si>
    <t>STARKEY ROMANIA</t>
  </si>
  <si>
    <t>TOTAL COST OF SALES</t>
  </si>
  <si>
    <t>STARKEY SWEDEN</t>
  </si>
  <si>
    <t>OTHER</t>
  </si>
  <si>
    <t xml:space="preserve">   GROSS MARGIN</t>
  </si>
  <si>
    <t>SG&amp;A EXPENSES</t>
  </si>
  <si>
    <t>INTEREST INCOME / (EXPENSE)</t>
  </si>
  <si>
    <t>SG&amp;A EXPENSE BY TYPE</t>
  </si>
  <si>
    <t>OTHER INCOME / (EXPENSE)</t>
  </si>
  <si>
    <t>CATEGORY</t>
  </si>
  <si>
    <t>% OF REVENUE</t>
  </si>
  <si>
    <t>2017 VS. 2016 INCREASE / (DECREASE)</t>
  </si>
  <si>
    <t xml:space="preserve">   INCOME FROM EXTERNAL OPS</t>
  </si>
  <si>
    <t>PERSONNEL</t>
  </si>
  <si>
    <t>ADVERTISING &amp; PROMOTION</t>
  </si>
  <si>
    <t>INTERCO INCOME / (EXPENSE)</t>
  </si>
  <si>
    <t>RENT / OCCUPANCY</t>
  </si>
  <si>
    <t>AUTO &amp; TRAVEL</t>
  </si>
  <si>
    <t xml:space="preserve">   INCOME / (LOSS) BEFORE TAX</t>
  </si>
  <si>
    <t>BUSINESS MEETINGS</t>
  </si>
  <si>
    <t>OFFICE EXPENSES</t>
  </si>
  <si>
    <t>INCOME TAX PROVISION</t>
  </si>
  <si>
    <t xml:space="preserve">   NET INCOME / (LOSS)</t>
  </si>
  <si>
    <t>CAPITAL EXPENDITURES</t>
  </si>
  <si>
    <t>LAND, BUILDINGS, LEASEHOLD IMPROVEMENTS</t>
  </si>
  <si>
    <t>MANUFACTURING EQUIPMENT</t>
  </si>
  <si>
    <t>OFFICE FURNITURE AND EQUIPMENT</t>
  </si>
  <si>
    <t>COMPUTER HARDWARE AND SOFTWARE</t>
  </si>
  <si>
    <t>AUTOMOBILES</t>
  </si>
  <si>
    <t>CUSTOMER LOANS</t>
  </si>
  <si>
    <t>ACQUISITIONS</t>
  </si>
  <si>
    <t>COGS</t>
  </si>
  <si>
    <t>2019 (+15% unidades)</t>
  </si>
  <si>
    <t>2018 (+12% unidades)</t>
  </si>
  <si>
    <t>2017 TOTAL</t>
  </si>
  <si>
    <t>% OF REV</t>
  </si>
  <si>
    <t>2016 PRO RATA</t>
  </si>
  <si>
    <t>COST OF SALES</t>
  </si>
  <si>
    <t>SG&amp;A EXPENSE</t>
  </si>
  <si>
    <t>Selling Administrative Advertising</t>
  </si>
  <si>
    <t>Selling Business Meals</t>
  </si>
  <si>
    <t>Selling Business Entertainment</t>
  </si>
  <si>
    <t>Selling Bonus/Commissions</t>
  </si>
  <si>
    <t>Selling Computer Supplies and Expense</t>
  </si>
  <si>
    <t>Selling Depreciation Expense</t>
  </si>
  <si>
    <t>Selling Employee Training</t>
  </si>
  <si>
    <t>Selling Insurance - General</t>
  </si>
  <si>
    <t>Selling Sales Labor</t>
  </si>
  <si>
    <t>Selling Office Supplies &amp; Expense</t>
  </si>
  <si>
    <t>Selling Rent and Occupancy Expenses</t>
  </si>
  <si>
    <t>Selling Payroll Taxes</t>
  </si>
  <si>
    <t>Selling Postage</t>
  </si>
  <si>
    <t>Selling Professional Services</t>
  </si>
  <si>
    <t>Selling Telephone Expense</t>
  </si>
  <si>
    <t>Selling Travel Expense</t>
  </si>
  <si>
    <t xml:space="preserve">   INCOME BEFORE TAX</t>
  </si>
  <si>
    <t>Gratificaciones</t>
  </si>
  <si>
    <t>CTS</t>
  </si>
  <si>
    <t>Seguro Social</t>
  </si>
  <si>
    <t>Gerente General</t>
  </si>
  <si>
    <t>Jefe de administración</t>
  </si>
  <si>
    <t>Jefe de operaciones</t>
  </si>
  <si>
    <t>Audiologo 2</t>
  </si>
  <si>
    <t>Audiologo 3</t>
  </si>
  <si>
    <t>Audiologo 4</t>
  </si>
  <si>
    <t>Audiologo 5</t>
  </si>
  <si>
    <t>Tecnico Dapa 1</t>
  </si>
  <si>
    <t>Tecnico Dapa 2</t>
  </si>
  <si>
    <t>Audiologo 6</t>
  </si>
  <si>
    <t>Audiologo 7</t>
  </si>
  <si>
    <t>Jefe ensamblaje</t>
  </si>
  <si>
    <t>Tecnico ensamblaje 1</t>
  </si>
  <si>
    <t>Tecnico ensamblaje 2</t>
  </si>
  <si>
    <t>Recepcionista 1</t>
  </si>
  <si>
    <t>Recepcionista 2</t>
  </si>
  <si>
    <t>Recepcionista 3</t>
  </si>
  <si>
    <t>Key account manager</t>
  </si>
  <si>
    <t>Representante medico 1</t>
  </si>
  <si>
    <t>Representante medico 2</t>
  </si>
  <si>
    <t>Tesorera</t>
  </si>
  <si>
    <t>Jefe audiologia</t>
  </si>
  <si>
    <t>Jefe Dapa</t>
  </si>
  <si>
    <t>Salario anual</t>
  </si>
  <si>
    <t>Bonos (anual)</t>
  </si>
  <si>
    <t>Comisiones (anual)</t>
  </si>
  <si>
    <t>INGRESOS POR VENTAS</t>
  </si>
  <si>
    <t>IMPORT COSTS</t>
  </si>
  <si>
    <t>Escenario con estrategia</t>
  </si>
  <si>
    <t>Escenario SIN estrategia</t>
  </si>
  <si>
    <t>ESTADO DE RESULTADOS PROYECTADO EN SOLES (con estrategia)</t>
  </si>
  <si>
    <t>ESTADO DE RESULTADOS PROYECTADO EN SOLES (sin estrategia)</t>
  </si>
  <si>
    <t>STARKEY PERU: FLUJO DE EFECTIVO PROYECTADO (SIN ESTRATEGIA)</t>
  </si>
  <si>
    <t>STARKEY PERU: FLUJO DE CAJA ECONÓMICO (CON ESTRATEGIA)</t>
  </si>
  <si>
    <t>Flujo proyectado con estrategia</t>
  </si>
  <si>
    <t>Flujo proyectado sin estrategia</t>
  </si>
  <si>
    <t>Diferencia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</si>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</sst>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&quot;S/.&quot;#,##0.00;[Red]\-&quot;S/.&quot;#,##0.00"/>
    <numFmt numFmtId="165" formatCode="_-&quot;S/.&quot;* #,##0.00_-;\-&quot;S/.&quot;* #,##0.00_-;_-&quot;S/.&quot;* &quot;-&quot;??_-;_-@_-"/>
    <numFmt numFmtId="166" formatCode="_-* #,##0.00_-;\-* #,##0.00_-;_-* &quot;-&quot;??_-;_-@_-"/>
    <numFmt numFmtId="167" formatCode="0.0%"/>
    <numFmt numFmtId="168" formatCode="#,##0.00_ ;\-#,##0.00\ "/>
    <numFmt numFmtId="169" formatCode="_(* #,##0.00_);_(* \(#,##0.00\);_(* &quot;-&quot;??_);_(@_)"/>
    <numFmt numFmtId="170" formatCode="_(* #,##0_);_(* \(#,##0\);_(* &quot;-&quot;??_);_(@_)"/>
    <numFmt numFmtId="171" formatCode="0.00000"/>
  </numFmts>
  <fonts count="5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Times New Roman"/>
    </font>
    <font>
      <sz val="9"/>
      <name val="Times New Roman"/>
    </font>
    <font>
      <sz val="10"/>
      <name val="Courier New"/>
      <family val="3"/>
    </font>
    <font>
      <b/>
      <sz val="9"/>
      <name val="Times New Roman"/>
    </font>
    <font>
      <sz val="12"/>
      <name val="Calibri Light"/>
      <family val="1"/>
      <scheme val="major"/>
    </font>
    <font>
      <sz val="10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Times New Roman"/>
    </font>
    <font>
      <sz val="14"/>
      <color theme="1"/>
      <name val="Times New Roman"/>
    </font>
    <font>
      <b/>
      <sz val="14"/>
      <color theme="1"/>
      <name val="Calibri"/>
      <scheme val="minor"/>
    </font>
    <font>
      <b/>
      <sz val="9"/>
      <color rgb="FF000000"/>
      <name val="Times New Roman"/>
    </font>
    <font>
      <sz val="9"/>
      <color rgb="FF000000"/>
      <name val="Times New Roman"/>
    </font>
    <font>
      <i/>
      <sz val="9"/>
      <color theme="1"/>
      <name val="Times New Roman"/>
    </font>
    <font>
      <i/>
      <sz val="9"/>
      <color rgb="FF000000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Palatino"/>
    </font>
    <font>
      <sz val="11"/>
      <name val="Palatino"/>
    </font>
    <font>
      <sz val="10"/>
      <name val="Arial"/>
      <family val="2"/>
    </font>
    <font>
      <sz val="12"/>
      <name val="宋体"/>
      <charset val="134"/>
    </font>
    <font>
      <sz val="8"/>
      <name val="Palatino"/>
    </font>
    <font>
      <b/>
      <sz val="8"/>
      <color indexed="9"/>
      <name val="Palatino"/>
    </font>
    <font>
      <sz val="8"/>
      <color theme="1"/>
      <name val="Calibri"/>
      <family val="2"/>
      <scheme val="minor"/>
    </font>
    <font>
      <b/>
      <sz val="8"/>
      <color indexed="12"/>
      <name val="Palatino"/>
    </font>
    <font>
      <b/>
      <sz val="8"/>
      <name val="Palatino"/>
    </font>
    <font>
      <b/>
      <sz val="8"/>
      <color indexed="48"/>
      <name val="Palatino"/>
    </font>
    <font>
      <sz val="8"/>
      <color indexed="18"/>
      <name val="Palatino"/>
    </font>
    <font>
      <sz val="8"/>
      <color indexed="8"/>
      <name val="Palatino"/>
    </font>
    <font>
      <b/>
      <sz val="22"/>
      <name val="Palatino"/>
    </font>
    <font>
      <b/>
      <sz val="16"/>
      <name val="Palatino"/>
    </font>
    <font>
      <b/>
      <sz val="10"/>
      <name val="Arial"/>
      <family val="2"/>
    </font>
    <font>
      <b/>
      <sz val="10"/>
      <name val="Palatino"/>
    </font>
    <font>
      <b/>
      <sz val="14"/>
      <name val="Palatino"/>
    </font>
    <font>
      <b/>
      <i/>
      <sz val="10"/>
      <color indexed="8"/>
      <name val="Arial"/>
      <family val="2"/>
    </font>
    <font>
      <b/>
      <i/>
      <sz val="10"/>
      <color indexed="8"/>
      <name val="Palatino"/>
    </font>
    <font>
      <b/>
      <sz val="10"/>
      <color indexed="8"/>
      <name val="Palatino"/>
    </font>
    <font>
      <b/>
      <sz val="10"/>
      <color indexed="9"/>
      <name val="Arial"/>
      <family val="2"/>
    </font>
    <font>
      <b/>
      <sz val="10"/>
      <color indexed="9"/>
      <name val="Palatino"/>
    </font>
    <font>
      <sz val="10"/>
      <color indexed="8"/>
      <name val="Arial"/>
      <family val="2"/>
    </font>
    <font>
      <sz val="10"/>
      <color indexed="8"/>
      <name val="Palatino"/>
    </font>
    <font>
      <sz val="11"/>
      <color theme="1"/>
      <name val="Calibri"/>
      <family val="2"/>
      <scheme val="minor"/>
    </font>
    <font>
      <b/>
      <sz val="10"/>
      <color theme="0"/>
      <name val="Palatino"/>
    </font>
    <font>
      <i/>
      <sz val="11"/>
      <color indexed="60"/>
      <name val="Palatino"/>
    </font>
    <font>
      <b/>
      <sz val="20"/>
      <color theme="1"/>
      <name val="Calibri"/>
      <scheme val="minor"/>
    </font>
    <font>
      <sz val="6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3">
    <xf numFmtId="0" fontId="0" fillId="0" borderId="0"/>
    <xf numFmtId="9" fontId="3" fillId="0" borderId="0" applyFont="0" applyFill="0" applyBorder="0" applyAlignment="0" applyProtection="0"/>
    <xf numFmtId="0" fontId="6" fillId="0" borderId="0"/>
    <xf numFmtId="165" fontId="2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66" fontId="1" fillId="0" borderId="0" applyFont="0" applyFill="0" applyBorder="0" applyAlignment="0" applyProtection="0"/>
    <xf numFmtId="0" fontId="24" fillId="0" borderId="0"/>
    <xf numFmtId="0" fontId="23" fillId="0" borderId="0"/>
    <xf numFmtId="0" fontId="23" fillId="0" borderId="0"/>
    <xf numFmtId="0" fontId="38" fillId="10" borderId="0">
      <alignment horizontal="right" shrinkToFit="1"/>
    </xf>
    <xf numFmtId="3" fontId="41" fillId="11" borderId="44"/>
    <xf numFmtId="38" fontId="43" fillId="12" borderId="0">
      <alignment horizontal="right"/>
    </xf>
    <xf numFmtId="9" fontId="45" fillId="0" borderId="0" applyFont="0" applyFill="0" applyBorder="0" applyAlignment="0" applyProtection="0"/>
    <xf numFmtId="16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38" fillId="14" borderId="0">
      <alignment horizontal="center"/>
    </xf>
  </cellStyleXfs>
  <cellXfs count="304">
    <xf numFmtId="0" fontId="0" fillId="0" borderId="0" xfId="0"/>
    <xf numFmtId="0" fontId="4" fillId="2" borderId="0" xfId="0" applyFont="1" applyFill="1" applyBorder="1" applyAlignment="1">
      <alignment horizontal="lef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165" fontId="4" fillId="2" borderId="1" xfId="0" applyNumberFormat="1" applyFont="1" applyFill="1" applyBorder="1"/>
    <xf numFmtId="0" fontId="0" fillId="0" borderId="1" xfId="0" applyBorder="1"/>
    <xf numFmtId="0" fontId="4" fillId="0" borderId="1" xfId="0" applyFont="1" applyBorder="1"/>
    <xf numFmtId="164" fontId="4" fillId="0" borderId="1" xfId="0" applyNumberFormat="1" applyFont="1" applyBorder="1"/>
    <xf numFmtId="10" fontId="4" fillId="0" borderId="1" xfId="0" applyNumberFormat="1" applyFont="1" applyBorder="1"/>
    <xf numFmtId="0" fontId="5" fillId="0" borderId="0" xfId="2" applyFont="1" applyFill="1" applyProtection="1">
      <protection locked="0"/>
    </xf>
    <xf numFmtId="0" fontId="7" fillId="0" borderId="0" xfId="2" applyFont="1" applyFill="1" applyBorder="1" applyAlignment="1" applyProtection="1">
      <alignment horizontal="center"/>
      <protection locked="0"/>
    </xf>
    <xf numFmtId="165" fontId="0" fillId="0" borderId="0" xfId="0" applyNumberFormat="1"/>
    <xf numFmtId="0" fontId="5" fillId="0" borderId="1" xfId="2" applyFont="1" applyFill="1" applyBorder="1" applyProtection="1">
      <protection locked="0"/>
    </xf>
    <xf numFmtId="165" fontId="5" fillId="0" borderId="1" xfId="2" applyNumberFormat="1" applyFont="1" applyFill="1" applyBorder="1" applyProtection="1">
      <protection locked="0"/>
    </xf>
    <xf numFmtId="165" fontId="5" fillId="0" borderId="1" xfId="2" applyNumberFormat="1" applyFont="1" applyFill="1" applyBorder="1" applyProtection="1"/>
    <xf numFmtId="0" fontId="5" fillId="0" borderId="2" xfId="2" applyFont="1" applyFill="1" applyBorder="1" applyProtection="1">
      <protection locked="0"/>
    </xf>
    <xf numFmtId="0" fontId="7" fillId="0" borderId="1" xfId="2" applyFont="1" applyBorder="1" applyAlignment="1" applyProtection="1">
      <alignment horizontal="center"/>
      <protection locked="0"/>
    </xf>
    <xf numFmtId="165" fontId="7" fillId="0" borderId="1" xfId="2" applyNumberFormat="1" applyFont="1" applyBorder="1" applyProtection="1"/>
    <xf numFmtId="0" fontId="4" fillId="2" borderId="1" xfId="0" applyFont="1" applyFill="1" applyBorder="1" applyAlignment="1">
      <alignment horizontal="center" vertical="center" wrapText="1"/>
    </xf>
    <xf numFmtId="17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Protection="1"/>
    <xf numFmtId="165" fontId="4" fillId="2" borderId="1" xfId="0" applyNumberFormat="1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center" vertical="center"/>
    </xf>
    <xf numFmtId="167" fontId="4" fillId="2" borderId="1" xfId="1" applyNumberFormat="1" applyFont="1" applyFill="1" applyBorder="1" applyAlignment="1">
      <alignment horizontal="center" vertical="center"/>
    </xf>
    <xf numFmtId="167" fontId="4" fillId="2" borderId="1" xfId="1" applyNumberFormat="1" applyFont="1" applyFill="1" applyBorder="1" applyAlignment="1">
      <alignment horizontal="center"/>
    </xf>
    <xf numFmtId="0" fontId="8" fillId="0" borderId="1" xfId="2" applyFont="1" applyFill="1" applyBorder="1" applyProtection="1">
      <protection locked="0"/>
    </xf>
    <xf numFmtId="0" fontId="7" fillId="0" borderId="1" xfId="2" applyFont="1" applyBorder="1" applyAlignment="1" applyProtection="1">
      <alignment horizontal="center" vertical="center"/>
    </xf>
    <xf numFmtId="165" fontId="9" fillId="0" borderId="1" xfId="2" applyNumberFormat="1" applyFont="1" applyBorder="1" applyProtection="1">
      <protection locked="0"/>
    </xf>
    <xf numFmtId="168" fontId="5" fillId="0" borderId="1" xfId="2" applyNumberFormat="1" applyFont="1" applyBorder="1" applyAlignment="1" applyProtection="1">
      <alignment horizontal="center" vertical="center"/>
    </xf>
    <xf numFmtId="0" fontId="11" fillId="0" borderId="0" xfId="0" applyFont="1"/>
    <xf numFmtId="0" fontId="12" fillId="3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15" fillId="3" borderId="1" xfId="0" applyFont="1" applyFill="1" applyBorder="1" applyAlignment="1">
      <alignment horizontal="left" vertical="center" wrapText="1"/>
    </xf>
    <xf numFmtId="165" fontId="16" fillId="0" borderId="1" xfId="3" applyFont="1" applyBorder="1" applyAlignment="1">
      <alignment horizontal="center" vertical="center" wrapText="1"/>
    </xf>
    <xf numFmtId="165" fontId="15" fillId="0" borderId="1" xfId="3" applyFont="1" applyBorder="1" applyAlignment="1">
      <alignment horizontal="center" vertical="center" wrapText="1"/>
    </xf>
    <xf numFmtId="165" fontId="16" fillId="0" borderId="1" xfId="3" applyFont="1" applyBorder="1" applyAlignment="1">
      <alignment horizontal="right" vertical="center"/>
    </xf>
    <xf numFmtId="165" fontId="16" fillId="0" borderId="1" xfId="3" applyFont="1" applyBorder="1" applyAlignment="1">
      <alignment horizontal="right" vertical="center"/>
    </xf>
    <xf numFmtId="165" fontId="15" fillId="0" borderId="1" xfId="3" applyFont="1" applyBorder="1" applyAlignment="1">
      <alignment horizontal="right" vertical="center"/>
    </xf>
    <xf numFmtId="165" fontId="0" fillId="0" borderId="1" xfId="3" applyFont="1" applyBorder="1" applyAlignment="1">
      <alignment horizontal="center" vertical="center"/>
    </xf>
    <xf numFmtId="165" fontId="10" fillId="0" borderId="1" xfId="3" applyFont="1" applyBorder="1" applyAlignment="1">
      <alignment vertical="center"/>
    </xf>
    <xf numFmtId="0" fontId="25" fillId="0" borderId="0" xfId="0" applyFont="1" applyFill="1" applyProtection="1">
      <protection locked="0"/>
    </xf>
    <xf numFmtId="0" fontId="27" fillId="0" borderId="0" xfId="0" applyFont="1"/>
    <xf numFmtId="0" fontId="28" fillId="0" borderId="0" xfId="0" applyFont="1" applyFill="1" applyProtection="1">
      <protection locked="0"/>
    </xf>
    <xf numFmtId="0" fontId="29" fillId="0" borderId="0" xfId="0" applyFont="1" applyFill="1" applyAlignment="1" applyProtection="1">
      <alignment vertical="center"/>
      <protection locked="0"/>
    </xf>
    <xf numFmtId="0" fontId="30" fillId="0" borderId="0" xfId="0" applyFont="1" applyFill="1" applyAlignment="1" applyProtection="1">
      <alignment horizontal="right" vertical="center"/>
      <protection locked="0"/>
    </xf>
    <xf numFmtId="0" fontId="31" fillId="0" borderId="0" xfId="0" applyFont="1" applyFill="1" applyAlignment="1" applyProtection="1">
      <alignment horizontal="center"/>
      <protection locked="0"/>
    </xf>
    <xf numFmtId="0" fontId="25" fillId="0" borderId="0" xfId="0" applyFont="1" applyFill="1" applyProtection="1"/>
    <xf numFmtId="0" fontId="29" fillId="0" borderId="15" xfId="0" applyFont="1" applyFill="1" applyBorder="1" applyAlignment="1" applyProtection="1">
      <alignment horizontal="center"/>
    </xf>
    <xf numFmtId="0" fontId="29" fillId="0" borderId="16" xfId="0" applyFont="1" applyFill="1" applyBorder="1" applyAlignment="1" applyProtection="1">
      <alignment horizontal="center"/>
    </xf>
    <xf numFmtId="0" fontId="29" fillId="6" borderId="17" xfId="0" applyFont="1" applyFill="1" applyBorder="1" applyProtection="1"/>
    <xf numFmtId="170" fontId="25" fillId="6" borderId="18" xfId="22" applyNumberFormat="1" applyFont="1" applyFill="1" applyBorder="1" applyAlignment="1" applyProtection="1">
      <alignment horizontal="center"/>
    </xf>
    <xf numFmtId="170" fontId="25" fillId="6" borderId="19" xfId="22" applyNumberFormat="1" applyFont="1" applyFill="1" applyBorder="1" applyAlignment="1" applyProtection="1">
      <alignment horizontal="center"/>
    </xf>
    <xf numFmtId="3" fontId="25" fillId="6" borderId="17" xfId="0" applyNumberFormat="1" applyFont="1" applyFill="1" applyBorder="1" applyAlignment="1" applyProtection="1">
      <alignment horizontal="center"/>
    </xf>
    <xf numFmtId="3" fontId="25" fillId="6" borderId="8" xfId="0" applyNumberFormat="1" applyFont="1" applyFill="1" applyBorder="1" applyAlignment="1" applyProtection="1">
      <alignment horizontal="center"/>
    </xf>
    <xf numFmtId="3" fontId="25" fillId="6" borderId="5" xfId="23" applyNumberFormat="1" applyFont="1" applyFill="1" applyBorder="1" applyAlignment="1" applyProtection="1">
      <alignment horizontal="center"/>
    </xf>
    <xf numFmtId="170" fontId="25" fillId="6" borderId="7" xfId="22" applyNumberFormat="1" applyFont="1" applyFill="1" applyBorder="1" applyAlignment="1" applyProtection="1">
      <alignment horizontal="center"/>
    </xf>
    <xf numFmtId="170" fontId="25" fillId="6" borderId="8" xfId="22" applyNumberFormat="1" applyFont="1" applyFill="1" applyBorder="1" applyAlignment="1" applyProtection="1">
      <alignment horizontal="right"/>
    </xf>
    <xf numFmtId="3" fontId="25" fillId="0" borderId="20" xfId="23" applyNumberFormat="1" applyFont="1" applyFill="1" applyBorder="1" applyProtection="1"/>
    <xf numFmtId="170" fontId="25" fillId="0" borderId="21" xfId="22" applyNumberFormat="1" applyFont="1" applyFill="1" applyBorder="1" applyAlignment="1" applyProtection="1">
      <alignment horizontal="center"/>
    </xf>
    <xf numFmtId="170" fontId="25" fillId="0" borderId="22" xfId="22" applyNumberFormat="1" applyFont="1" applyFill="1" applyBorder="1" applyAlignment="1" applyProtection="1">
      <alignment horizontal="center"/>
    </xf>
    <xf numFmtId="3" fontId="25" fillId="0" borderId="20" xfId="23" applyNumberFormat="1" applyFont="1" applyFill="1" applyBorder="1" applyAlignment="1" applyProtection="1">
      <alignment horizontal="center"/>
    </xf>
    <xf numFmtId="3" fontId="25" fillId="0" borderId="0" xfId="23" applyNumberFormat="1" applyFont="1" applyFill="1" applyBorder="1" applyAlignment="1" applyProtection="1">
      <alignment horizontal="center"/>
    </xf>
    <xf numFmtId="3" fontId="25" fillId="0" borderId="21" xfId="23" applyNumberFormat="1" applyFont="1" applyFill="1" applyBorder="1" applyAlignment="1" applyProtection="1">
      <alignment horizontal="center"/>
    </xf>
    <xf numFmtId="170" fontId="25" fillId="0" borderId="20" xfId="22" applyNumberFormat="1" applyFont="1" applyFill="1" applyBorder="1" applyAlignment="1" applyProtection="1">
      <alignment horizontal="center"/>
    </xf>
    <xf numFmtId="170" fontId="25" fillId="0" borderId="0" xfId="22" applyNumberFormat="1" applyFont="1" applyFill="1" applyBorder="1" applyAlignment="1" applyProtection="1">
      <alignment horizontal="center"/>
    </xf>
    <xf numFmtId="9" fontId="25" fillId="0" borderId="0" xfId="1" applyFont="1" applyFill="1" applyBorder="1" applyAlignment="1" applyProtection="1">
      <alignment horizontal="center"/>
    </xf>
    <xf numFmtId="0" fontId="29" fillId="6" borderId="20" xfId="0" applyFont="1" applyFill="1" applyBorder="1" applyProtection="1"/>
    <xf numFmtId="170" fontId="25" fillId="6" borderId="21" xfId="22" applyNumberFormat="1" applyFont="1" applyFill="1" applyBorder="1" applyAlignment="1" applyProtection="1">
      <alignment horizontal="center"/>
    </xf>
    <xf numFmtId="170" fontId="25" fillId="6" borderId="22" xfId="22" applyNumberFormat="1" applyFont="1" applyFill="1" applyBorder="1" applyAlignment="1" applyProtection="1">
      <alignment horizontal="center"/>
    </xf>
    <xf numFmtId="0" fontId="29" fillId="6" borderId="25" xfId="0" applyFont="1" applyFill="1" applyBorder="1" applyProtection="1"/>
    <xf numFmtId="0" fontId="29" fillId="6" borderId="26" xfId="0" applyFont="1" applyFill="1" applyBorder="1" applyProtection="1"/>
    <xf numFmtId="170" fontId="25" fillId="6" borderId="1" xfId="22" applyNumberFormat="1" applyFont="1" applyFill="1" applyBorder="1" applyAlignment="1" applyProtection="1">
      <alignment horizontal="center"/>
    </xf>
    <xf numFmtId="170" fontId="25" fillId="6" borderId="27" xfId="22" applyNumberFormat="1" applyFont="1" applyFill="1" applyBorder="1" applyAlignment="1" applyProtection="1">
      <alignment horizontal="center"/>
    </xf>
    <xf numFmtId="3" fontId="25" fillId="6" borderId="28" xfId="23" applyNumberFormat="1" applyFont="1" applyFill="1" applyBorder="1" applyAlignment="1" applyProtection="1">
      <alignment horizontal="center"/>
    </xf>
    <xf numFmtId="3" fontId="25" fillId="6" borderId="29" xfId="23" applyNumberFormat="1" applyFont="1" applyFill="1" applyBorder="1" applyAlignment="1" applyProtection="1">
      <alignment horizontal="center"/>
    </xf>
    <xf numFmtId="3" fontId="25" fillId="6" borderId="1" xfId="23" applyNumberFormat="1" applyFont="1" applyFill="1" applyBorder="1" applyAlignment="1" applyProtection="1">
      <alignment horizontal="center"/>
    </xf>
    <xf numFmtId="170" fontId="25" fillId="6" borderId="28" xfId="22" applyNumberFormat="1" applyFont="1" applyFill="1" applyBorder="1" applyAlignment="1" applyProtection="1"/>
    <xf numFmtId="0" fontId="29" fillId="7" borderId="25" xfId="0" applyFont="1" applyFill="1" applyBorder="1" applyProtection="1"/>
    <xf numFmtId="170" fontId="25" fillId="7" borderId="21" xfId="22" applyNumberFormat="1" applyFont="1" applyFill="1" applyBorder="1" applyAlignment="1" applyProtection="1">
      <alignment horizontal="center"/>
    </xf>
    <xf numFmtId="170" fontId="25" fillId="7" borderId="22" xfId="22" applyNumberFormat="1" applyFont="1" applyFill="1" applyBorder="1" applyAlignment="1" applyProtection="1">
      <alignment horizontal="center"/>
    </xf>
    <xf numFmtId="3" fontId="25" fillId="7" borderId="20" xfId="23" applyNumberFormat="1" applyFont="1" applyFill="1" applyBorder="1" applyAlignment="1" applyProtection="1">
      <alignment horizontal="center"/>
    </xf>
    <xf numFmtId="3" fontId="25" fillId="7" borderId="0" xfId="23" applyNumberFormat="1" applyFont="1" applyFill="1" applyBorder="1" applyAlignment="1" applyProtection="1">
      <alignment horizontal="center"/>
    </xf>
    <xf numFmtId="3" fontId="25" fillId="7" borderId="21" xfId="23" applyNumberFormat="1" applyFont="1" applyFill="1" applyBorder="1" applyAlignment="1" applyProtection="1">
      <alignment horizontal="center"/>
    </xf>
    <xf numFmtId="170" fontId="25" fillId="7" borderId="20" xfId="22" applyNumberFormat="1" applyFont="1" applyFill="1" applyBorder="1" applyAlignment="1" applyProtection="1"/>
    <xf numFmtId="3" fontId="32" fillId="0" borderId="20" xfId="23" applyNumberFormat="1" applyFont="1" applyFill="1" applyBorder="1" applyProtection="1"/>
    <xf numFmtId="0" fontId="29" fillId="6" borderId="32" xfId="0" applyFont="1" applyFill="1" applyBorder="1" applyProtection="1"/>
    <xf numFmtId="170" fontId="29" fillId="6" borderId="33" xfId="22" applyNumberFormat="1" applyFont="1" applyFill="1" applyBorder="1" applyProtection="1"/>
    <xf numFmtId="0" fontId="29" fillId="6" borderId="34" xfId="0" applyFont="1" applyFill="1" applyBorder="1" applyProtection="1"/>
    <xf numFmtId="3" fontId="25" fillId="6" borderId="32" xfId="0" applyNumberFormat="1" applyFont="1" applyFill="1" applyBorder="1" applyAlignment="1" applyProtection="1">
      <alignment horizontal="center"/>
    </xf>
    <xf numFmtId="3" fontId="25" fillId="6" borderId="35" xfId="0" applyNumberFormat="1" applyFont="1" applyFill="1" applyBorder="1" applyAlignment="1" applyProtection="1">
      <alignment horizontal="center"/>
    </xf>
    <xf numFmtId="3" fontId="25" fillId="6" borderId="36" xfId="0" applyNumberFormat="1" applyFont="1" applyFill="1" applyBorder="1" applyAlignment="1" applyProtection="1">
      <alignment horizontal="center"/>
    </xf>
    <xf numFmtId="170" fontId="25" fillId="6" borderId="32" xfId="22" applyNumberFormat="1" applyFont="1" applyFill="1" applyBorder="1" applyAlignment="1" applyProtection="1"/>
    <xf numFmtId="0" fontId="29" fillId="0" borderId="0" xfId="0" applyFont="1" applyFill="1" applyBorder="1" applyProtection="1"/>
    <xf numFmtId="0" fontId="25" fillId="0" borderId="0" xfId="0" applyFont="1" applyFill="1" applyBorder="1" applyProtection="1"/>
    <xf numFmtId="3" fontId="25" fillId="0" borderId="0" xfId="0" applyNumberFormat="1" applyFont="1" applyFill="1" applyBorder="1" applyAlignment="1" applyProtection="1">
      <alignment horizontal="center"/>
    </xf>
    <xf numFmtId="3" fontId="25" fillId="0" borderId="0" xfId="23" applyNumberFormat="1" applyFont="1" applyFill="1" applyBorder="1" applyAlignment="1" applyProtection="1"/>
    <xf numFmtId="3" fontId="25" fillId="0" borderId="0" xfId="23" applyNumberFormat="1" applyFont="1" applyFill="1" applyBorder="1" applyAlignment="1" applyProtection="1">
      <alignment horizontal="right"/>
    </xf>
    <xf numFmtId="0" fontId="21" fillId="8" borderId="0" xfId="24" applyFont="1" applyFill="1" applyBorder="1" applyAlignment="1"/>
    <xf numFmtId="0" fontId="21" fillId="0" borderId="0" xfId="24" applyFont="1" applyAlignment="1"/>
    <xf numFmtId="0" fontId="35" fillId="0" borderId="0" xfId="25" applyFont="1"/>
    <xf numFmtId="0" fontId="36" fillId="0" borderId="0" xfId="24" applyFont="1" applyAlignment="1"/>
    <xf numFmtId="0" fontId="23" fillId="0" borderId="0" xfId="25" applyFont="1"/>
    <xf numFmtId="171" fontId="21" fillId="0" borderId="0" xfId="24" applyNumberFormat="1" applyFont="1" applyAlignment="1"/>
    <xf numFmtId="0" fontId="39" fillId="9" borderId="20" xfId="26" applyFont="1" applyFill="1" applyBorder="1">
      <alignment horizontal="right" shrinkToFit="1"/>
    </xf>
    <xf numFmtId="0" fontId="39" fillId="9" borderId="40" xfId="26" applyFont="1" applyFill="1" applyBorder="1">
      <alignment horizontal="right" shrinkToFit="1"/>
    </xf>
    <xf numFmtId="0" fontId="36" fillId="9" borderId="41" xfId="24" applyFont="1" applyFill="1" applyBorder="1" applyAlignment="1">
      <alignment horizontal="center"/>
    </xf>
    <xf numFmtId="0" fontId="36" fillId="9" borderId="42" xfId="24" applyFont="1" applyFill="1" applyBorder="1" applyAlignment="1">
      <alignment horizontal="left"/>
    </xf>
    <xf numFmtId="0" fontId="36" fillId="9" borderId="42" xfId="24" applyFont="1" applyFill="1" applyBorder="1" applyAlignment="1">
      <alignment horizontal="center"/>
    </xf>
    <xf numFmtId="0" fontId="36" fillId="9" borderId="40" xfId="24" applyFont="1" applyFill="1" applyBorder="1" applyAlignment="1">
      <alignment horizontal="center"/>
    </xf>
    <xf numFmtId="0" fontId="36" fillId="9" borderId="43" xfId="24" applyFont="1" applyFill="1" applyBorder="1" applyAlignment="1">
      <alignment horizontal="left"/>
    </xf>
    <xf numFmtId="3" fontId="42" fillId="11" borderId="45" xfId="27" applyFont="1" applyFill="1" applyBorder="1"/>
    <xf numFmtId="38" fontId="44" fillId="12" borderId="46" xfId="28" applyNumberFormat="1" applyFont="1" applyBorder="1">
      <alignment horizontal="right"/>
    </xf>
    <xf numFmtId="9" fontId="44" fillId="13" borderId="46" xfId="29" applyFont="1" applyFill="1" applyBorder="1" applyAlignment="1">
      <alignment horizontal="right"/>
    </xf>
    <xf numFmtId="38" fontId="44" fillId="12" borderId="47" xfId="28" applyNumberFormat="1" applyFont="1" applyBorder="1">
      <alignment horizontal="right"/>
    </xf>
    <xf numFmtId="9" fontId="44" fillId="13" borderId="48" xfId="29" applyFont="1" applyFill="1" applyBorder="1" applyAlignment="1">
      <alignment horizontal="right"/>
    </xf>
    <xf numFmtId="170" fontId="21" fillId="0" borderId="0" xfId="30" applyNumberFormat="1" applyFont="1" applyFill="1" applyBorder="1" applyAlignment="1"/>
    <xf numFmtId="170" fontId="21" fillId="0" borderId="0" xfId="24" applyNumberFormat="1" applyFont="1" applyFill="1" applyBorder="1" applyAlignment="1"/>
    <xf numFmtId="9" fontId="21" fillId="0" borderId="0" xfId="31" applyFont="1" applyFill="1" applyBorder="1" applyAlignment="1">
      <alignment horizontal="center"/>
    </xf>
    <xf numFmtId="170" fontId="21" fillId="0" borderId="17" xfId="30" applyNumberFormat="1" applyFont="1" applyFill="1" applyBorder="1" applyAlignment="1"/>
    <xf numFmtId="170" fontId="21" fillId="0" borderId="49" xfId="24" applyNumberFormat="1" applyFont="1" applyFill="1" applyBorder="1" applyAlignment="1"/>
    <xf numFmtId="170" fontId="21" fillId="0" borderId="23" xfId="30" applyNumberFormat="1" applyFont="1" applyFill="1" applyBorder="1" applyAlignment="1"/>
    <xf numFmtId="3" fontId="46" fillId="11" borderId="25" xfId="27" applyFont="1" applyFill="1" applyBorder="1" applyAlignment="1">
      <alignment horizontal="left"/>
    </xf>
    <xf numFmtId="38" fontId="44" fillId="12" borderId="41" xfId="28" applyNumberFormat="1" applyFont="1" applyBorder="1">
      <alignment horizontal="right"/>
    </xf>
    <xf numFmtId="9" fontId="44" fillId="13" borderId="0" xfId="29" applyFont="1" applyFill="1" applyBorder="1" applyAlignment="1">
      <alignment horizontal="center"/>
    </xf>
    <xf numFmtId="9" fontId="44" fillId="13" borderId="44" xfId="29" applyFont="1" applyFill="1" applyBorder="1" applyAlignment="1">
      <alignment horizontal="center"/>
    </xf>
    <xf numFmtId="3" fontId="42" fillId="11" borderId="25" xfId="27" applyFont="1" applyFill="1" applyBorder="1"/>
    <xf numFmtId="170" fontId="21" fillId="0" borderId="0" xfId="30" applyNumberFormat="1" applyFont="1" applyBorder="1" applyAlignment="1"/>
    <xf numFmtId="170" fontId="21" fillId="0" borderId="20" xfId="30" applyNumberFormat="1" applyFont="1" applyBorder="1" applyAlignment="1"/>
    <xf numFmtId="170" fontId="21" fillId="0" borderId="23" xfId="24" applyNumberFormat="1" applyFont="1" applyFill="1" applyBorder="1" applyAlignment="1"/>
    <xf numFmtId="170" fontId="21" fillId="0" borderId="20" xfId="30" applyNumberFormat="1" applyFont="1" applyFill="1" applyBorder="1" applyAlignment="1"/>
    <xf numFmtId="170" fontId="21" fillId="0" borderId="23" xfId="30" applyNumberFormat="1" applyFont="1" applyBorder="1" applyAlignment="1"/>
    <xf numFmtId="38" fontId="44" fillId="12" borderId="0" xfId="28" applyNumberFormat="1" applyFont="1" applyBorder="1">
      <alignment horizontal="right"/>
    </xf>
    <xf numFmtId="38" fontId="44" fillId="12" borderId="24" xfId="28" applyNumberFormat="1" applyFont="1" applyBorder="1">
      <alignment horizontal="right"/>
    </xf>
    <xf numFmtId="0" fontId="36" fillId="9" borderId="26" xfId="24" applyFont="1" applyFill="1" applyBorder="1" applyAlignment="1"/>
    <xf numFmtId="170" fontId="36" fillId="9" borderId="29" xfId="24" applyNumberFormat="1" applyFont="1" applyFill="1" applyBorder="1" applyAlignment="1"/>
    <xf numFmtId="170" fontId="36" fillId="9" borderId="29" xfId="30" applyNumberFormat="1" applyFont="1" applyFill="1" applyBorder="1" applyAlignment="1"/>
    <xf numFmtId="9" fontId="36" fillId="9" borderId="29" xfId="31" applyFont="1" applyFill="1" applyBorder="1" applyAlignment="1">
      <alignment horizontal="center"/>
    </xf>
    <xf numFmtId="170" fontId="36" fillId="9" borderId="28" xfId="24" applyNumberFormat="1" applyFont="1" applyFill="1" applyBorder="1" applyAlignment="1"/>
    <xf numFmtId="170" fontId="36" fillId="9" borderId="30" xfId="30" applyNumberFormat="1" applyFont="1" applyFill="1" applyBorder="1" applyAlignment="1"/>
    <xf numFmtId="170" fontId="36" fillId="9" borderId="30" xfId="24" applyNumberFormat="1" applyFont="1" applyFill="1" applyBorder="1" applyAlignment="1"/>
    <xf numFmtId="170" fontId="21" fillId="0" borderId="0" xfId="24" applyNumberFormat="1" applyFont="1" applyBorder="1" applyAlignment="1"/>
    <xf numFmtId="9" fontId="21" fillId="0" borderId="0" xfId="31" applyFont="1" applyBorder="1" applyAlignment="1">
      <alignment horizontal="center"/>
    </xf>
    <xf numFmtId="170" fontId="21" fillId="0" borderId="23" xfId="24" applyNumberFormat="1" applyFont="1" applyBorder="1" applyAlignment="1"/>
    <xf numFmtId="38" fontId="44" fillId="12" borderId="2" xfId="28" applyNumberFormat="1" applyFont="1" applyBorder="1">
      <alignment horizontal="right"/>
    </xf>
    <xf numFmtId="0" fontId="36" fillId="9" borderId="50" xfId="24" applyFont="1" applyFill="1" applyBorder="1" applyAlignment="1"/>
    <xf numFmtId="170" fontId="36" fillId="9" borderId="35" xfId="30" applyNumberFormat="1" applyFont="1" applyFill="1" applyBorder="1" applyAlignment="1"/>
    <xf numFmtId="0" fontId="21" fillId="9" borderId="35" xfId="24" applyFont="1" applyFill="1" applyBorder="1" applyAlignment="1"/>
    <xf numFmtId="9" fontId="36" fillId="9" borderId="34" xfId="24" applyNumberFormat="1" applyFont="1" applyFill="1" applyBorder="1" applyAlignment="1">
      <alignment horizontal="center"/>
    </xf>
    <xf numFmtId="170" fontId="36" fillId="9" borderId="32" xfId="30" applyNumberFormat="1" applyFont="1" applyFill="1" applyBorder="1" applyAlignment="1"/>
    <xf numFmtId="0" fontId="21" fillId="9" borderId="34" xfId="24" applyFont="1" applyFill="1" applyBorder="1" applyAlignment="1"/>
    <xf numFmtId="170" fontId="36" fillId="9" borderId="34" xfId="30" applyNumberFormat="1" applyFont="1" applyFill="1" applyBorder="1" applyAlignment="1"/>
    <xf numFmtId="0" fontId="21" fillId="8" borderId="0" xfId="24" applyFont="1" applyFill="1" applyAlignment="1"/>
    <xf numFmtId="3" fontId="46" fillId="11" borderId="25" xfId="27" applyFont="1" applyFill="1" applyBorder="1" applyAlignment="1">
      <alignment horizontal="left" vertical="center"/>
    </xf>
    <xf numFmtId="38" fontId="44" fillId="12" borderId="24" xfId="28" applyNumberFormat="1" applyFont="1" applyBorder="1" applyAlignment="1">
      <alignment horizontal="right" vertical="center"/>
    </xf>
    <xf numFmtId="9" fontId="44" fillId="13" borderId="0" xfId="29" applyFont="1" applyFill="1" applyBorder="1" applyAlignment="1">
      <alignment horizontal="center" vertical="center"/>
    </xf>
    <xf numFmtId="9" fontId="44" fillId="13" borderId="44" xfId="29" applyFont="1" applyFill="1" applyBorder="1" applyAlignment="1">
      <alignment horizontal="center" vertical="center"/>
    </xf>
    <xf numFmtId="3" fontId="42" fillId="11" borderId="17" xfId="27" applyFont="1" applyFill="1" applyBorder="1" applyAlignment="1"/>
    <xf numFmtId="3" fontId="42" fillId="11" borderId="46" xfId="27" applyFont="1" applyFill="1" applyBorder="1" applyAlignment="1"/>
    <xf numFmtId="9" fontId="44" fillId="13" borderId="21" xfId="29" applyFont="1" applyFill="1" applyBorder="1" applyAlignment="1">
      <alignment horizontal="center"/>
    </xf>
    <xf numFmtId="9" fontId="44" fillId="13" borderId="18" xfId="29" applyFont="1" applyFill="1" applyBorder="1" applyAlignment="1">
      <alignment horizontal="center"/>
    </xf>
    <xf numFmtId="38" fontId="44" fillId="12" borderId="21" xfId="28" applyNumberFormat="1" applyFont="1" applyBorder="1">
      <alignment horizontal="right"/>
    </xf>
    <xf numFmtId="9" fontId="44" fillId="13" borderId="19" xfId="29" applyFont="1" applyFill="1" applyBorder="1" applyAlignment="1">
      <alignment horizontal="center"/>
    </xf>
    <xf numFmtId="3" fontId="42" fillId="11" borderId="20" xfId="27" applyFont="1" applyFill="1" applyBorder="1" applyAlignment="1"/>
    <xf numFmtId="3" fontId="42" fillId="11" borderId="0" xfId="27" applyFont="1" applyFill="1" applyBorder="1" applyAlignment="1"/>
    <xf numFmtId="9" fontId="44" fillId="13" borderId="22" xfId="29" applyFont="1" applyFill="1" applyBorder="1" applyAlignment="1">
      <alignment horizontal="center"/>
    </xf>
    <xf numFmtId="3" fontId="42" fillId="11" borderId="40" xfId="27" applyFont="1" applyFill="1" applyBorder="1" applyAlignment="1"/>
    <xf numFmtId="3" fontId="42" fillId="11" borderId="42" xfId="27" applyFont="1" applyFill="1" applyBorder="1" applyAlignment="1"/>
    <xf numFmtId="9" fontId="44" fillId="13" borderId="13" xfId="29" applyFont="1" applyFill="1" applyBorder="1" applyAlignment="1">
      <alignment horizontal="center"/>
    </xf>
    <xf numFmtId="9" fontId="44" fillId="13" borderId="14" xfId="29" applyFont="1" applyFill="1" applyBorder="1" applyAlignment="1">
      <alignment horizontal="center"/>
    </xf>
    <xf numFmtId="0" fontId="36" fillId="9" borderId="32" xfId="24" applyFont="1" applyFill="1" applyBorder="1" applyAlignment="1"/>
    <xf numFmtId="0" fontId="36" fillId="9" borderId="35" xfId="24" applyFont="1" applyFill="1" applyBorder="1" applyAlignment="1"/>
    <xf numFmtId="167" fontId="36" fillId="9" borderId="36" xfId="31" applyNumberFormat="1" applyFont="1" applyFill="1" applyBorder="1" applyAlignment="1">
      <alignment horizontal="center"/>
    </xf>
    <xf numFmtId="38" fontId="40" fillId="9" borderId="36" xfId="28" applyNumberFormat="1" applyFont="1" applyFill="1" applyBorder="1">
      <alignment horizontal="right"/>
    </xf>
    <xf numFmtId="9" fontId="36" fillId="9" borderId="52" xfId="31" applyFont="1" applyFill="1" applyBorder="1" applyAlignment="1">
      <alignment horizontal="center"/>
    </xf>
    <xf numFmtId="3" fontId="46" fillId="11" borderId="53" xfId="27" applyFont="1" applyFill="1" applyBorder="1" applyAlignment="1">
      <alignment horizontal="left"/>
    </xf>
    <xf numFmtId="38" fontId="44" fillId="12" borderId="16" xfId="28" applyNumberFormat="1" applyFont="1" applyBorder="1">
      <alignment horizontal="right"/>
    </xf>
    <xf numFmtId="9" fontId="44" fillId="13" borderId="16" xfId="29" applyFont="1" applyFill="1" applyBorder="1" applyAlignment="1">
      <alignment horizontal="center"/>
    </xf>
    <xf numFmtId="38" fontId="44" fillId="12" borderId="54" xfId="28" applyNumberFormat="1" applyFont="1" applyBorder="1">
      <alignment horizontal="right"/>
    </xf>
    <xf numFmtId="9" fontId="44" fillId="13" borderId="55" xfId="29" applyFont="1" applyFill="1" applyBorder="1" applyAlignment="1">
      <alignment horizontal="center"/>
    </xf>
    <xf numFmtId="3" fontId="42" fillId="11" borderId="44" xfId="27" applyFont="1" applyFill="1" applyBorder="1" applyAlignment="1"/>
    <xf numFmtId="3" fontId="42" fillId="11" borderId="31" xfId="27" applyFont="1" applyFill="1" applyBorder="1" applyAlignment="1"/>
    <xf numFmtId="0" fontId="36" fillId="9" borderId="33" xfId="24" applyFont="1" applyFill="1" applyBorder="1" applyAlignment="1"/>
    <xf numFmtId="0" fontId="21" fillId="0" borderId="0" xfId="24" applyFont="1" applyFill="1" applyAlignment="1"/>
    <xf numFmtId="9" fontId="21" fillId="0" borderId="0" xfId="29" applyFont="1" applyAlignment="1"/>
    <xf numFmtId="166" fontId="25" fillId="0" borderId="0" xfId="22" applyNumberFormat="1" applyFont="1" applyFill="1" applyBorder="1" applyAlignment="1" applyProtection="1">
      <alignment horizontal="center"/>
    </xf>
    <xf numFmtId="3" fontId="42" fillId="11" borderId="24" xfId="27" applyFont="1" applyFill="1" applyBorder="1" applyAlignment="1">
      <alignment horizontal="left"/>
    </xf>
    <xf numFmtId="38" fontId="22" fillId="13" borderId="25" xfId="22" applyNumberFormat="1" applyFont="1" applyFill="1" applyBorder="1" applyAlignment="1" applyProtection="1">
      <alignment horizontal="right"/>
      <protection locked="0"/>
    </xf>
    <xf numFmtId="9" fontId="22" fillId="13" borderId="22" xfId="1" applyFont="1" applyFill="1" applyBorder="1" applyAlignment="1" applyProtection="1">
      <alignment horizontal="center"/>
      <protection locked="0"/>
    </xf>
    <xf numFmtId="38" fontId="22" fillId="13" borderId="12" xfId="22" applyNumberFormat="1" applyFont="1" applyFill="1" applyBorder="1" applyAlignment="1" applyProtection="1">
      <alignment horizontal="right"/>
      <protection locked="0"/>
    </xf>
    <xf numFmtId="9" fontId="22" fillId="13" borderId="14" xfId="1" applyFont="1" applyFill="1" applyBorder="1" applyAlignment="1" applyProtection="1">
      <alignment horizontal="center"/>
      <protection locked="0"/>
    </xf>
    <xf numFmtId="167" fontId="47" fillId="13" borderId="25" xfId="1" applyNumberFormat="1" applyFont="1" applyFill="1" applyBorder="1" applyAlignment="1" applyProtection="1">
      <alignment horizontal="right"/>
      <protection locked="0"/>
    </xf>
    <xf numFmtId="9" fontId="47" fillId="13" borderId="22" xfId="1" applyFont="1" applyFill="1" applyBorder="1" applyAlignment="1" applyProtection="1">
      <alignment horizontal="center"/>
      <protection locked="0"/>
    </xf>
    <xf numFmtId="167" fontId="47" fillId="13" borderId="20" xfId="1" applyNumberFormat="1" applyFont="1" applyFill="1" applyBorder="1" applyAlignment="1" applyProtection="1">
      <alignment horizontal="right"/>
      <protection locked="0"/>
    </xf>
    <xf numFmtId="165" fontId="0" fillId="0" borderId="38" xfId="0" applyNumberFormat="1" applyBorder="1"/>
    <xf numFmtId="165" fontId="0" fillId="0" borderId="60" xfId="0" applyNumberFormat="1" applyBorder="1"/>
    <xf numFmtId="165" fontId="0" fillId="0" borderId="58" xfId="0" applyNumberFormat="1" applyBorder="1"/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58" xfId="0" applyFont="1" applyBorder="1" applyAlignment="1">
      <alignment horizontal="center" vertical="center"/>
    </xf>
    <xf numFmtId="0" fontId="0" fillId="0" borderId="59" xfId="0" applyBorder="1"/>
    <xf numFmtId="0" fontId="0" fillId="0" borderId="60" xfId="0" applyBorder="1"/>
    <xf numFmtId="0" fontId="0" fillId="0" borderId="58" xfId="0" applyBorder="1"/>
    <xf numFmtId="3" fontId="42" fillId="11" borderId="37" xfId="27" applyFont="1" applyFill="1" applyBorder="1" applyAlignment="1">
      <alignment horizontal="left"/>
    </xf>
    <xf numFmtId="38" fontId="22" fillId="13" borderId="61" xfId="22" applyNumberFormat="1" applyFont="1" applyFill="1" applyBorder="1" applyAlignment="1" applyProtection="1">
      <alignment horizontal="right"/>
      <protection locked="0"/>
    </xf>
    <xf numFmtId="9" fontId="22" fillId="13" borderId="62" xfId="1" applyFont="1" applyFill="1" applyBorder="1" applyAlignment="1" applyProtection="1">
      <alignment horizontal="center"/>
      <protection locked="0"/>
    </xf>
    <xf numFmtId="37" fontId="22" fillId="13" borderId="61" xfId="22" applyNumberFormat="1" applyFont="1" applyFill="1" applyBorder="1" applyAlignment="1" applyProtection="1">
      <alignment horizontal="right"/>
      <protection locked="0"/>
    </xf>
    <xf numFmtId="165" fontId="49" fillId="0" borderId="0" xfId="0" applyNumberFormat="1" applyFont="1"/>
    <xf numFmtId="0" fontId="5" fillId="0" borderId="0" xfId="2" applyFont="1" applyFill="1" applyBorder="1" applyProtection="1">
      <protection locked="0"/>
    </xf>
    <xf numFmtId="9" fontId="0" fillId="0" borderId="0" xfId="1" applyFont="1"/>
    <xf numFmtId="165" fontId="0" fillId="0" borderId="0" xfId="1" applyNumberFormat="1" applyFont="1"/>
    <xf numFmtId="0" fontId="0" fillId="0" borderId="1" xfId="0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0" fontId="0" fillId="15" borderId="60" xfId="0" applyFill="1" applyBorder="1"/>
    <xf numFmtId="0" fontId="0" fillId="16" borderId="60" xfId="0" applyFill="1" applyBorder="1"/>
    <xf numFmtId="170" fontId="21" fillId="0" borderId="24" xfId="22" applyNumberFormat="1" applyFont="1" applyFill="1" applyBorder="1" applyAlignment="1">
      <alignment horizontal="center"/>
    </xf>
    <xf numFmtId="170" fontId="21" fillId="0" borderId="23" xfId="22" applyNumberFormat="1" applyFont="1" applyFill="1" applyBorder="1" applyAlignment="1">
      <alignment horizontal="center"/>
    </xf>
    <xf numFmtId="170" fontId="36" fillId="9" borderId="51" xfId="30" applyNumberFormat="1" applyFont="1" applyFill="1" applyBorder="1" applyAlignment="1">
      <alignment horizontal="center"/>
    </xf>
    <xf numFmtId="170" fontId="36" fillId="9" borderId="34" xfId="30" applyNumberFormat="1" applyFont="1" applyFill="1" applyBorder="1" applyAlignment="1">
      <alignment horizontal="center"/>
    </xf>
    <xf numFmtId="0" fontId="40" fillId="9" borderId="10" xfId="26" applyFont="1" applyFill="1" applyBorder="1" applyAlignment="1">
      <alignment horizontal="center" shrinkToFit="1"/>
    </xf>
    <xf numFmtId="0" fontId="40" fillId="9" borderId="9" xfId="26" applyFont="1" applyFill="1" applyBorder="1" applyAlignment="1">
      <alignment horizontal="center" shrinkToFit="1"/>
    </xf>
    <xf numFmtId="0" fontId="40" fillId="9" borderId="41" xfId="26" applyFont="1" applyFill="1" applyBorder="1" applyAlignment="1">
      <alignment horizontal="center" shrinkToFit="1"/>
    </xf>
    <xf numFmtId="0" fontId="40" fillId="9" borderId="31" xfId="26" applyFont="1" applyFill="1" applyBorder="1" applyAlignment="1">
      <alignment horizontal="center" shrinkToFit="1"/>
    </xf>
    <xf numFmtId="170" fontId="21" fillId="0" borderId="47" xfId="22" applyNumberFormat="1" applyFont="1" applyFill="1" applyBorder="1" applyAlignment="1">
      <alignment horizontal="center"/>
    </xf>
    <xf numFmtId="170" fontId="21" fillId="0" borderId="49" xfId="22" applyNumberFormat="1" applyFont="1" applyFill="1" applyBorder="1" applyAlignment="1">
      <alignment horizontal="center"/>
    </xf>
    <xf numFmtId="0" fontId="36" fillId="9" borderId="7" xfId="24" applyFont="1" applyFill="1" applyBorder="1" applyAlignment="1">
      <alignment horizontal="left" vertical="center"/>
    </xf>
    <xf numFmtId="0" fontId="36" fillId="9" borderId="8" xfId="24" applyFont="1" applyFill="1" applyBorder="1" applyAlignment="1">
      <alignment horizontal="left" vertical="center"/>
    </xf>
    <xf numFmtId="0" fontId="36" fillId="9" borderId="9" xfId="24" applyFont="1" applyFill="1" applyBorder="1" applyAlignment="1">
      <alignment horizontal="left" vertical="center"/>
    </xf>
    <xf numFmtId="0" fontId="36" fillId="9" borderId="56" xfId="24" applyFont="1" applyFill="1" applyBorder="1" applyAlignment="1">
      <alignment horizontal="center"/>
    </xf>
    <xf numFmtId="0" fontId="36" fillId="9" borderId="57" xfId="24" applyFont="1" applyFill="1" applyBorder="1" applyAlignment="1">
      <alignment horizontal="center"/>
    </xf>
    <xf numFmtId="170" fontId="21" fillId="0" borderId="24" xfId="30" applyNumberFormat="1" applyFont="1" applyFill="1" applyBorder="1" applyAlignment="1">
      <alignment horizontal="center"/>
    </xf>
    <xf numFmtId="170" fontId="21" fillId="0" borderId="44" xfId="30" applyNumberFormat="1" applyFont="1" applyFill="1" applyBorder="1" applyAlignment="1">
      <alignment horizontal="center"/>
    </xf>
    <xf numFmtId="170" fontId="21" fillId="0" borderId="41" xfId="30" applyNumberFormat="1" applyFont="1" applyFill="1" applyBorder="1" applyAlignment="1">
      <alignment horizontal="center"/>
    </xf>
    <xf numFmtId="170" fontId="21" fillId="0" borderId="31" xfId="30" applyNumberFormat="1" applyFont="1" applyFill="1" applyBorder="1" applyAlignment="1">
      <alignment horizontal="center"/>
    </xf>
    <xf numFmtId="170" fontId="36" fillId="9" borderId="51" xfId="24" applyNumberFormat="1" applyFont="1" applyFill="1" applyBorder="1" applyAlignment="1">
      <alignment horizontal="center"/>
    </xf>
    <xf numFmtId="170" fontId="36" fillId="9" borderId="33" xfId="24" applyNumberFormat="1" applyFont="1" applyFill="1" applyBorder="1" applyAlignment="1">
      <alignment horizontal="center"/>
    </xf>
    <xf numFmtId="0" fontId="37" fillId="9" borderId="37" xfId="24" applyFont="1" applyFill="1" applyBorder="1" applyAlignment="1">
      <alignment horizontal="center"/>
    </xf>
    <xf numFmtId="0" fontId="37" fillId="9" borderId="38" xfId="24" applyFont="1" applyFill="1" applyBorder="1" applyAlignment="1">
      <alignment horizontal="center"/>
    </xf>
    <xf numFmtId="0" fontId="37" fillId="9" borderId="39" xfId="24" applyFont="1" applyFill="1" applyBorder="1" applyAlignment="1">
      <alignment horizontal="center"/>
    </xf>
    <xf numFmtId="170" fontId="21" fillId="0" borderId="47" xfId="30" applyNumberFormat="1" applyFont="1" applyFill="1" applyBorder="1" applyAlignment="1">
      <alignment horizontal="center"/>
    </xf>
    <xf numFmtId="170" fontId="21" fillId="0" borderId="48" xfId="30" applyNumberFormat="1" applyFont="1" applyFill="1" applyBorder="1" applyAlignment="1">
      <alignment horizontal="center"/>
    </xf>
    <xf numFmtId="0" fontId="36" fillId="9" borderId="40" xfId="24" applyFont="1" applyFill="1" applyBorder="1" applyAlignment="1">
      <alignment horizontal="left" vertical="center"/>
    </xf>
    <xf numFmtId="0" fontId="36" fillId="9" borderId="31" xfId="24" applyFont="1" applyFill="1" applyBorder="1" applyAlignment="1">
      <alignment horizontal="left" vertical="center"/>
    </xf>
    <xf numFmtId="0" fontId="40" fillId="9" borderId="10" xfId="26" applyFont="1" applyFill="1" applyBorder="1" applyAlignment="1">
      <alignment horizontal="center" vertical="center" wrapText="1" shrinkToFit="1"/>
    </xf>
    <xf numFmtId="0" fontId="40" fillId="9" borderId="9" xfId="26" applyFont="1" applyFill="1" applyBorder="1" applyAlignment="1">
      <alignment horizontal="center" vertical="center" wrapText="1" shrinkToFit="1"/>
    </xf>
    <xf numFmtId="0" fontId="40" fillId="9" borderId="41" xfId="26" applyFont="1" applyFill="1" applyBorder="1" applyAlignment="1">
      <alignment horizontal="center" vertical="center" wrapText="1" shrinkToFit="1"/>
    </xf>
    <xf numFmtId="0" fontId="40" fillId="9" borderId="31" xfId="26" applyFont="1" applyFill="1" applyBorder="1" applyAlignment="1">
      <alignment horizontal="center" vertical="center" wrapText="1" shrinkToFit="1"/>
    </xf>
    <xf numFmtId="0" fontId="40" fillId="9" borderId="5" xfId="26" applyFont="1" applyFill="1" applyBorder="1" applyAlignment="1">
      <alignment horizontal="center" vertical="center" wrapText="1" shrinkToFit="1"/>
    </xf>
    <xf numFmtId="0" fontId="40" fillId="9" borderId="13" xfId="26" applyFont="1" applyFill="1" applyBorder="1" applyAlignment="1">
      <alignment horizontal="center" vertical="center" wrapText="1" shrinkToFit="1"/>
    </xf>
    <xf numFmtId="0" fontId="40" fillId="9" borderId="11" xfId="26" applyFont="1" applyFill="1" applyBorder="1" applyAlignment="1">
      <alignment horizontal="center" vertical="center" wrapText="1" shrinkToFit="1"/>
    </xf>
    <xf numFmtId="0" fontId="40" fillId="9" borderId="43" xfId="26" applyFont="1" applyFill="1" applyBorder="1" applyAlignment="1">
      <alignment horizontal="center" vertical="center" wrapText="1" shrinkToFit="1"/>
    </xf>
    <xf numFmtId="0" fontId="33" fillId="8" borderId="0" xfId="24" applyFont="1" applyFill="1" applyBorder="1" applyAlignment="1">
      <alignment horizontal="center"/>
    </xf>
    <xf numFmtId="0" fontId="34" fillId="8" borderId="0" xfId="24" applyFont="1" applyFill="1" applyBorder="1" applyAlignment="1">
      <alignment horizontal="center"/>
    </xf>
    <xf numFmtId="0" fontId="36" fillId="9" borderId="25" xfId="24" applyFont="1" applyFill="1" applyBorder="1" applyAlignment="1">
      <alignment horizontal="left" vertical="center"/>
    </xf>
    <xf numFmtId="0" fontId="36" fillId="9" borderId="12" xfId="24" applyFont="1" applyFill="1" applyBorder="1" applyAlignment="1">
      <alignment horizontal="left" vertical="center"/>
    </xf>
    <xf numFmtId="0" fontId="36" fillId="9" borderId="24" xfId="24" applyFont="1" applyFill="1" applyBorder="1" applyAlignment="1">
      <alignment horizontal="center"/>
    </xf>
    <xf numFmtId="0" fontId="36" fillId="9" borderId="0" xfId="24" applyFont="1" applyFill="1" applyBorder="1" applyAlignment="1">
      <alignment horizontal="center"/>
    </xf>
    <xf numFmtId="0" fontId="36" fillId="9" borderId="23" xfId="24" applyFont="1" applyFill="1" applyBorder="1" applyAlignment="1">
      <alignment horizontal="center"/>
    </xf>
    <xf numFmtId="0" fontId="36" fillId="9" borderId="7" xfId="24" applyFont="1" applyFill="1" applyBorder="1" applyAlignment="1">
      <alignment horizontal="center"/>
    </xf>
    <xf numFmtId="0" fontId="36" fillId="9" borderId="8" xfId="24" applyFont="1" applyFill="1" applyBorder="1" applyAlignment="1">
      <alignment horizontal="center"/>
    </xf>
    <xf numFmtId="0" fontId="36" fillId="9" borderId="11" xfId="24" applyFont="1" applyFill="1" applyBorder="1" applyAlignment="1">
      <alignment horizontal="center"/>
    </xf>
    <xf numFmtId="0" fontId="29" fillId="0" borderId="7" xfId="0" applyFont="1" applyFill="1" applyBorder="1" applyAlignment="1" applyProtection="1">
      <alignment horizontal="center" vertical="center" wrapText="1"/>
    </xf>
    <xf numFmtId="0" fontId="29" fillId="0" borderId="15" xfId="0" applyFont="1" applyFill="1" applyBorder="1" applyAlignment="1" applyProtection="1">
      <alignment horizontal="center" vertical="center" wrapText="1"/>
    </xf>
    <xf numFmtId="0" fontId="29" fillId="0" borderId="8" xfId="0" applyFont="1" applyFill="1" applyBorder="1" applyAlignment="1" applyProtection="1">
      <alignment horizontal="center" vertical="center" wrapText="1"/>
    </xf>
    <xf numFmtId="0" fontId="29" fillId="0" borderId="16" xfId="0" applyFont="1" applyFill="1" applyBorder="1" applyAlignment="1" applyProtection="1">
      <alignment horizontal="center" vertical="center" wrapText="1"/>
    </xf>
    <xf numFmtId="0" fontId="37" fillId="0" borderId="4" xfId="0" applyFont="1" applyFill="1" applyBorder="1" applyAlignment="1" applyProtection="1">
      <alignment horizontal="center" vertical="center" wrapText="1"/>
    </xf>
    <xf numFmtId="0" fontId="37" fillId="0" borderId="12" xfId="0" applyFont="1" applyFill="1" applyBorder="1" applyAlignment="1" applyProtection="1">
      <alignment horizontal="center" vertical="center" wrapText="1"/>
    </xf>
    <xf numFmtId="0" fontId="26" fillId="5" borderId="5" xfId="0" applyFont="1" applyFill="1" applyBorder="1" applyAlignment="1" applyProtection="1">
      <alignment horizontal="center" vertical="center" wrapText="1"/>
    </xf>
    <xf numFmtId="0" fontId="26" fillId="5" borderId="13" xfId="0" applyFont="1" applyFill="1" applyBorder="1" applyAlignment="1" applyProtection="1">
      <alignment horizontal="center" vertical="center" wrapText="1"/>
    </xf>
    <xf numFmtId="1" fontId="26" fillId="5" borderId="6" xfId="0" applyNumberFormat="1" applyFont="1" applyFill="1" applyBorder="1" applyAlignment="1" applyProtection="1">
      <alignment horizontal="center" vertical="center" wrapText="1"/>
    </xf>
    <xf numFmtId="1" fontId="26" fillId="5" borderId="14" xfId="0" applyNumberFormat="1" applyFont="1" applyFill="1" applyBorder="1" applyAlignment="1" applyProtection="1">
      <alignment horizontal="center" vertical="center" wrapText="1"/>
    </xf>
    <xf numFmtId="0" fontId="26" fillId="5" borderId="7" xfId="0" applyFont="1" applyFill="1" applyBorder="1" applyAlignment="1" applyProtection="1">
      <alignment horizontal="center" vertical="center"/>
    </xf>
    <xf numFmtId="0" fontId="26" fillId="5" borderId="8" xfId="0" applyFont="1" applyFill="1" applyBorder="1" applyAlignment="1" applyProtection="1">
      <alignment horizontal="center" vertical="center"/>
    </xf>
    <xf numFmtId="0" fontId="26" fillId="5" borderId="9" xfId="0" applyFont="1" applyFill="1" applyBorder="1" applyAlignment="1" applyProtection="1">
      <alignment horizontal="center" vertical="center"/>
    </xf>
    <xf numFmtId="0" fontId="26" fillId="4" borderId="0" xfId="0" applyFont="1" applyFill="1" applyBorder="1" applyAlignment="1" applyProtection="1">
      <alignment horizontal="center"/>
      <protection locked="0"/>
    </xf>
    <xf numFmtId="0" fontId="48" fillId="0" borderId="37" xfId="0" applyFont="1" applyBorder="1" applyAlignment="1">
      <alignment horizontal="center"/>
    </xf>
    <xf numFmtId="0" fontId="48" fillId="0" borderId="39" xfId="0" applyFont="1" applyBorder="1" applyAlignment="1">
      <alignment horizontal="center"/>
    </xf>
    <xf numFmtId="0" fontId="48" fillId="0" borderId="38" xfId="0" applyFont="1" applyBorder="1" applyAlignment="1">
      <alignment horizontal="center"/>
    </xf>
    <xf numFmtId="0" fontId="37" fillId="9" borderId="47" xfId="0" applyFont="1" applyFill="1" applyBorder="1" applyAlignment="1" applyProtection="1">
      <alignment horizontal="center" vertical="center"/>
      <protection locked="0"/>
    </xf>
    <xf numFmtId="0" fontId="37" fillId="9" borderId="24" xfId="0" applyFont="1" applyFill="1" applyBorder="1" applyAlignment="1" applyProtection="1">
      <alignment horizontal="center" vertical="center"/>
      <protection locked="0"/>
    </xf>
    <xf numFmtId="1" fontId="36" fillId="9" borderId="12" xfId="22" applyNumberFormat="1" applyFont="1" applyFill="1" applyBorder="1" applyAlignment="1" applyProtection="1">
      <alignment horizontal="center" vertical="center" wrapText="1"/>
      <protection locked="0"/>
    </xf>
    <xf numFmtId="1" fontId="36" fillId="9" borderId="45" xfId="22" applyNumberFormat="1" applyFont="1" applyFill="1" applyBorder="1" applyAlignment="1" applyProtection="1">
      <alignment horizontal="center" vertical="center" wrapText="1"/>
      <protection locked="0"/>
    </xf>
    <xf numFmtId="1" fontId="36" fillId="9" borderId="14" xfId="22" applyNumberFormat="1" applyFont="1" applyFill="1" applyBorder="1" applyAlignment="1" applyProtection="1">
      <alignment horizontal="center" vertical="center" wrapText="1"/>
      <protection locked="0"/>
    </xf>
    <xf numFmtId="1" fontId="36" fillId="9" borderId="19" xfId="22" applyNumberFormat="1" applyFont="1" applyFill="1" applyBorder="1" applyAlignment="1" applyProtection="1">
      <alignment horizontal="center" vertical="center" wrapText="1"/>
      <protection locked="0"/>
    </xf>
    <xf numFmtId="1" fontId="36" fillId="9" borderId="21" xfId="22" applyNumberFormat="1" applyFont="1" applyFill="1" applyBorder="1" applyAlignment="1" applyProtection="1">
      <alignment horizontal="center" vertical="center" wrapText="1"/>
      <protection locked="0"/>
    </xf>
    <xf numFmtId="1" fontId="36" fillId="9" borderId="22" xfId="22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2" applyFont="1" applyBorder="1" applyAlignment="1" applyProtection="1">
      <alignment horizontal="center" vertical="center"/>
      <protection locked="0"/>
    </xf>
    <xf numFmtId="0" fontId="14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</cellXfs>
  <cellStyles count="33">
    <cellStyle name="Comma 2" xfId="30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Millares" xfId="22" builtinId="3"/>
    <cellStyle name="Moneda" xfId="3" builtinId="4"/>
    <cellStyle name="Normal" xfId="0" builtinId="0"/>
    <cellStyle name="Normal 10" xfId="25"/>
    <cellStyle name="Normal 2 2" xfId="2"/>
    <cellStyle name="Normal 5" xfId="24"/>
    <cellStyle name="Output Amounts 2" xfId="28"/>
    <cellStyle name="Output Column Headings" xfId="32"/>
    <cellStyle name="Output Column Headings 2" xfId="26"/>
    <cellStyle name="Output Line Items 2" xfId="27"/>
    <cellStyle name="Percent 5 2 2" xfId="29"/>
    <cellStyle name="Percent 6" xfId="31"/>
    <cellStyle name="Porcentaje" xfId="1" builtinId="5"/>
    <cellStyle name="常规_Sales-statistics2" xfId="2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UNITS PER MONTH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7479119468090598E-2"/>
          <c:y val="0.242755024022168"/>
          <c:w val="0.89461901725989701"/>
          <c:h val="0.60692877810420098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'[1]Units &amp; ASP'!$F$4:$Q$4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'[1]Units &amp; ASP'!$F$44:$Q$44</c:f>
              <c:numCache>
                <c:formatCode>General</c:formatCode>
                <c:ptCount val="12"/>
                <c:pt idx="0">
                  <c:v>88</c:v>
                </c:pt>
                <c:pt idx="1">
                  <c:v>103</c:v>
                </c:pt>
                <c:pt idx="2">
                  <c:v>97</c:v>
                </c:pt>
                <c:pt idx="3">
                  <c:v>96</c:v>
                </c:pt>
                <c:pt idx="4">
                  <c:v>115</c:v>
                </c:pt>
                <c:pt idx="5">
                  <c:v>104</c:v>
                </c:pt>
                <c:pt idx="6">
                  <c:v>104</c:v>
                </c:pt>
                <c:pt idx="7">
                  <c:v>105</c:v>
                </c:pt>
                <c:pt idx="8">
                  <c:v>105</c:v>
                </c:pt>
                <c:pt idx="9">
                  <c:v>105</c:v>
                </c:pt>
                <c:pt idx="10">
                  <c:v>89</c:v>
                </c:pt>
                <c:pt idx="11">
                  <c:v>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DFD-436B-982E-A80CF4DA1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0793344"/>
        <c:axId val="120795136"/>
        <c:axId val="0"/>
      </c:bar3DChart>
      <c:catAx>
        <c:axId val="120793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0795136"/>
        <c:crosses val="autoZero"/>
        <c:auto val="1"/>
        <c:lblAlgn val="ctr"/>
        <c:lblOffset val="100"/>
        <c:noMultiLvlLbl val="0"/>
      </c:catAx>
      <c:valAx>
        <c:axId val="12079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793344"/>
        <c:crosses val="autoZero"/>
        <c:crossBetween val="between"/>
      </c:valAx>
    </c:plotArea>
    <c:plotVisOnly val="1"/>
    <c:dispBlanksAs val="gap"/>
    <c:showDLblsOverMax val="0"/>
  </c:chart>
  <c:spPr>
    <a:ln w="19050" cap="rnd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REVENUE</a:t>
            </a:r>
            <a:r>
              <a:rPr lang="en-US" sz="1200" baseline="0"/>
              <a:t> PER MONTH</a:t>
            </a:r>
            <a:endParaRPr lang="en-US" sz="12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'[1]Units &amp; ASP'!$F$4:$Q$4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'[1]Units &amp; ASP'!$F$56:$Q$56</c:f>
              <c:numCache>
                <c:formatCode>General</c:formatCode>
                <c:ptCount val="12"/>
                <c:pt idx="0">
                  <c:v>448179.55491190054</c:v>
                </c:pt>
                <c:pt idx="1">
                  <c:v>517969.71937471046</c:v>
                </c:pt>
                <c:pt idx="2">
                  <c:v>489839.07793732162</c:v>
                </c:pt>
                <c:pt idx="3">
                  <c:v>489534.12664743775</c:v>
                </c:pt>
                <c:pt idx="4">
                  <c:v>580590.8726982798</c:v>
                </c:pt>
                <c:pt idx="5">
                  <c:v>528864.42823546985</c:v>
                </c:pt>
                <c:pt idx="6">
                  <c:v>527397.02811441722</c:v>
                </c:pt>
                <c:pt idx="7">
                  <c:v>533878.68254479684</c:v>
                </c:pt>
                <c:pt idx="8">
                  <c:v>534223.64254479692</c:v>
                </c:pt>
                <c:pt idx="9">
                  <c:v>534223.64254479692</c:v>
                </c:pt>
                <c:pt idx="10">
                  <c:v>458860.28079446446</c:v>
                </c:pt>
                <c:pt idx="11">
                  <c:v>475351.62365160731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50-47F4-B71A-7EA884370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832000"/>
        <c:axId val="120833536"/>
      </c:lineChart>
      <c:catAx>
        <c:axId val="120832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0833536"/>
        <c:crosses val="autoZero"/>
        <c:auto val="1"/>
        <c:lblAlgn val="ctr"/>
        <c:lblOffset val="100"/>
        <c:noMultiLvlLbl val="0"/>
      </c:catAx>
      <c:valAx>
        <c:axId val="12083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832000"/>
        <c:crosses val="autoZero"/>
        <c:crossBetween val="between"/>
      </c:valAx>
    </c:plotArea>
    <c:plotVisOnly val="1"/>
    <c:dispBlanksAs val="gap"/>
    <c:showDLblsOverMax val="0"/>
  </c:chart>
  <c:spPr>
    <a:ln w="1905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571499</xdr:colOff>
      <xdr:row>27</xdr:row>
      <xdr:rowOff>54428</xdr:rowOff>
    </xdr:from>
    <xdr:to>
      <xdr:col>13</xdr:col>
      <xdr:colOff>54427</xdr:colOff>
      <xdr:row>38</xdr:row>
      <xdr:rowOff>36286</xdr:rowOff>
    </xdr:to>
    <xdr:graphicFrame macro="">
      <xdr:nvGraphicFramePr>
        <xdr:cNvPr id="2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371928</xdr:colOff>
      <xdr:row>27</xdr:row>
      <xdr:rowOff>72571</xdr:rowOff>
    </xdr:from>
    <xdr:to>
      <xdr:col>18</xdr:col>
      <xdr:colOff>1052286</xdr:colOff>
      <xdr:row>38</xdr:row>
      <xdr:rowOff>36286</xdr:rowOff>
    </xdr:to>
    <xdr:graphicFrame macro="">
      <xdr:nvGraphicFramePr>
        <xdr:cNvPr id="3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vier/Documents/TAA%20MAC/STS%20Business%20Update%202017/2017%20Retail%20Budget%20Template%20-%20Peru%20(corregido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ummary - USD"/>
      <sheetName val="Units &amp; ASP"/>
      <sheetName val="Units &amp; ASP - USD"/>
      <sheetName val="P&amp;L By Month"/>
      <sheetName val="P&amp;L By Month - USD"/>
      <sheetName val="Comparative P&amp;L By Shop"/>
      <sheetName val="Comparative P&amp;L By Shop - USD"/>
      <sheetName val="CapEx"/>
      <sheetName val="Comparative new budget vs."/>
      <sheetName val="CapEx - USD"/>
    </sheetNames>
    <sheetDataSet>
      <sheetData sheetId="0"/>
      <sheetData sheetId="1"/>
      <sheetData sheetId="2">
        <row r="4">
          <cell r="F4" t="str">
            <v>JAN</v>
          </cell>
          <cell r="G4" t="str">
            <v>FEB</v>
          </cell>
          <cell r="H4" t="str">
            <v>MAR</v>
          </cell>
          <cell r="I4" t="str">
            <v>APR</v>
          </cell>
          <cell r="J4" t="str">
            <v>MAY</v>
          </cell>
          <cell r="K4" t="str">
            <v>JUN</v>
          </cell>
          <cell r="L4" t="str">
            <v>JUL</v>
          </cell>
          <cell r="M4" t="str">
            <v>AUG</v>
          </cell>
          <cell r="N4" t="str">
            <v>SEP</v>
          </cell>
          <cell r="O4" t="str">
            <v>OCT</v>
          </cell>
          <cell r="P4" t="str">
            <v>NOV</v>
          </cell>
          <cell r="Q4" t="str">
            <v>DEC</v>
          </cell>
        </row>
        <row r="44">
          <cell r="F44">
            <v>88</v>
          </cell>
          <cell r="G44">
            <v>103</v>
          </cell>
          <cell r="H44">
            <v>97</v>
          </cell>
          <cell r="I44">
            <v>96</v>
          </cell>
          <cell r="J44">
            <v>115</v>
          </cell>
          <cell r="K44">
            <v>104</v>
          </cell>
          <cell r="L44">
            <v>104</v>
          </cell>
          <cell r="M44">
            <v>105</v>
          </cell>
          <cell r="N44">
            <v>105</v>
          </cell>
          <cell r="O44">
            <v>105</v>
          </cell>
          <cell r="P44">
            <v>89</v>
          </cell>
          <cell r="Q44">
            <v>93</v>
          </cell>
        </row>
        <row r="56">
          <cell r="F56">
            <v>448179.55491190054</v>
          </cell>
          <cell r="G56">
            <v>517969.71937471046</v>
          </cell>
          <cell r="H56">
            <v>489839.07793732162</v>
          </cell>
          <cell r="I56">
            <v>489534.12664743775</v>
          </cell>
          <cell r="J56">
            <v>580590.8726982798</v>
          </cell>
          <cell r="K56">
            <v>528864.42823546985</v>
          </cell>
          <cell r="L56">
            <v>527397.02811441722</v>
          </cell>
          <cell r="M56">
            <v>533878.68254479684</v>
          </cell>
          <cell r="N56">
            <v>534223.64254479692</v>
          </cell>
          <cell r="O56">
            <v>534223.64254479692</v>
          </cell>
          <cell r="P56">
            <v>458860.28079446446</v>
          </cell>
          <cell r="Q56">
            <v>475351.62365160731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"/>
  <sheetViews>
    <sheetView topLeftCell="A2" workbookViewId="0">
      <selection activeCell="C14" sqref="C14"/>
    </sheetView>
  </sheetViews>
  <sheetFormatPr baseColWidth="10" defaultColWidth="8.875" defaultRowHeight="12.75"/>
  <cols>
    <col min="1" max="1" width="1" style="107" customWidth="1"/>
    <col min="2" max="2" width="34.375" style="107" customWidth="1"/>
    <col min="3" max="3" width="11.625" style="107" customWidth="1"/>
    <col min="4" max="4" width="6.375" style="192" customWidth="1"/>
    <col min="5" max="5" width="11.625" style="107" customWidth="1"/>
    <col min="6" max="6" width="6.375" style="192" customWidth="1"/>
    <col min="7" max="7" width="11.625" style="192" customWidth="1"/>
    <col min="8" max="8" width="6.375" style="107" customWidth="1"/>
    <col min="9" max="9" width="8.375" style="107" customWidth="1"/>
    <col min="10" max="10" width="30.625" style="107" bestFit="1" customWidth="1"/>
    <col min="11" max="11" width="13.375" style="107" customWidth="1"/>
    <col min="12" max="13" width="12.375" style="107" customWidth="1"/>
    <col min="14" max="14" width="13.375" style="107" customWidth="1"/>
    <col min="15" max="17" width="12.375" style="107" customWidth="1"/>
    <col min="18" max="18" width="13.375" style="107" customWidth="1"/>
    <col min="19" max="21" width="16" style="107" customWidth="1"/>
    <col min="22" max="22" width="19.125" style="107" hidden="1" customWidth="1"/>
    <col min="23" max="23" width="8.125" style="107" hidden="1" customWidth="1"/>
    <col min="24" max="16384" width="8.875" style="107"/>
  </cols>
  <sheetData>
    <row r="1" spans="1:23" ht="27">
      <c r="A1" s="106"/>
      <c r="B1" s="259" t="s">
        <v>113</v>
      </c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259"/>
      <c r="T1" s="106"/>
    </row>
    <row r="2" spans="1:23" ht="20.25">
      <c r="A2" s="106"/>
      <c r="B2" s="260" t="s">
        <v>157</v>
      </c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  <c r="T2" s="106"/>
    </row>
    <row r="3" spans="1:23" ht="13.5" thickBot="1">
      <c r="A3" s="106"/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V3" s="108" t="s">
        <v>158</v>
      </c>
      <c r="W3" s="109" t="s">
        <v>159</v>
      </c>
    </row>
    <row r="4" spans="1:23" ht="19.5" thickBot="1">
      <c r="A4" s="106"/>
      <c r="B4" s="244" t="s">
        <v>160</v>
      </c>
      <c r="C4" s="245"/>
      <c r="D4" s="245"/>
      <c r="E4" s="245"/>
      <c r="F4" s="245"/>
      <c r="G4" s="245"/>
      <c r="H4" s="246"/>
      <c r="I4" s="106"/>
      <c r="J4" s="244" t="s">
        <v>161</v>
      </c>
      <c r="K4" s="245"/>
      <c r="L4" s="245"/>
      <c r="M4" s="245"/>
      <c r="N4" s="245"/>
      <c r="O4" s="245"/>
      <c r="P4" s="245"/>
      <c r="Q4" s="245"/>
      <c r="R4" s="245"/>
      <c r="S4" s="246"/>
      <c r="T4" s="106"/>
      <c r="V4" s="110" t="s">
        <v>162</v>
      </c>
      <c r="W4" s="111">
        <v>1.1165000848540065</v>
      </c>
    </row>
    <row r="5" spans="1:23" ht="15" customHeight="1">
      <c r="A5" s="106"/>
      <c r="B5" s="112"/>
      <c r="C5" s="227">
        <v>2017</v>
      </c>
      <c r="D5" s="228"/>
      <c r="E5" s="227">
        <v>2018</v>
      </c>
      <c r="F5" s="228"/>
      <c r="G5" s="227">
        <v>2019</v>
      </c>
      <c r="H5" s="228"/>
      <c r="I5" s="106"/>
      <c r="J5" s="261" t="s">
        <v>164</v>
      </c>
      <c r="K5" s="263" t="s">
        <v>165</v>
      </c>
      <c r="L5" s="264"/>
      <c r="M5" s="264"/>
      <c r="N5" s="265"/>
      <c r="O5" s="266" t="s">
        <v>166</v>
      </c>
      <c r="P5" s="267"/>
      <c r="Q5" s="268"/>
      <c r="R5" s="266" t="s">
        <v>163</v>
      </c>
      <c r="S5" s="268"/>
      <c r="T5" s="106"/>
      <c r="V5" s="110" t="s">
        <v>167</v>
      </c>
      <c r="W5" s="111">
        <v>0.7546543305838761</v>
      </c>
    </row>
    <row r="6" spans="1:23" ht="13.5">
      <c r="A6" s="106"/>
      <c r="B6" s="113"/>
      <c r="C6" s="229" t="s">
        <v>168</v>
      </c>
      <c r="D6" s="230"/>
      <c r="E6" s="229" t="s">
        <v>168</v>
      </c>
      <c r="F6" s="230"/>
      <c r="G6" s="229" t="s">
        <v>168</v>
      </c>
      <c r="H6" s="230"/>
      <c r="I6" s="106"/>
      <c r="J6" s="262"/>
      <c r="K6" s="114" t="s">
        <v>169</v>
      </c>
      <c r="L6" s="115" t="s">
        <v>170</v>
      </c>
      <c r="M6" s="115" t="s">
        <v>171</v>
      </c>
      <c r="N6" s="116" t="s">
        <v>172</v>
      </c>
      <c r="O6" s="117" t="s">
        <v>169</v>
      </c>
      <c r="P6" s="115" t="s">
        <v>170</v>
      </c>
      <c r="Q6" s="118" t="s">
        <v>173</v>
      </c>
      <c r="R6" s="117" t="s">
        <v>169</v>
      </c>
      <c r="S6" s="118" t="s">
        <v>170</v>
      </c>
      <c r="T6" s="106"/>
      <c r="V6" s="110" t="s">
        <v>174</v>
      </c>
      <c r="W6" s="111">
        <v>1.3089604890276387</v>
      </c>
    </row>
    <row r="7" spans="1:23">
      <c r="A7" s="106"/>
      <c r="B7" s="119"/>
      <c r="C7" s="120"/>
      <c r="D7" s="121"/>
      <c r="E7" s="122"/>
      <c r="F7" s="123"/>
      <c r="G7" s="122"/>
      <c r="H7" s="123"/>
      <c r="I7" s="106"/>
      <c r="J7" s="119" t="s">
        <v>131</v>
      </c>
      <c r="K7" s="124">
        <v>2238873</v>
      </c>
      <c r="L7" s="124">
        <v>428</v>
      </c>
      <c r="M7" s="125">
        <v>5231.0116822429909</v>
      </c>
      <c r="N7" s="126">
        <v>0.94992173294331572</v>
      </c>
      <c r="O7" s="127">
        <v>1886800</v>
      </c>
      <c r="P7" s="124">
        <v>356</v>
      </c>
      <c r="Q7" s="128">
        <v>5300</v>
      </c>
      <c r="R7" s="127">
        <v>352073</v>
      </c>
      <c r="S7" s="129">
        <v>72</v>
      </c>
      <c r="T7" s="106"/>
      <c r="V7" s="110" t="s">
        <v>175</v>
      </c>
      <c r="W7" s="111">
        <v>9.7645760709298805E-3</v>
      </c>
    </row>
    <row r="8" spans="1:23">
      <c r="A8" s="106"/>
      <c r="B8" s="130" t="s">
        <v>176</v>
      </c>
      <c r="C8" s="131">
        <f>+PRESUPUESTOS!T54</f>
        <v>6118912.6799999997</v>
      </c>
      <c r="D8" s="132">
        <v>1</v>
      </c>
      <c r="E8" s="131">
        <v>5850000</v>
      </c>
      <c r="F8" s="133">
        <v>1</v>
      </c>
      <c r="G8" s="131">
        <v>5850000</v>
      </c>
      <c r="H8" s="133">
        <v>1</v>
      </c>
      <c r="I8" s="106"/>
      <c r="J8" s="134" t="s">
        <v>144</v>
      </c>
      <c r="K8" s="135">
        <v>917193</v>
      </c>
      <c r="L8" s="135">
        <v>179</v>
      </c>
      <c r="M8" s="125">
        <v>5123.9832402234633</v>
      </c>
      <c r="N8" s="126">
        <v>0.93029595733940407</v>
      </c>
      <c r="O8" s="136">
        <v>820800</v>
      </c>
      <c r="P8" s="135">
        <v>144</v>
      </c>
      <c r="Q8" s="137">
        <v>5700</v>
      </c>
      <c r="R8" s="138">
        <v>96393</v>
      </c>
      <c r="S8" s="139">
        <v>35</v>
      </c>
      <c r="T8" s="106"/>
      <c r="V8" s="110" t="s">
        <v>177</v>
      </c>
      <c r="W8" s="111">
        <v>1.1165000848540065</v>
      </c>
    </row>
    <row r="9" spans="1:23">
      <c r="A9" s="106"/>
      <c r="B9" s="130"/>
      <c r="C9" s="140"/>
      <c r="D9" s="132"/>
      <c r="E9" s="141"/>
      <c r="F9" s="133"/>
      <c r="G9" s="141"/>
      <c r="H9" s="133"/>
      <c r="I9" s="106"/>
      <c r="J9" s="134" t="s">
        <v>178</v>
      </c>
      <c r="K9" s="135">
        <v>2486783.6800000002</v>
      </c>
      <c r="L9" s="135">
        <v>597</v>
      </c>
      <c r="M9" s="125">
        <v>4165.4668006700167</v>
      </c>
      <c r="N9" s="126">
        <v>0.91819130001689575</v>
      </c>
      <c r="O9" s="136">
        <v>1830800</v>
      </c>
      <c r="P9" s="135">
        <v>398</v>
      </c>
      <c r="Q9" s="137">
        <v>4600</v>
      </c>
      <c r="R9" s="138">
        <v>655983.68000000017</v>
      </c>
      <c r="S9" s="139">
        <v>199</v>
      </c>
      <c r="T9" s="106"/>
      <c r="V9" s="110" t="s">
        <v>179</v>
      </c>
      <c r="W9" s="111">
        <v>0.25071767935715988</v>
      </c>
    </row>
    <row r="10" spans="1:23">
      <c r="A10" s="106"/>
      <c r="B10" s="130" t="s">
        <v>180</v>
      </c>
      <c r="C10" s="131">
        <f>-PRESUPUESTOS!U54</f>
        <v>-510201.72000000003</v>
      </c>
      <c r="D10" s="132">
        <f>+C10/C8</f>
        <v>-8.3381108161197037E-2</v>
      </c>
      <c r="E10" s="131">
        <v>-1200000</v>
      </c>
      <c r="F10" s="133">
        <v>-0.20512820512820512</v>
      </c>
      <c r="G10" s="131">
        <v>-1200000</v>
      </c>
      <c r="H10" s="133">
        <v>-0.20512820512820512</v>
      </c>
      <c r="I10" s="106"/>
      <c r="J10" s="142" t="s">
        <v>146</v>
      </c>
      <c r="K10" s="143">
        <v>5642849.6799999997</v>
      </c>
      <c r="L10" s="143">
        <v>1204</v>
      </c>
      <c r="M10" s="144">
        <v>4686.7522259136213</v>
      </c>
      <c r="N10" s="145">
        <v>0.93274825637389658</v>
      </c>
      <c r="O10" s="146">
        <v>4538400</v>
      </c>
      <c r="P10" s="143">
        <v>898</v>
      </c>
      <c r="Q10" s="147">
        <v>5053.8975501113582</v>
      </c>
      <c r="R10" s="146">
        <v>1104449.6799999997</v>
      </c>
      <c r="S10" s="148">
        <v>306</v>
      </c>
      <c r="T10" s="106"/>
      <c r="V10" s="110" t="s">
        <v>181</v>
      </c>
      <c r="W10" s="111">
        <v>0.11862508778256498</v>
      </c>
    </row>
    <row r="11" spans="1:23">
      <c r="A11" s="106"/>
      <c r="B11" s="130"/>
      <c r="C11" s="140"/>
      <c r="D11" s="132"/>
      <c r="E11" s="141"/>
      <c r="F11" s="133"/>
      <c r="G11" s="141"/>
      <c r="H11" s="133"/>
      <c r="I11" s="106"/>
      <c r="J11" s="134" t="s">
        <v>182</v>
      </c>
      <c r="K11" s="135">
        <v>476063</v>
      </c>
      <c r="L11" s="135"/>
      <c r="M11" s="149"/>
      <c r="N11" s="150">
        <v>0.72543499494814767</v>
      </c>
      <c r="O11" s="136">
        <v>326760</v>
      </c>
      <c r="P11" s="135"/>
      <c r="Q11" s="151"/>
      <c r="R11" s="136">
        <v>149303</v>
      </c>
      <c r="S11" s="139"/>
      <c r="T11" s="106"/>
      <c r="V11" s="110" t="s">
        <v>113</v>
      </c>
      <c r="W11" s="111">
        <v>0.29729874361550945</v>
      </c>
    </row>
    <row r="12" spans="1:23" ht="13.5" thickBot="1">
      <c r="A12" s="106"/>
      <c r="B12" s="130" t="s">
        <v>183</v>
      </c>
      <c r="C12" s="152">
        <f>+C8+C10</f>
        <v>5608710.96</v>
      </c>
      <c r="D12" s="132">
        <f>+C12/C8</f>
        <v>0.91661889183880296</v>
      </c>
      <c r="E12" s="152">
        <v>4650000</v>
      </c>
      <c r="F12" s="133">
        <v>0.79487179487179482</v>
      </c>
      <c r="G12" s="152">
        <v>4650000</v>
      </c>
      <c r="H12" s="133">
        <v>0.79487179487179482</v>
      </c>
      <c r="I12" s="106"/>
      <c r="J12" s="153" t="s">
        <v>156</v>
      </c>
      <c r="K12" s="154">
        <v>6118912.6799999997</v>
      </c>
      <c r="L12" s="154"/>
      <c r="M12" s="155"/>
      <c r="N12" s="156">
        <v>0.91661889183880296</v>
      </c>
      <c r="O12" s="157">
        <v>4865160</v>
      </c>
      <c r="P12" s="154"/>
      <c r="Q12" s="158"/>
      <c r="R12" s="157">
        <v>1253752.6799999997</v>
      </c>
      <c r="S12" s="159"/>
      <c r="T12" s="106"/>
    </row>
    <row r="13" spans="1:23">
      <c r="A13" s="106"/>
      <c r="B13" s="130"/>
      <c r="C13" s="140"/>
      <c r="D13" s="132"/>
      <c r="E13" s="141"/>
      <c r="F13" s="133"/>
      <c r="G13" s="141"/>
      <c r="H13" s="133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</row>
    <row r="14" spans="1:23" ht="13.5" thickBot="1">
      <c r="A14" s="106"/>
      <c r="B14" s="130" t="s">
        <v>184</v>
      </c>
      <c r="C14" s="140">
        <v>-3160239.432</v>
      </c>
      <c r="D14" s="132">
        <v>-0.51647075179376489</v>
      </c>
      <c r="E14" s="141">
        <v>-2175148</v>
      </c>
      <c r="F14" s="133">
        <v>-0.37182017094017095</v>
      </c>
      <c r="G14" s="141">
        <v>-2175148</v>
      </c>
      <c r="H14" s="133">
        <v>-0.37182017094017095</v>
      </c>
      <c r="I14" s="106"/>
      <c r="J14" s="160"/>
      <c r="K14" s="160"/>
      <c r="L14" s="160"/>
      <c r="M14" s="160"/>
      <c r="N14" s="160"/>
      <c r="O14" s="106"/>
      <c r="P14" s="106"/>
      <c r="Q14" s="106"/>
      <c r="R14" s="106"/>
      <c r="S14" s="106"/>
      <c r="T14" s="106"/>
    </row>
    <row r="15" spans="1:23" ht="19.5" thickBot="1">
      <c r="A15" s="106"/>
      <c r="B15" s="161" t="s">
        <v>185</v>
      </c>
      <c r="C15" s="162">
        <v>-249600</v>
      </c>
      <c r="D15" s="163"/>
      <c r="E15" s="141">
        <v>-510000</v>
      </c>
      <c r="F15" s="164"/>
      <c r="G15" s="141">
        <v>-510000</v>
      </c>
      <c r="H15" s="164"/>
      <c r="I15" s="106"/>
      <c r="J15" s="244" t="s">
        <v>186</v>
      </c>
      <c r="K15" s="245"/>
      <c r="L15" s="245"/>
      <c r="M15" s="245"/>
      <c r="N15" s="245"/>
      <c r="O15" s="245"/>
      <c r="P15" s="245"/>
      <c r="Q15" s="245"/>
      <c r="R15" s="245"/>
      <c r="S15" s="246"/>
      <c r="T15" s="106"/>
    </row>
    <row r="16" spans="1:23">
      <c r="A16" s="106"/>
      <c r="B16" s="130" t="s">
        <v>187</v>
      </c>
      <c r="C16" s="131">
        <v>-249600</v>
      </c>
      <c r="D16" s="132">
        <v>-4.0791561026165851E-2</v>
      </c>
      <c r="E16" s="131">
        <v>-510000</v>
      </c>
      <c r="F16" s="133">
        <v>-8.7179487179487175E-2</v>
      </c>
      <c r="G16" s="131">
        <v>-510000</v>
      </c>
      <c r="H16" s="133">
        <v>-8.7179487179487175E-2</v>
      </c>
      <c r="I16" s="106"/>
      <c r="J16" s="233" t="s">
        <v>188</v>
      </c>
      <c r="K16" s="235"/>
      <c r="L16" s="251" t="s">
        <v>165</v>
      </c>
      <c r="M16" s="252"/>
      <c r="N16" s="255" t="s">
        <v>189</v>
      </c>
      <c r="O16" s="251" t="s">
        <v>166</v>
      </c>
      <c r="P16" s="252"/>
      <c r="Q16" s="255" t="s">
        <v>189</v>
      </c>
      <c r="R16" s="251" t="s">
        <v>190</v>
      </c>
      <c r="S16" s="257"/>
      <c r="T16" s="106"/>
    </row>
    <row r="17" spans="1:20">
      <c r="A17" s="106"/>
      <c r="B17" s="130"/>
      <c r="C17" s="140"/>
      <c r="D17" s="132"/>
      <c r="E17" s="141"/>
      <c r="F17" s="133"/>
      <c r="G17" s="141"/>
      <c r="H17" s="133"/>
      <c r="I17" s="106"/>
      <c r="J17" s="249"/>
      <c r="K17" s="250"/>
      <c r="L17" s="253"/>
      <c r="M17" s="254"/>
      <c r="N17" s="256"/>
      <c r="O17" s="253"/>
      <c r="P17" s="254"/>
      <c r="Q17" s="256"/>
      <c r="R17" s="253"/>
      <c r="S17" s="258"/>
      <c r="T17" s="106"/>
    </row>
    <row r="18" spans="1:20">
      <c r="A18" s="106"/>
      <c r="B18" s="130" t="s">
        <v>191</v>
      </c>
      <c r="C18" s="140">
        <v>1949271.527999999</v>
      </c>
      <c r="D18" s="132">
        <v>0.31856501799270642</v>
      </c>
      <c r="E18" s="141">
        <v>1454852</v>
      </c>
      <c r="F18" s="133">
        <v>0.24869264957264958</v>
      </c>
      <c r="G18" s="141">
        <v>1454852</v>
      </c>
      <c r="H18" s="133">
        <v>0.24869264957264958</v>
      </c>
      <c r="I18" s="106"/>
      <c r="J18" s="165" t="s">
        <v>192</v>
      </c>
      <c r="K18" s="166"/>
      <c r="L18" s="247">
        <v>1925019.4319999998</v>
      </c>
      <c r="M18" s="248"/>
      <c r="N18" s="167">
        <v>0.31460155303278492</v>
      </c>
      <c r="O18" s="247">
        <v>1405248</v>
      </c>
      <c r="P18" s="248"/>
      <c r="Q18" s="168">
        <v>0.24021333333333333</v>
      </c>
      <c r="R18" s="169">
        <v>519771.4319999998</v>
      </c>
      <c r="S18" s="170">
        <v>0.3698787915015711</v>
      </c>
      <c r="T18" s="106"/>
    </row>
    <row r="19" spans="1:20">
      <c r="A19" s="106"/>
      <c r="B19" s="130"/>
      <c r="C19" s="140"/>
      <c r="D19" s="132"/>
      <c r="E19" s="141"/>
      <c r="F19" s="133"/>
      <c r="G19" s="141"/>
      <c r="H19" s="133"/>
      <c r="I19" s="106"/>
      <c r="J19" s="171" t="s">
        <v>193</v>
      </c>
      <c r="K19" s="172"/>
      <c r="L19" s="238">
        <v>147600</v>
      </c>
      <c r="M19" s="239"/>
      <c r="N19" s="167">
        <v>2.4121932722203848E-2</v>
      </c>
      <c r="O19" s="238">
        <v>115000</v>
      </c>
      <c r="P19" s="239"/>
      <c r="Q19" s="167">
        <v>1.9658119658119658E-2</v>
      </c>
      <c r="R19" s="169">
        <v>32600</v>
      </c>
      <c r="S19" s="173">
        <v>0.28347826086956524</v>
      </c>
      <c r="T19" s="106"/>
    </row>
    <row r="20" spans="1:20">
      <c r="A20" s="106"/>
      <c r="B20" s="130" t="s">
        <v>194</v>
      </c>
      <c r="C20" s="140">
        <v>0</v>
      </c>
      <c r="D20" s="132">
        <v>0</v>
      </c>
      <c r="E20" s="141">
        <v>0</v>
      </c>
      <c r="F20" s="133">
        <v>0</v>
      </c>
      <c r="G20" s="141">
        <v>0</v>
      </c>
      <c r="H20" s="133">
        <v>0</v>
      </c>
      <c r="I20" s="106"/>
      <c r="J20" s="171" t="s">
        <v>195</v>
      </c>
      <c r="K20" s="172"/>
      <c r="L20" s="238">
        <v>401160</v>
      </c>
      <c r="M20" s="239"/>
      <c r="N20" s="167">
        <v>6.5560667553111754E-2</v>
      </c>
      <c r="O20" s="238">
        <v>134400</v>
      </c>
      <c r="P20" s="239"/>
      <c r="Q20" s="167">
        <v>2.2974358974358976E-2</v>
      </c>
      <c r="R20" s="169">
        <v>266760</v>
      </c>
      <c r="S20" s="173">
        <v>1.9848214285714285</v>
      </c>
      <c r="T20" s="106"/>
    </row>
    <row r="21" spans="1:20">
      <c r="A21" s="106"/>
      <c r="B21" s="130"/>
      <c r="C21" s="140"/>
      <c r="D21" s="132"/>
      <c r="E21" s="141"/>
      <c r="F21" s="133"/>
      <c r="G21" s="141"/>
      <c r="H21" s="133"/>
      <c r="I21" s="106"/>
      <c r="J21" s="171" t="s">
        <v>196</v>
      </c>
      <c r="K21" s="172"/>
      <c r="L21" s="238">
        <v>50000</v>
      </c>
      <c r="M21" s="239"/>
      <c r="N21" s="167">
        <v>8.1713864235107882E-3</v>
      </c>
      <c r="O21" s="238">
        <v>72800</v>
      </c>
      <c r="P21" s="239"/>
      <c r="Q21" s="167">
        <v>1.2444444444444444E-2</v>
      </c>
      <c r="R21" s="169">
        <v>-22800</v>
      </c>
      <c r="S21" s="173">
        <v>-0.31318681318681318</v>
      </c>
      <c r="T21" s="106"/>
    </row>
    <row r="22" spans="1:20">
      <c r="A22" s="106"/>
      <c r="B22" s="130" t="s">
        <v>197</v>
      </c>
      <c r="C22" s="131">
        <v>1949271.527999999</v>
      </c>
      <c r="D22" s="132">
        <v>0.31856501799270642</v>
      </c>
      <c r="E22" s="131">
        <v>1454852</v>
      </c>
      <c r="F22" s="133">
        <v>0.24869264957264958</v>
      </c>
      <c r="G22" s="131">
        <v>1454852</v>
      </c>
      <c r="H22" s="133">
        <v>0.24869264957264958</v>
      </c>
      <c r="I22" s="106"/>
      <c r="J22" s="171" t="s">
        <v>198</v>
      </c>
      <c r="K22" s="172"/>
      <c r="L22" s="238">
        <v>15400</v>
      </c>
      <c r="M22" s="239"/>
      <c r="N22" s="167">
        <v>2.5167870184413226E-3</v>
      </c>
      <c r="O22" s="238">
        <v>15100</v>
      </c>
      <c r="P22" s="239"/>
      <c r="Q22" s="167">
        <v>2.5811965811965813E-3</v>
      </c>
      <c r="R22" s="169">
        <v>300</v>
      </c>
      <c r="S22" s="173">
        <v>1.9867549668874173E-2</v>
      </c>
      <c r="T22" s="106"/>
    </row>
    <row r="23" spans="1:20">
      <c r="A23" s="106"/>
      <c r="B23" s="130"/>
      <c r="C23" s="140"/>
      <c r="D23" s="132"/>
      <c r="E23" s="141"/>
      <c r="F23" s="133"/>
      <c r="G23" s="141"/>
      <c r="H23" s="133"/>
      <c r="I23" s="106"/>
      <c r="J23" s="171" t="s">
        <v>199</v>
      </c>
      <c r="K23" s="172"/>
      <c r="L23" s="238">
        <v>223860</v>
      </c>
      <c r="M23" s="239"/>
      <c r="N23" s="167">
        <v>3.6584931295342502E-2</v>
      </c>
      <c r="O23" s="238">
        <v>136600</v>
      </c>
      <c r="P23" s="239"/>
      <c r="Q23" s="167">
        <v>2.335042735042735E-2</v>
      </c>
      <c r="R23" s="169">
        <v>87260</v>
      </c>
      <c r="S23" s="173">
        <v>0.63879941434846266</v>
      </c>
      <c r="T23" s="106"/>
    </row>
    <row r="24" spans="1:20">
      <c r="A24" s="106"/>
      <c r="B24" s="130" t="s">
        <v>200</v>
      </c>
      <c r="C24" s="131">
        <v>-891672.10659999994</v>
      </c>
      <c r="D24" s="132">
        <v>0.45743863478828817</v>
      </c>
      <c r="E24" s="131">
        <v>-330700</v>
      </c>
      <c r="F24" s="133">
        <v>0.22730834476634049</v>
      </c>
      <c r="G24" s="131">
        <v>-330700</v>
      </c>
      <c r="H24" s="133">
        <v>0.22730834476634049</v>
      </c>
      <c r="I24" s="106"/>
      <c r="J24" s="174" t="s">
        <v>182</v>
      </c>
      <c r="K24" s="175"/>
      <c r="L24" s="240">
        <v>397200</v>
      </c>
      <c r="M24" s="241"/>
      <c r="N24" s="167">
        <v>6.4913493748369702E-2</v>
      </c>
      <c r="O24" s="240">
        <v>296000</v>
      </c>
      <c r="P24" s="241"/>
      <c r="Q24" s="176">
        <v>5.0598290598290602E-2</v>
      </c>
      <c r="R24" s="169">
        <v>101200</v>
      </c>
      <c r="S24" s="177">
        <v>0.3418918918918919</v>
      </c>
      <c r="T24" s="106"/>
    </row>
    <row r="25" spans="1:20" ht="13.5" thickBot="1">
      <c r="A25" s="106"/>
      <c r="B25" s="130"/>
      <c r="C25" s="140"/>
      <c r="D25" s="132"/>
      <c r="E25" s="141"/>
      <c r="F25" s="133"/>
      <c r="G25" s="141"/>
      <c r="H25" s="133"/>
      <c r="I25" s="106"/>
      <c r="J25" s="178" t="s">
        <v>156</v>
      </c>
      <c r="K25" s="179"/>
      <c r="L25" s="242">
        <v>3160239.432</v>
      </c>
      <c r="M25" s="243"/>
      <c r="N25" s="180">
        <v>0.51647075179376489</v>
      </c>
      <c r="O25" s="242">
        <v>2175148</v>
      </c>
      <c r="P25" s="243"/>
      <c r="Q25" s="180">
        <v>0.37182017094017095</v>
      </c>
      <c r="R25" s="181">
        <v>985091.43200000003</v>
      </c>
      <c r="S25" s="182">
        <v>0.45288478393194398</v>
      </c>
      <c r="T25" s="106"/>
    </row>
    <row r="26" spans="1:20" ht="13.5" thickBot="1">
      <c r="A26" s="106"/>
      <c r="B26" s="183" t="s">
        <v>201</v>
      </c>
      <c r="C26" s="184">
        <v>1057599.4213999989</v>
      </c>
      <c r="D26" s="185">
        <v>0.17284107107081631</v>
      </c>
      <c r="E26" s="186">
        <v>1124152</v>
      </c>
      <c r="F26" s="187">
        <v>0.19216273504273504</v>
      </c>
      <c r="G26" s="186">
        <v>1124152</v>
      </c>
      <c r="H26" s="187">
        <v>0.19216273504273504</v>
      </c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</row>
    <row r="27" spans="1:20">
      <c r="A27" s="106"/>
      <c r="B27" s="106"/>
      <c r="C27" s="106"/>
      <c r="D27" s="106"/>
      <c r="E27" s="106"/>
      <c r="F27" s="106"/>
      <c r="G27" s="106"/>
      <c r="H27" s="106"/>
      <c r="I27" s="106"/>
      <c r="J27" s="160"/>
      <c r="K27" s="160"/>
      <c r="L27" s="160"/>
      <c r="M27" s="160"/>
      <c r="N27" s="160"/>
      <c r="O27" s="160"/>
      <c r="P27" s="160"/>
      <c r="Q27" s="160"/>
      <c r="R27" s="106"/>
      <c r="S27" s="106"/>
      <c r="T27" s="106"/>
    </row>
    <row r="28" spans="1:20" ht="13.5" thickBot="1">
      <c r="A28" s="106"/>
      <c r="B28" s="106"/>
      <c r="C28" s="106"/>
      <c r="D28" s="106"/>
      <c r="E28" s="106"/>
      <c r="F28" s="106"/>
      <c r="G28" s="106"/>
      <c r="H28" s="106"/>
      <c r="I28" s="106"/>
      <c r="J28" s="160"/>
      <c r="K28" s="160"/>
      <c r="L28" s="160"/>
      <c r="M28" s="160"/>
      <c r="N28" s="160"/>
      <c r="O28" s="106"/>
      <c r="P28" s="106"/>
      <c r="Q28" s="106"/>
      <c r="R28" s="106"/>
      <c r="S28" s="106"/>
      <c r="T28" s="106"/>
    </row>
    <row r="29" spans="1:20" ht="19.5" thickBot="1">
      <c r="A29" s="106"/>
      <c r="B29" s="244" t="s">
        <v>202</v>
      </c>
      <c r="C29" s="245"/>
      <c r="D29" s="245"/>
      <c r="E29" s="245"/>
      <c r="F29" s="245"/>
      <c r="G29" s="245"/>
      <c r="H29" s="246"/>
      <c r="I29" s="160"/>
      <c r="J29" s="160"/>
      <c r="K29" s="160"/>
      <c r="L29" s="160"/>
      <c r="M29" s="160"/>
      <c r="N29" s="160"/>
      <c r="O29" s="106"/>
      <c r="P29" s="106"/>
      <c r="Q29" s="106"/>
      <c r="R29" s="106"/>
      <c r="S29" s="106"/>
      <c r="T29" s="106"/>
    </row>
    <row r="30" spans="1:20">
      <c r="A30" s="106"/>
      <c r="B30" s="233" t="s">
        <v>188</v>
      </c>
      <c r="C30" s="234"/>
      <c r="D30" s="234"/>
      <c r="E30" s="234"/>
      <c r="F30" s="235"/>
      <c r="G30" s="236" t="s">
        <v>165</v>
      </c>
      <c r="H30" s="237"/>
      <c r="I30" s="160"/>
      <c r="J30" s="160"/>
      <c r="K30" s="160"/>
      <c r="L30" s="160"/>
      <c r="M30" s="160"/>
      <c r="N30" s="160"/>
      <c r="O30" s="106"/>
      <c r="P30" s="106"/>
      <c r="Q30" s="106"/>
      <c r="R30" s="106"/>
      <c r="S30" s="106"/>
      <c r="T30" s="106"/>
    </row>
    <row r="31" spans="1:20">
      <c r="A31" s="106"/>
      <c r="B31" s="171" t="s">
        <v>203</v>
      </c>
      <c r="C31" s="172"/>
      <c r="D31" s="172"/>
      <c r="E31" s="172"/>
      <c r="F31" s="188"/>
      <c r="G31" s="231">
        <v>0</v>
      </c>
      <c r="H31" s="232"/>
      <c r="I31" s="160"/>
      <c r="J31" s="160"/>
      <c r="K31" s="160"/>
      <c r="L31" s="160"/>
      <c r="M31" s="160"/>
      <c r="N31" s="160"/>
      <c r="O31" s="106"/>
      <c r="P31" s="106"/>
      <c r="Q31" s="106"/>
      <c r="R31" s="106"/>
      <c r="S31" s="106"/>
      <c r="T31" s="106"/>
    </row>
    <row r="32" spans="1:20">
      <c r="A32" s="106"/>
      <c r="B32" s="171" t="s">
        <v>204</v>
      </c>
      <c r="C32" s="172"/>
      <c r="D32" s="172"/>
      <c r="E32" s="172"/>
      <c r="F32" s="188"/>
      <c r="G32" s="223">
        <v>0</v>
      </c>
      <c r="H32" s="224"/>
      <c r="I32" s="160"/>
      <c r="J32" s="160"/>
      <c r="K32" s="160"/>
      <c r="L32" s="160"/>
      <c r="M32" s="160"/>
      <c r="N32" s="160"/>
      <c r="O32" s="106"/>
      <c r="P32" s="106"/>
      <c r="Q32" s="106"/>
      <c r="R32" s="106"/>
      <c r="S32" s="106"/>
      <c r="T32" s="106"/>
    </row>
    <row r="33" spans="1:23">
      <c r="A33" s="106"/>
      <c r="B33" s="171" t="s">
        <v>205</v>
      </c>
      <c r="C33" s="172"/>
      <c r="D33" s="172"/>
      <c r="E33" s="172"/>
      <c r="F33" s="188"/>
      <c r="G33" s="223">
        <v>18300</v>
      </c>
      <c r="H33" s="224"/>
      <c r="I33" s="160"/>
      <c r="J33" s="160"/>
      <c r="K33" s="160"/>
      <c r="L33" s="160"/>
      <c r="M33" s="160"/>
      <c r="N33" s="160"/>
      <c r="O33" s="106"/>
      <c r="P33" s="106"/>
      <c r="Q33" s="106"/>
      <c r="R33" s="106"/>
      <c r="S33" s="106"/>
      <c r="T33" s="106"/>
    </row>
    <row r="34" spans="1:23">
      <c r="A34" s="106"/>
      <c r="B34" s="171" t="s">
        <v>206</v>
      </c>
      <c r="C34" s="172"/>
      <c r="D34" s="172"/>
      <c r="E34" s="172"/>
      <c r="F34" s="188"/>
      <c r="G34" s="223">
        <v>26551.45</v>
      </c>
      <c r="H34" s="224"/>
      <c r="I34" s="160"/>
      <c r="J34" s="160"/>
      <c r="K34" s="160"/>
      <c r="L34" s="160"/>
      <c r="M34" s="160"/>
      <c r="N34" s="160"/>
      <c r="O34" s="106"/>
      <c r="P34" s="106"/>
      <c r="Q34" s="106"/>
      <c r="R34" s="106"/>
      <c r="S34" s="106"/>
      <c r="T34" s="106"/>
    </row>
    <row r="35" spans="1:23">
      <c r="A35" s="106"/>
      <c r="B35" s="171" t="s">
        <v>207</v>
      </c>
      <c r="C35" s="172"/>
      <c r="D35" s="172"/>
      <c r="E35" s="172"/>
      <c r="F35" s="188"/>
      <c r="G35" s="223">
        <v>0</v>
      </c>
      <c r="H35" s="224"/>
      <c r="I35" s="160"/>
      <c r="J35" s="160"/>
      <c r="K35" s="160"/>
      <c r="L35" s="160"/>
      <c r="M35" s="160"/>
      <c r="N35" s="160"/>
      <c r="O35" s="106"/>
      <c r="P35" s="106"/>
      <c r="Q35" s="106"/>
      <c r="R35" s="106"/>
      <c r="S35" s="106"/>
      <c r="T35" s="106"/>
    </row>
    <row r="36" spans="1:23">
      <c r="A36" s="106"/>
      <c r="B36" s="171" t="s">
        <v>208</v>
      </c>
      <c r="C36" s="172"/>
      <c r="D36" s="172"/>
      <c r="E36" s="172"/>
      <c r="F36" s="188"/>
      <c r="G36" s="223">
        <v>0</v>
      </c>
      <c r="H36" s="224"/>
      <c r="I36" s="160"/>
      <c r="J36" s="160"/>
      <c r="K36" s="160"/>
      <c r="L36" s="160"/>
      <c r="M36" s="160"/>
      <c r="N36" s="160"/>
      <c r="O36" s="106"/>
      <c r="P36" s="106"/>
      <c r="Q36" s="106"/>
      <c r="R36" s="106"/>
      <c r="S36" s="106"/>
      <c r="T36" s="106"/>
    </row>
    <row r="37" spans="1:23">
      <c r="A37" s="106"/>
      <c r="B37" s="174" t="s">
        <v>209</v>
      </c>
      <c r="C37" s="175"/>
      <c r="D37" s="175"/>
      <c r="E37" s="175"/>
      <c r="F37" s="189"/>
      <c r="G37" s="223">
        <v>0</v>
      </c>
      <c r="H37" s="224"/>
      <c r="I37" s="160"/>
      <c r="J37" s="160"/>
      <c r="K37" s="160"/>
      <c r="L37" s="160"/>
      <c r="M37" s="160"/>
      <c r="N37" s="160"/>
      <c r="O37" s="106"/>
      <c r="P37" s="106"/>
      <c r="Q37" s="106"/>
      <c r="R37" s="106"/>
      <c r="S37" s="106"/>
      <c r="T37" s="106"/>
    </row>
    <row r="38" spans="1:23" ht="13.5" thickBot="1">
      <c r="A38" s="106"/>
      <c r="B38" s="178" t="s">
        <v>156</v>
      </c>
      <c r="C38" s="179"/>
      <c r="D38" s="179"/>
      <c r="E38" s="179"/>
      <c r="F38" s="190"/>
      <c r="G38" s="225">
        <v>44851.45</v>
      </c>
      <c r="H38" s="226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</row>
    <row r="39" spans="1:23">
      <c r="A39" s="106"/>
      <c r="B39" s="106"/>
      <c r="C39" s="106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</row>
    <row r="40" spans="1:23">
      <c r="A40" s="106"/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</row>
    <row r="41" spans="1:23">
      <c r="A41" s="106"/>
      <c r="B41" s="106"/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</row>
    <row r="42" spans="1:23">
      <c r="A42" s="106"/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</row>
    <row r="43" spans="1:23">
      <c r="A43" s="106"/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</row>
    <row r="44" spans="1:23">
      <c r="A44" s="106"/>
      <c r="B44" s="106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91"/>
      <c r="V44" s="191"/>
      <c r="W44" s="191"/>
    </row>
    <row r="45" spans="1:23">
      <c r="A45" s="106"/>
      <c r="B45" s="106"/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91"/>
      <c r="V45" s="191"/>
      <c r="W45" s="191"/>
    </row>
    <row r="46" spans="1:23">
      <c r="A46" s="106"/>
      <c r="B46" s="106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91"/>
      <c r="V46" s="191"/>
      <c r="W46" s="191"/>
    </row>
    <row r="47" spans="1:23">
      <c r="A47" s="106"/>
      <c r="B47" s="106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91"/>
      <c r="V47" s="191"/>
      <c r="W47" s="191"/>
    </row>
    <row r="48" spans="1:23">
      <c r="A48" s="106"/>
      <c r="B48" s="106"/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91"/>
      <c r="V48" s="191"/>
      <c r="W48" s="191"/>
    </row>
    <row r="49" spans="1:23">
      <c r="A49" s="106"/>
      <c r="B49" s="106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91"/>
      <c r="V49" s="191"/>
      <c r="W49" s="191"/>
    </row>
    <row r="50" spans="1:23">
      <c r="A50" s="106"/>
      <c r="B50" s="106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91"/>
      <c r="V50" s="191"/>
      <c r="W50" s="191"/>
    </row>
    <row r="51" spans="1:23">
      <c r="A51" s="106"/>
      <c r="B51" s="106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91"/>
      <c r="V51" s="191"/>
      <c r="W51" s="191"/>
    </row>
    <row r="52" spans="1:23">
      <c r="A52" s="106"/>
      <c r="B52" s="106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</row>
    <row r="53" spans="1:23">
      <c r="A53" s="106"/>
      <c r="B53" s="106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</row>
  </sheetData>
  <mergeCells count="48">
    <mergeCell ref="B1:S1"/>
    <mergeCell ref="B2:S2"/>
    <mergeCell ref="B4:H4"/>
    <mergeCell ref="J4:S4"/>
    <mergeCell ref="C5:D5"/>
    <mergeCell ref="E5:F5"/>
    <mergeCell ref="J5:J6"/>
    <mergeCell ref="K5:N5"/>
    <mergeCell ref="O5:Q5"/>
    <mergeCell ref="R5:S5"/>
    <mergeCell ref="C6:D6"/>
    <mergeCell ref="E6:F6"/>
    <mergeCell ref="J15:S15"/>
    <mergeCell ref="J16:K17"/>
    <mergeCell ref="L16:M17"/>
    <mergeCell ref="N16:N17"/>
    <mergeCell ref="O16:P17"/>
    <mergeCell ref="Q16:Q17"/>
    <mergeCell ref="R16:S17"/>
    <mergeCell ref="L18:M18"/>
    <mergeCell ref="O18:P18"/>
    <mergeCell ref="L19:M19"/>
    <mergeCell ref="O19:P19"/>
    <mergeCell ref="L20:M20"/>
    <mergeCell ref="O20:P20"/>
    <mergeCell ref="B30:F30"/>
    <mergeCell ref="G30:H30"/>
    <mergeCell ref="L21:M21"/>
    <mergeCell ref="O21:P21"/>
    <mergeCell ref="L22:M22"/>
    <mergeCell ref="O22:P22"/>
    <mergeCell ref="L23:M23"/>
    <mergeCell ref="O23:P23"/>
    <mergeCell ref="L24:M24"/>
    <mergeCell ref="O24:P24"/>
    <mergeCell ref="L25:M25"/>
    <mergeCell ref="O25:P25"/>
    <mergeCell ref="B29:H29"/>
    <mergeCell ref="G37:H37"/>
    <mergeCell ref="G38:H38"/>
    <mergeCell ref="G5:H5"/>
    <mergeCell ref="G6:H6"/>
    <mergeCell ref="G31:H31"/>
    <mergeCell ref="G32:H32"/>
    <mergeCell ref="G33:H33"/>
    <mergeCell ref="G34:H34"/>
    <mergeCell ref="G35:H35"/>
    <mergeCell ref="G36:H36"/>
  </mergeCells>
  <dataValidations count="1">
    <dataValidation type="list" allowBlank="1" showInputMessage="1" showErrorMessage="1" prompt="Select location from drop-down menu" sqref="B1:S1">
      <formula1>V3:V11</formula1>
    </dataValidation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opLeftCell="A50" workbookViewId="0">
      <selection activeCell="A84" sqref="A84"/>
    </sheetView>
  </sheetViews>
  <sheetFormatPr baseColWidth="10" defaultRowHeight="15.75"/>
  <cols>
    <col min="1" max="1" width="21" bestFit="1" customWidth="1"/>
    <col min="2" max="3" width="14.125" customWidth="1"/>
    <col min="4" max="4" width="16.875" bestFit="1" customWidth="1"/>
    <col min="5" max="7" width="14.125" customWidth="1"/>
    <col min="8" max="8" width="16.375" customWidth="1"/>
  </cols>
  <sheetData>
    <row r="1" spans="1:8" ht="16.5" thickBot="1">
      <c r="B1" s="296">
        <v>2017</v>
      </c>
      <c r="C1" s="296"/>
      <c r="D1" s="296"/>
      <c r="E1" s="296"/>
      <c r="F1" s="296"/>
      <c r="G1" s="296"/>
      <c r="H1" s="296"/>
    </row>
    <row r="2" spans="1:8" ht="16.5" thickBot="1">
      <c r="B2" s="205" t="s">
        <v>261</v>
      </c>
      <c r="C2" s="206" t="s">
        <v>262</v>
      </c>
      <c r="D2" s="206" t="s">
        <v>263</v>
      </c>
      <c r="E2" s="206" t="s">
        <v>235</v>
      </c>
      <c r="F2" s="206" t="s">
        <v>236</v>
      </c>
      <c r="G2" s="206" t="s">
        <v>237</v>
      </c>
      <c r="H2" s="207" t="s">
        <v>69</v>
      </c>
    </row>
    <row r="3" spans="1:8">
      <c r="A3" s="208" t="s">
        <v>238</v>
      </c>
      <c r="B3" s="11">
        <v>211050</v>
      </c>
      <c r="C3" s="11">
        <v>67000</v>
      </c>
      <c r="D3" s="11">
        <v>0</v>
      </c>
      <c r="E3" s="11">
        <f>+(SUM(B3)/12)*1.09*2</f>
        <v>38340.75</v>
      </c>
      <c r="F3" s="11">
        <f>+(B3+E3)/12</f>
        <v>20782.5625</v>
      </c>
      <c r="G3" s="11">
        <f>+B3*9%</f>
        <v>18994.5</v>
      </c>
      <c r="H3" s="203">
        <f>+SUM(B3:G3)</f>
        <v>356167.8125</v>
      </c>
    </row>
    <row r="4" spans="1:8">
      <c r="A4" s="209" t="s">
        <v>239</v>
      </c>
      <c r="B4" s="11">
        <v>80400</v>
      </c>
      <c r="C4" s="11">
        <v>20100</v>
      </c>
      <c r="D4" s="11">
        <v>0</v>
      </c>
      <c r="E4" s="11">
        <f>+(SUM(B4:D4)/12)*1.09*2</f>
        <v>18257.5</v>
      </c>
      <c r="F4" s="11">
        <f>+SUM(B4:E4)/12</f>
        <v>9896.4583333333339</v>
      </c>
      <c r="G4" s="11">
        <f>+SUM(B4:D4)*9%</f>
        <v>9045</v>
      </c>
      <c r="H4" s="203">
        <f t="shared" ref="H4:H25" si="0">+SUM(B4:G4)</f>
        <v>137698.95833333331</v>
      </c>
    </row>
    <row r="5" spans="1:8">
      <c r="A5" s="209" t="s">
        <v>240</v>
      </c>
      <c r="B5" s="11">
        <v>80400</v>
      </c>
      <c r="C5" s="11">
        <v>12060</v>
      </c>
      <c r="D5" s="11">
        <v>0</v>
      </c>
      <c r="E5" s="11">
        <f t="shared" ref="E5:E25" si="1">+(SUM(B5:D5)/12)*1.09*2</f>
        <v>16796.900000000001</v>
      </c>
      <c r="F5" s="11">
        <f t="shared" ref="F5:F25" si="2">+SUM(B5:E5)/12</f>
        <v>9104.7416666666668</v>
      </c>
      <c r="G5" s="11">
        <f t="shared" ref="G5:G25" si="3">+SUM(B5:D5)*9%</f>
        <v>8321.4</v>
      </c>
      <c r="H5" s="203">
        <f t="shared" si="0"/>
        <v>126683.04166666666</v>
      </c>
    </row>
    <row r="6" spans="1:8">
      <c r="A6" s="209" t="s">
        <v>258</v>
      </c>
      <c r="B6" s="11">
        <v>24120</v>
      </c>
      <c r="C6" s="11">
        <v>8040</v>
      </c>
      <c r="D6" s="11">
        <v>0</v>
      </c>
      <c r="E6" s="11">
        <f t="shared" si="1"/>
        <v>5842.4000000000005</v>
      </c>
      <c r="F6" s="11">
        <f t="shared" si="2"/>
        <v>3166.8666666666668</v>
      </c>
      <c r="G6" s="11">
        <f t="shared" si="3"/>
        <v>2894.4</v>
      </c>
      <c r="H6" s="203">
        <f t="shared" si="0"/>
        <v>44063.666666666672</v>
      </c>
    </row>
    <row r="7" spans="1:8">
      <c r="A7" s="209" t="s">
        <v>259</v>
      </c>
      <c r="B7" s="11">
        <v>24120</v>
      </c>
      <c r="C7" s="11">
        <v>16080</v>
      </c>
      <c r="D7" s="11">
        <v>32160</v>
      </c>
      <c r="E7" s="11">
        <f t="shared" si="1"/>
        <v>13145.400000000001</v>
      </c>
      <c r="F7" s="11">
        <f t="shared" si="2"/>
        <v>7125.45</v>
      </c>
      <c r="G7" s="11">
        <f t="shared" si="3"/>
        <v>6512.4</v>
      </c>
      <c r="H7" s="203">
        <f t="shared" si="0"/>
        <v>99143.249999999985</v>
      </c>
    </row>
    <row r="8" spans="1:8">
      <c r="A8" s="209" t="s">
        <v>241</v>
      </c>
      <c r="B8" s="11">
        <v>20100</v>
      </c>
      <c r="C8" s="11">
        <v>8040</v>
      </c>
      <c r="D8" s="11">
        <v>24120</v>
      </c>
      <c r="E8" s="11">
        <f t="shared" si="1"/>
        <v>9493.9000000000015</v>
      </c>
      <c r="F8" s="11">
        <f t="shared" si="2"/>
        <v>5146.1583333333338</v>
      </c>
      <c r="G8" s="11">
        <f t="shared" si="3"/>
        <v>4703.3999999999996</v>
      </c>
      <c r="H8" s="203">
        <f t="shared" si="0"/>
        <v>71603.458333333328</v>
      </c>
    </row>
    <row r="9" spans="1:8">
      <c r="A9" s="209" t="s">
        <v>242</v>
      </c>
      <c r="B9" s="11">
        <v>20100</v>
      </c>
      <c r="C9" s="11">
        <v>8040</v>
      </c>
      <c r="D9" s="11">
        <v>24120</v>
      </c>
      <c r="E9" s="11">
        <f t="shared" si="1"/>
        <v>9493.9000000000015</v>
      </c>
      <c r="F9" s="11">
        <f t="shared" si="2"/>
        <v>5146.1583333333338</v>
      </c>
      <c r="G9" s="11">
        <f t="shared" si="3"/>
        <v>4703.3999999999996</v>
      </c>
      <c r="H9" s="203">
        <f t="shared" si="0"/>
        <v>71603.458333333328</v>
      </c>
    </row>
    <row r="10" spans="1:8">
      <c r="A10" s="209" t="s">
        <v>243</v>
      </c>
      <c r="B10" s="11">
        <v>20100</v>
      </c>
      <c r="C10" s="11">
        <v>8040</v>
      </c>
      <c r="D10" s="11">
        <v>24120</v>
      </c>
      <c r="E10" s="11">
        <f t="shared" si="1"/>
        <v>9493.9000000000015</v>
      </c>
      <c r="F10" s="11">
        <f t="shared" si="2"/>
        <v>5146.1583333333338</v>
      </c>
      <c r="G10" s="11">
        <f t="shared" si="3"/>
        <v>4703.3999999999996</v>
      </c>
      <c r="H10" s="203">
        <f t="shared" si="0"/>
        <v>71603.458333333328</v>
      </c>
    </row>
    <row r="11" spans="1:8">
      <c r="A11" s="222" t="s">
        <v>244</v>
      </c>
      <c r="B11" s="11">
        <v>20100</v>
      </c>
      <c r="C11" s="11">
        <v>8040</v>
      </c>
      <c r="D11" s="11">
        <v>24120</v>
      </c>
      <c r="E11" s="11">
        <f t="shared" si="1"/>
        <v>9493.9000000000015</v>
      </c>
      <c r="F11" s="11">
        <f t="shared" si="2"/>
        <v>5146.1583333333338</v>
      </c>
      <c r="G11" s="11">
        <f t="shared" si="3"/>
        <v>4703.3999999999996</v>
      </c>
      <c r="H11" s="203">
        <f t="shared" si="0"/>
        <v>71603.458333333328</v>
      </c>
    </row>
    <row r="12" spans="1:8">
      <c r="A12" s="221" t="s">
        <v>247</v>
      </c>
      <c r="B12" s="11"/>
      <c r="C12" s="11"/>
      <c r="D12" s="11"/>
      <c r="E12" s="11">
        <f t="shared" si="1"/>
        <v>0</v>
      </c>
      <c r="F12" s="11">
        <f t="shared" si="2"/>
        <v>0</v>
      </c>
      <c r="G12" s="11">
        <f t="shared" si="3"/>
        <v>0</v>
      </c>
      <c r="H12" s="203">
        <f t="shared" si="0"/>
        <v>0</v>
      </c>
    </row>
    <row r="13" spans="1:8">
      <c r="A13" s="221" t="s">
        <v>248</v>
      </c>
      <c r="B13" s="11"/>
      <c r="C13" s="11"/>
      <c r="D13" s="11"/>
      <c r="E13" s="11">
        <f t="shared" si="1"/>
        <v>0</v>
      </c>
      <c r="F13" s="11">
        <f t="shared" si="2"/>
        <v>0</v>
      </c>
      <c r="G13" s="11">
        <f t="shared" si="3"/>
        <v>0</v>
      </c>
      <c r="H13" s="203">
        <f t="shared" si="0"/>
        <v>0</v>
      </c>
    </row>
    <row r="14" spans="1:8">
      <c r="A14" s="209" t="s">
        <v>260</v>
      </c>
      <c r="B14" s="11">
        <v>24120</v>
      </c>
      <c r="C14" s="11">
        <v>16080</v>
      </c>
      <c r="D14" s="11">
        <v>32160</v>
      </c>
      <c r="E14" s="11">
        <f t="shared" si="1"/>
        <v>13145.400000000001</v>
      </c>
      <c r="F14" s="11">
        <f t="shared" si="2"/>
        <v>7125.45</v>
      </c>
      <c r="G14" s="11">
        <f t="shared" si="3"/>
        <v>6512.4</v>
      </c>
      <c r="H14" s="203">
        <f t="shared" si="0"/>
        <v>99143.249999999985</v>
      </c>
    </row>
    <row r="15" spans="1:8">
      <c r="A15" s="209" t="s">
        <v>245</v>
      </c>
      <c r="B15" s="11">
        <v>20100</v>
      </c>
      <c r="C15" s="11">
        <v>8040</v>
      </c>
      <c r="D15" s="11">
        <v>0</v>
      </c>
      <c r="E15" s="11">
        <f t="shared" si="1"/>
        <v>5112.1000000000004</v>
      </c>
      <c r="F15" s="11">
        <f t="shared" si="2"/>
        <v>2771.0083333333332</v>
      </c>
      <c r="G15" s="11">
        <f t="shared" si="3"/>
        <v>2532.6</v>
      </c>
      <c r="H15" s="203">
        <f t="shared" si="0"/>
        <v>38555.708333333328</v>
      </c>
    </row>
    <row r="16" spans="1:8">
      <c r="A16" s="222" t="s">
        <v>246</v>
      </c>
      <c r="B16" s="11">
        <v>1050</v>
      </c>
      <c r="C16" s="11">
        <v>4020</v>
      </c>
      <c r="D16" s="11">
        <v>0</v>
      </c>
      <c r="E16" s="11">
        <f t="shared" si="1"/>
        <v>921.05000000000007</v>
      </c>
      <c r="F16" s="11">
        <f t="shared" si="2"/>
        <v>499.25416666666666</v>
      </c>
      <c r="G16" s="11">
        <f t="shared" si="3"/>
        <v>456.3</v>
      </c>
      <c r="H16" s="203">
        <f t="shared" si="0"/>
        <v>6946.604166666667</v>
      </c>
    </row>
    <row r="17" spans="1:8">
      <c r="A17" s="209" t="s">
        <v>249</v>
      </c>
      <c r="B17" s="11">
        <v>28140</v>
      </c>
      <c r="C17" s="11">
        <v>16080</v>
      </c>
      <c r="D17" s="11">
        <v>0</v>
      </c>
      <c r="E17" s="11">
        <f t="shared" si="1"/>
        <v>8033.3</v>
      </c>
      <c r="F17" s="11">
        <f t="shared" si="2"/>
        <v>4354.4416666666666</v>
      </c>
      <c r="G17" s="11">
        <f t="shared" si="3"/>
        <v>3979.7999999999997</v>
      </c>
      <c r="H17" s="203">
        <f t="shared" si="0"/>
        <v>60587.541666666672</v>
      </c>
    </row>
    <row r="18" spans="1:8">
      <c r="A18" s="209" t="s">
        <v>250</v>
      </c>
      <c r="B18" s="11">
        <v>20100</v>
      </c>
      <c r="C18" s="11">
        <v>8040</v>
      </c>
      <c r="D18" s="11">
        <v>0</v>
      </c>
      <c r="E18" s="11">
        <f t="shared" si="1"/>
        <v>5112.1000000000004</v>
      </c>
      <c r="F18" s="11">
        <f t="shared" si="2"/>
        <v>2771.0083333333332</v>
      </c>
      <c r="G18" s="11">
        <f t="shared" si="3"/>
        <v>2532.6</v>
      </c>
      <c r="H18" s="203">
        <f t="shared" si="0"/>
        <v>38555.708333333328</v>
      </c>
    </row>
    <row r="19" spans="1:8">
      <c r="A19" s="221" t="s">
        <v>251</v>
      </c>
      <c r="B19" s="11"/>
      <c r="C19" s="11"/>
      <c r="D19" s="11"/>
      <c r="E19" s="11">
        <f t="shared" si="1"/>
        <v>0</v>
      </c>
      <c r="F19" s="11">
        <f t="shared" si="2"/>
        <v>0</v>
      </c>
      <c r="G19" s="11">
        <f t="shared" si="3"/>
        <v>0</v>
      </c>
      <c r="H19" s="203">
        <f t="shared" si="0"/>
        <v>0</v>
      </c>
    </row>
    <row r="20" spans="1:8">
      <c r="A20" s="209" t="s">
        <v>252</v>
      </c>
      <c r="B20" s="11">
        <v>20100</v>
      </c>
      <c r="C20" s="11">
        <v>8040</v>
      </c>
      <c r="D20" s="11">
        <v>4020</v>
      </c>
      <c r="E20" s="11">
        <f t="shared" si="1"/>
        <v>5842.4000000000005</v>
      </c>
      <c r="F20" s="11">
        <f t="shared" si="2"/>
        <v>3166.8666666666668</v>
      </c>
      <c r="G20" s="11">
        <f t="shared" si="3"/>
        <v>2894.4</v>
      </c>
      <c r="H20" s="203">
        <f t="shared" si="0"/>
        <v>44063.666666666672</v>
      </c>
    </row>
    <row r="21" spans="1:8">
      <c r="A21" s="222" t="s">
        <v>253</v>
      </c>
      <c r="B21" s="11">
        <v>20100</v>
      </c>
      <c r="C21" s="11">
        <v>8040</v>
      </c>
      <c r="D21" s="11">
        <v>4020</v>
      </c>
      <c r="E21" s="11">
        <f t="shared" si="1"/>
        <v>5842.4000000000005</v>
      </c>
      <c r="F21" s="11">
        <f t="shared" si="2"/>
        <v>3166.8666666666668</v>
      </c>
      <c r="G21" s="11">
        <f t="shared" si="3"/>
        <v>2894.4</v>
      </c>
      <c r="H21" s="203">
        <f t="shared" si="0"/>
        <v>44063.666666666672</v>
      </c>
    </row>
    <row r="22" spans="1:8">
      <c r="A22" s="209" t="s">
        <v>254</v>
      </c>
      <c r="B22" s="11">
        <v>8375</v>
      </c>
      <c r="C22" s="11">
        <v>3350</v>
      </c>
      <c r="D22" s="11">
        <v>1675</v>
      </c>
      <c r="E22" s="11">
        <f t="shared" si="1"/>
        <v>2434.3333333333335</v>
      </c>
      <c r="F22" s="11">
        <f t="shared" si="2"/>
        <v>1319.5277777777778</v>
      </c>
      <c r="G22" s="11">
        <f t="shared" si="3"/>
        <v>1206</v>
      </c>
      <c r="H22" s="203">
        <f t="shared" si="0"/>
        <v>18359.861111111113</v>
      </c>
    </row>
    <row r="23" spans="1:8">
      <c r="A23" s="221" t="s">
        <v>255</v>
      </c>
      <c r="B23" s="11"/>
      <c r="C23" s="11"/>
      <c r="D23" s="11"/>
      <c r="E23" s="11">
        <f t="shared" si="1"/>
        <v>0</v>
      </c>
      <c r="F23" s="11">
        <f t="shared" si="2"/>
        <v>0</v>
      </c>
      <c r="G23" s="11">
        <f t="shared" si="3"/>
        <v>0</v>
      </c>
      <c r="H23" s="203">
        <f t="shared" si="0"/>
        <v>0</v>
      </c>
    </row>
    <row r="24" spans="1:8">
      <c r="A24" s="209" t="s">
        <v>256</v>
      </c>
      <c r="B24" s="11">
        <v>20100</v>
      </c>
      <c r="C24" s="11">
        <v>0</v>
      </c>
      <c r="D24" s="11">
        <v>32160</v>
      </c>
      <c r="E24" s="11">
        <f t="shared" si="1"/>
        <v>9493.9000000000015</v>
      </c>
      <c r="F24" s="11">
        <f t="shared" si="2"/>
        <v>5146.1583333333338</v>
      </c>
      <c r="G24" s="11">
        <f t="shared" si="3"/>
        <v>4703.3999999999996</v>
      </c>
      <c r="H24" s="203">
        <f t="shared" si="0"/>
        <v>71603.458333333328</v>
      </c>
    </row>
    <row r="25" spans="1:8" ht="16.5" thickBot="1">
      <c r="A25" s="209" t="s">
        <v>257</v>
      </c>
      <c r="B25" s="11">
        <v>20100</v>
      </c>
      <c r="C25" s="11">
        <v>0</v>
      </c>
      <c r="D25" s="11">
        <v>32160</v>
      </c>
      <c r="E25" s="11">
        <f t="shared" si="1"/>
        <v>9493.9000000000015</v>
      </c>
      <c r="F25" s="11">
        <f t="shared" si="2"/>
        <v>5146.1583333333338</v>
      </c>
      <c r="G25" s="11">
        <f t="shared" si="3"/>
        <v>4703.3999999999996</v>
      </c>
      <c r="H25" s="203">
        <f t="shared" si="0"/>
        <v>71603.458333333328</v>
      </c>
    </row>
    <row r="26" spans="1:8" ht="16.5" thickBot="1">
      <c r="A26" s="210" t="s">
        <v>69</v>
      </c>
      <c r="B26" s="202">
        <f t="shared" ref="B26:H26" si="4">+SUM(B3:B25)</f>
        <v>682775</v>
      </c>
      <c r="C26" s="202">
        <f t="shared" si="4"/>
        <v>227130</v>
      </c>
      <c r="D26" s="202">
        <f t="shared" si="4"/>
        <v>234835</v>
      </c>
      <c r="E26" s="202">
        <f t="shared" si="4"/>
        <v>195789.43333333326</v>
      </c>
      <c r="F26" s="202">
        <f t="shared" si="4"/>
        <v>106127.4527777778</v>
      </c>
      <c r="G26" s="202">
        <f t="shared" si="4"/>
        <v>96996.6</v>
      </c>
      <c r="H26" s="204">
        <f t="shared" si="4"/>
        <v>1543653.486111111</v>
      </c>
    </row>
    <row r="29" spans="1:8" ht="16.5" thickBot="1">
      <c r="B29" s="296">
        <v>2018</v>
      </c>
      <c r="C29" s="296"/>
      <c r="D29" s="296"/>
      <c r="E29" s="296"/>
      <c r="F29" s="296"/>
      <c r="G29" s="296"/>
      <c r="H29" s="296"/>
    </row>
    <row r="30" spans="1:8" ht="16.5" thickBot="1">
      <c r="B30" s="205" t="s">
        <v>261</v>
      </c>
      <c r="C30" s="206" t="s">
        <v>262</v>
      </c>
      <c r="D30" s="206" t="s">
        <v>263</v>
      </c>
      <c r="E30" s="206" t="s">
        <v>235</v>
      </c>
      <c r="F30" s="206" t="s">
        <v>236</v>
      </c>
      <c r="G30" s="206" t="s">
        <v>237</v>
      </c>
      <c r="H30" s="207" t="s">
        <v>69</v>
      </c>
    </row>
    <row r="31" spans="1:8">
      <c r="A31" s="208" t="s">
        <v>238</v>
      </c>
      <c r="B31" s="11">
        <v>221602.5</v>
      </c>
      <c r="C31" s="11">
        <v>70350</v>
      </c>
      <c r="D31" s="11">
        <v>0</v>
      </c>
      <c r="E31" s="11">
        <f>+(SUM(B31)/12)*1.09*2</f>
        <v>40257.787500000006</v>
      </c>
      <c r="F31" s="11">
        <f>+(B31+E31)/12</f>
        <v>21821.690624999999</v>
      </c>
      <c r="G31" s="11">
        <f>+B31*9%</f>
        <v>19944.224999999999</v>
      </c>
      <c r="H31" s="203">
        <f>+SUM(B31:G31)</f>
        <v>373976.20312499994</v>
      </c>
    </row>
    <row r="32" spans="1:8">
      <c r="A32" s="209" t="s">
        <v>239</v>
      </c>
      <c r="B32" s="11">
        <v>84420</v>
      </c>
      <c r="C32" s="11">
        <v>21105</v>
      </c>
      <c r="D32" s="11">
        <v>0</v>
      </c>
      <c r="E32" s="11">
        <f>+(SUM(B32:D32)/12)*1.09*2</f>
        <v>19170.375</v>
      </c>
      <c r="F32" s="11">
        <f>+SUM(B32:E32)/12</f>
        <v>10391.28125</v>
      </c>
      <c r="G32" s="11">
        <f>+SUM(B32:D32)*9%</f>
        <v>9497.25</v>
      </c>
      <c r="H32" s="203">
        <f t="shared" ref="H32:H53" si="5">+SUM(B32:G32)</f>
        <v>144583.90625</v>
      </c>
    </row>
    <row r="33" spans="1:8">
      <c r="A33" s="209" t="s">
        <v>240</v>
      </c>
      <c r="B33" s="11">
        <v>84420</v>
      </c>
      <c r="C33" s="11">
        <v>12663</v>
      </c>
      <c r="D33" s="11">
        <v>0</v>
      </c>
      <c r="E33" s="11">
        <f t="shared" ref="E33:E53" si="6">+(SUM(B33:D33)/12)*1.09*2</f>
        <v>17636.745000000003</v>
      </c>
      <c r="F33" s="11">
        <f t="shared" ref="F33:F53" si="7">+SUM(B33:E33)/12</f>
        <v>9559.9787500000002</v>
      </c>
      <c r="G33" s="11">
        <f t="shared" ref="G33:G53" si="8">+SUM(B33:D33)*9%</f>
        <v>8737.4699999999993</v>
      </c>
      <c r="H33" s="203">
        <f t="shared" si="5"/>
        <v>133017.19374999998</v>
      </c>
    </row>
    <row r="34" spans="1:8">
      <c r="A34" s="209" t="s">
        <v>258</v>
      </c>
      <c r="B34" s="11">
        <v>25326</v>
      </c>
      <c r="C34" s="11">
        <v>8442</v>
      </c>
      <c r="D34" s="11">
        <v>0</v>
      </c>
      <c r="E34" s="11">
        <f t="shared" si="6"/>
        <v>6134.52</v>
      </c>
      <c r="F34" s="11">
        <f t="shared" si="7"/>
        <v>3325.2100000000005</v>
      </c>
      <c r="G34" s="11">
        <f t="shared" si="8"/>
        <v>3039.12</v>
      </c>
      <c r="H34" s="203">
        <f t="shared" si="5"/>
        <v>46266.850000000006</v>
      </c>
    </row>
    <row r="35" spans="1:8">
      <c r="A35" s="209" t="s">
        <v>259</v>
      </c>
      <c r="B35" s="11">
        <v>25326</v>
      </c>
      <c r="C35" s="11">
        <v>16884</v>
      </c>
      <c r="D35" s="11">
        <v>36984</v>
      </c>
      <c r="E35" s="11">
        <f t="shared" si="6"/>
        <v>14386.910000000002</v>
      </c>
      <c r="F35" s="11">
        <f t="shared" si="7"/>
        <v>7798.4091666666673</v>
      </c>
      <c r="G35" s="11">
        <f t="shared" si="8"/>
        <v>7127.46</v>
      </c>
      <c r="H35" s="203">
        <f t="shared" si="5"/>
        <v>108506.77916666667</v>
      </c>
    </row>
    <row r="36" spans="1:8">
      <c r="A36" s="209" t="s">
        <v>241</v>
      </c>
      <c r="B36" s="11">
        <v>21105</v>
      </c>
      <c r="C36" s="11">
        <v>8442</v>
      </c>
      <c r="D36" s="11">
        <v>27737.999999999996</v>
      </c>
      <c r="E36" s="11">
        <f t="shared" si="6"/>
        <v>10406.775000000001</v>
      </c>
      <c r="F36" s="11">
        <f t="shared" si="7"/>
        <v>5640.9812499999998</v>
      </c>
      <c r="G36" s="11">
        <f t="shared" si="8"/>
        <v>5155.6499999999996</v>
      </c>
      <c r="H36" s="203">
        <f t="shared" si="5"/>
        <v>78488.406249999985</v>
      </c>
    </row>
    <row r="37" spans="1:8">
      <c r="A37" s="209" t="s">
        <v>242</v>
      </c>
      <c r="B37" s="11">
        <v>21105</v>
      </c>
      <c r="C37" s="11">
        <v>8442</v>
      </c>
      <c r="D37" s="11">
        <v>27737.999999999996</v>
      </c>
      <c r="E37" s="11">
        <f t="shared" si="6"/>
        <v>10406.775000000001</v>
      </c>
      <c r="F37" s="11">
        <f t="shared" si="7"/>
        <v>5640.9812499999998</v>
      </c>
      <c r="G37" s="11">
        <f t="shared" si="8"/>
        <v>5155.6499999999996</v>
      </c>
      <c r="H37" s="203">
        <f t="shared" si="5"/>
        <v>78488.406249999985</v>
      </c>
    </row>
    <row r="38" spans="1:8">
      <c r="A38" s="209" t="s">
        <v>243</v>
      </c>
      <c r="B38" s="11">
        <v>21105</v>
      </c>
      <c r="C38" s="11">
        <v>8442</v>
      </c>
      <c r="D38" s="11">
        <v>27737.999999999996</v>
      </c>
      <c r="E38" s="11">
        <f t="shared" si="6"/>
        <v>10406.775000000001</v>
      </c>
      <c r="F38" s="11">
        <f t="shared" si="7"/>
        <v>5640.9812499999998</v>
      </c>
      <c r="G38" s="11">
        <f t="shared" si="8"/>
        <v>5155.6499999999996</v>
      </c>
      <c r="H38" s="203">
        <f t="shared" si="5"/>
        <v>78488.406249999985</v>
      </c>
    </row>
    <row r="39" spans="1:8">
      <c r="A39" s="209" t="s">
        <v>244</v>
      </c>
      <c r="B39" s="11">
        <v>21105</v>
      </c>
      <c r="C39" s="11">
        <v>8442</v>
      </c>
      <c r="D39" s="11">
        <v>27737.999999999996</v>
      </c>
      <c r="E39" s="11">
        <f t="shared" si="6"/>
        <v>10406.775000000001</v>
      </c>
      <c r="F39" s="11">
        <f t="shared" si="7"/>
        <v>5640.9812499999998</v>
      </c>
      <c r="G39" s="11">
        <f t="shared" si="8"/>
        <v>5155.6499999999996</v>
      </c>
      <c r="H39" s="203">
        <f t="shared" si="5"/>
        <v>78488.406249999985</v>
      </c>
    </row>
    <row r="40" spans="1:8">
      <c r="A40" s="209" t="s">
        <v>247</v>
      </c>
      <c r="B40" s="11">
        <v>21105</v>
      </c>
      <c r="C40" s="11">
        <v>8442</v>
      </c>
      <c r="D40" s="11">
        <v>27737.999999999996</v>
      </c>
      <c r="E40" s="11">
        <f t="shared" si="6"/>
        <v>10406.775000000001</v>
      </c>
      <c r="F40" s="11">
        <f t="shared" si="7"/>
        <v>5640.9812499999998</v>
      </c>
      <c r="G40" s="11">
        <f t="shared" si="8"/>
        <v>5155.6499999999996</v>
      </c>
      <c r="H40" s="203">
        <f t="shared" si="5"/>
        <v>78488.406249999985</v>
      </c>
    </row>
    <row r="41" spans="1:8">
      <c r="A41" s="209" t="s">
        <v>248</v>
      </c>
      <c r="B41" s="11">
        <v>21105</v>
      </c>
      <c r="C41" s="11">
        <v>8442</v>
      </c>
      <c r="D41" s="11">
        <v>27737.999999999996</v>
      </c>
      <c r="E41" s="11">
        <f t="shared" si="6"/>
        <v>10406.775000000001</v>
      </c>
      <c r="F41" s="11">
        <f t="shared" si="7"/>
        <v>5640.9812499999998</v>
      </c>
      <c r="G41" s="11">
        <f t="shared" si="8"/>
        <v>5155.6499999999996</v>
      </c>
      <c r="H41" s="203">
        <f t="shared" si="5"/>
        <v>78488.406249999985</v>
      </c>
    </row>
    <row r="42" spans="1:8">
      <c r="A42" s="209" t="s">
        <v>260</v>
      </c>
      <c r="B42" s="11">
        <v>25326</v>
      </c>
      <c r="C42" s="11">
        <v>16884</v>
      </c>
      <c r="D42" s="11">
        <v>36984</v>
      </c>
      <c r="E42" s="11">
        <f t="shared" si="6"/>
        <v>14386.910000000002</v>
      </c>
      <c r="F42" s="11">
        <f t="shared" si="7"/>
        <v>7798.4091666666673</v>
      </c>
      <c r="G42" s="11">
        <f t="shared" si="8"/>
        <v>7127.46</v>
      </c>
      <c r="H42" s="203">
        <f t="shared" si="5"/>
        <v>108506.77916666667</v>
      </c>
    </row>
    <row r="43" spans="1:8">
      <c r="A43" s="209" t="s">
        <v>245</v>
      </c>
      <c r="B43" s="11">
        <v>21105</v>
      </c>
      <c r="C43" s="11">
        <v>8442</v>
      </c>
      <c r="D43" s="11">
        <v>0</v>
      </c>
      <c r="E43" s="11">
        <f t="shared" si="6"/>
        <v>5367.7050000000008</v>
      </c>
      <c r="F43" s="11">
        <f t="shared" si="7"/>
        <v>2909.5587500000001</v>
      </c>
      <c r="G43" s="11">
        <f t="shared" si="8"/>
        <v>2659.23</v>
      </c>
      <c r="H43" s="203">
        <f t="shared" si="5"/>
        <v>40483.493750000001</v>
      </c>
    </row>
    <row r="44" spans="1:8">
      <c r="A44" s="209" t="s">
        <v>246</v>
      </c>
      <c r="B44" s="11">
        <v>21105</v>
      </c>
      <c r="C44" s="11">
        <v>8442</v>
      </c>
      <c r="D44" s="11">
        <v>0</v>
      </c>
      <c r="E44" s="11">
        <f t="shared" si="6"/>
        <v>5367.7050000000008</v>
      </c>
      <c r="F44" s="11">
        <f t="shared" si="7"/>
        <v>2909.5587500000001</v>
      </c>
      <c r="G44" s="11">
        <f t="shared" si="8"/>
        <v>2659.23</v>
      </c>
      <c r="H44" s="203">
        <f t="shared" si="5"/>
        <v>40483.493750000001</v>
      </c>
    </row>
    <row r="45" spans="1:8">
      <c r="A45" s="209" t="s">
        <v>249</v>
      </c>
      <c r="B45" s="11">
        <v>29547</v>
      </c>
      <c r="C45" s="11">
        <v>16884</v>
      </c>
      <c r="D45" s="11">
        <v>0</v>
      </c>
      <c r="E45" s="11">
        <f t="shared" si="6"/>
        <v>8434.9650000000001</v>
      </c>
      <c r="F45" s="11">
        <f t="shared" si="7"/>
        <v>4572.1637499999997</v>
      </c>
      <c r="G45" s="11">
        <f t="shared" si="8"/>
        <v>4178.79</v>
      </c>
      <c r="H45" s="203">
        <f t="shared" si="5"/>
        <v>63616.918749999997</v>
      </c>
    </row>
    <row r="46" spans="1:8">
      <c r="A46" s="209" t="s">
        <v>250</v>
      </c>
      <c r="B46" s="11">
        <v>21105</v>
      </c>
      <c r="C46" s="11">
        <v>8442</v>
      </c>
      <c r="D46" s="11">
        <v>0</v>
      </c>
      <c r="E46" s="11">
        <f t="shared" si="6"/>
        <v>5367.7050000000008</v>
      </c>
      <c r="F46" s="11">
        <f t="shared" si="7"/>
        <v>2909.5587500000001</v>
      </c>
      <c r="G46" s="11">
        <f t="shared" si="8"/>
        <v>2659.23</v>
      </c>
      <c r="H46" s="203">
        <f t="shared" si="5"/>
        <v>40483.493750000001</v>
      </c>
    </row>
    <row r="47" spans="1:8">
      <c r="A47" s="209" t="s">
        <v>251</v>
      </c>
      <c r="B47" s="11">
        <v>21105</v>
      </c>
      <c r="C47" s="11">
        <v>8442</v>
      </c>
      <c r="D47" s="11">
        <v>0</v>
      </c>
      <c r="E47" s="11">
        <f t="shared" si="6"/>
        <v>5367.7050000000008</v>
      </c>
      <c r="F47" s="11">
        <f t="shared" si="7"/>
        <v>2909.5587500000001</v>
      </c>
      <c r="G47" s="11">
        <f t="shared" si="8"/>
        <v>2659.23</v>
      </c>
      <c r="H47" s="203">
        <f t="shared" si="5"/>
        <v>40483.493750000001</v>
      </c>
    </row>
    <row r="48" spans="1:8">
      <c r="A48" s="209" t="s">
        <v>252</v>
      </c>
      <c r="B48" s="11">
        <v>21105</v>
      </c>
      <c r="C48" s="11">
        <v>8442</v>
      </c>
      <c r="D48" s="11">
        <v>4623</v>
      </c>
      <c r="E48" s="11">
        <f t="shared" si="6"/>
        <v>6207.55</v>
      </c>
      <c r="F48" s="11">
        <f t="shared" si="7"/>
        <v>3364.7958333333336</v>
      </c>
      <c r="G48" s="11">
        <f t="shared" si="8"/>
        <v>3075.2999999999997</v>
      </c>
      <c r="H48" s="203">
        <f t="shared" si="5"/>
        <v>46817.645833333343</v>
      </c>
    </row>
    <row r="49" spans="1:8">
      <c r="A49" s="209" t="s">
        <v>253</v>
      </c>
      <c r="B49" s="11">
        <v>21105</v>
      </c>
      <c r="C49" s="11">
        <v>8442</v>
      </c>
      <c r="D49" s="11">
        <v>4623</v>
      </c>
      <c r="E49" s="11">
        <f t="shared" si="6"/>
        <v>6207.55</v>
      </c>
      <c r="F49" s="11">
        <f t="shared" si="7"/>
        <v>3364.7958333333336</v>
      </c>
      <c r="G49" s="11">
        <f t="shared" si="8"/>
        <v>3075.2999999999997</v>
      </c>
      <c r="H49" s="203">
        <f t="shared" si="5"/>
        <v>46817.645833333343</v>
      </c>
    </row>
    <row r="50" spans="1:8">
      <c r="A50" s="209" t="s">
        <v>254</v>
      </c>
      <c r="B50" s="11">
        <v>21105</v>
      </c>
      <c r="C50" s="11">
        <v>8442</v>
      </c>
      <c r="D50" s="11">
        <v>4623</v>
      </c>
      <c r="E50" s="11">
        <f t="shared" si="6"/>
        <v>6207.55</v>
      </c>
      <c r="F50" s="11">
        <f t="shared" si="7"/>
        <v>3364.7958333333336</v>
      </c>
      <c r="G50" s="11">
        <f t="shared" si="8"/>
        <v>3075.2999999999997</v>
      </c>
      <c r="H50" s="203">
        <f t="shared" si="5"/>
        <v>46817.645833333343</v>
      </c>
    </row>
    <row r="51" spans="1:8">
      <c r="A51" s="209" t="s">
        <v>255</v>
      </c>
      <c r="B51" s="11">
        <v>33768</v>
      </c>
      <c r="C51" s="11">
        <v>16884</v>
      </c>
      <c r="D51" s="11">
        <v>13868.999999999998</v>
      </c>
      <c r="E51" s="11">
        <f t="shared" si="6"/>
        <v>11721.315000000001</v>
      </c>
      <c r="F51" s="11">
        <f t="shared" si="7"/>
        <v>6353.5262499999999</v>
      </c>
      <c r="G51" s="11">
        <f t="shared" si="8"/>
        <v>5806.8899999999994</v>
      </c>
      <c r="H51" s="203">
        <f t="shared" si="5"/>
        <v>88402.731249999997</v>
      </c>
    </row>
    <row r="52" spans="1:8">
      <c r="A52" s="209" t="s">
        <v>256</v>
      </c>
      <c r="B52" s="11">
        <v>21105</v>
      </c>
      <c r="C52" s="11">
        <v>0</v>
      </c>
      <c r="D52" s="11">
        <v>36984</v>
      </c>
      <c r="E52" s="11">
        <f t="shared" si="6"/>
        <v>10552.835000000001</v>
      </c>
      <c r="F52" s="11">
        <f t="shared" si="7"/>
        <v>5720.1529166666669</v>
      </c>
      <c r="G52" s="11">
        <f t="shared" si="8"/>
        <v>5228.01</v>
      </c>
      <c r="H52" s="203">
        <f t="shared" si="5"/>
        <v>79589.997916666674</v>
      </c>
    </row>
    <row r="53" spans="1:8" ht="16.5" thickBot="1">
      <c r="A53" s="209" t="s">
        <v>257</v>
      </c>
      <c r="B53" s="11">
        <v>21105</v>
      </c>
      <c r="C53" s="11">
        <v>0</v>
      </c>
      <c r="D53" s="11">
        <v>36984</v>
      </c>
      <c r="E53" s="11">
        <f t="shared" si="6"/>
        <v>10552.835000000001</v>
      </c>
      <c r="F53" s="11">
        <f t="shared" si="7"/>
        <v>5720.1529166666669</v>
      </c>
      <c r="G53" s="11">
        <f t="shared" si="8"/>
        <v>5228.01</v>
      </c>
      <c r="H53" s="203">
        <f t="shared" si="5"/>
        <v>79589.997916666674</v>
      </c>
    </row>
    <row r="54" spans="1:8" ht="16.5" thickBot="1">
      <c r="A54" s="210" t="s">
        <v>69</v>
      </c>
      <c r="B54" s="202">
        <f t="shared" ref="B54:H54" si="9">+SUM(B31:B53)</f>
        <v>846310.5</v>
      </c>
      <c r="C54" s="202">
        <f t="shared" si="9"/>
        <v>289842</v>
      </c>
      <c r="D54" s="202">
        <f t="shared" si="9"/>
        <v>342102</v>
      </c>
      <c r="E54" s="202">
        <f t="shared" si="9"/>
        <v>255769.31749999989</v>
      </c>
      <c r="F54" s="202">
        <f t="shared" si="9"/>
        <v>138639.48479166665</v>
      </c>
      <c r="G54" s="202">
        <f t="shared" si="9"/>
        <v>126711.40499999997</v>
      </c>
      <c r="H54" s="204">
        <f t="shared" si="9"/>
        <v>1999374.707291666</v>
      </c>
    </row>
    <row r="57" spans="1:8" ht="16.5" thickBot="1">
      <c r="B57" s="296">
        <v>2019</v>
      </c>
      <c r="C57" s="296"/>
      <c r="D57" s="296"/>
      <c r="E57" s="296"/>
      <c r="F57" s="296"/>
      <c r="G57" s="296"/>
      <c r="H57" s="296"/>
    </row>
    <row r="58" spans="1:8" ht="16.5" thickBot="1">
      <c r="B58" s="205" t="s">
        <v>261</v>
      </c>
      <c r="C58" s="206" t="s">
        <v>262</v>
      </c>
      <c r="D58" s="206" t="s">
        <v>263</v>
      </c>
      <c r="E58" s="206" t="s">
        <v>235</v>
      </c>
      <c r="F58" s="206" t="s">
        <v>236</v>
      </c>
      <c r="G58" s="206" t="s">
        <v>237</v>
      </c>
      <c r="H58" s="207" t="s">
        <v>69</v>
      </c>
    </row>
    <row r="59" spans="1:8">
      <c r="A59" s="208" t="s">
        <v>238</v>
      </c>
      <c r="B59" s="11">
        <v>232682.625</v>
      </c>
      <c r="C59" s="11">
        <v>73867.5</v>
      </c>
      <c r="D59" s="11">
        <v>0</v>
      </c>
      <c r="E59" s="11">
        <f>+(SUM(B59)/12)*1.09*2</f>
        <v>42270.676875000005</v>
      </c>
      <c r="F59" s="11">
        <f>+(B59+E59)/12</f>
        <v>22912.775156250002</v>
      </c>
      <c r="G59" s="11">
        <f>+B59*9%</f>
        <v>20941.436249999999</v>
      </c>
      <c r="H59" s="203">
        <f>+SUM(B59:G59)</f>
        <v>392675.01328125002</v>
      </c>
    </row>
    <row r="60" spans="1:8">
      <c r="A60" s="209" t="s">
        <v>239</v>
      </c>
      <c r="B60" s="11">
        <v>88641</v>
      </c>
      <c r="C60" s="11">
        <v>22160.25</v>
      </c>
      <c r="D60" s="11">
        <v>0</v>
      </c>
      <c r="E60" s="11">
        <f>+(SUM(B60:D60)/12)*1.09*2</f>
        <v>20128.893750000003</v>
      </c>
      <c r="F60" s="11">
        <f>+SUM(B60:E60)/12</f>
        <v>10910.8453125</v>
      </c>
      <c r="G60" s="11">
        <f>+SUM(B60:D60)*9%</f>
        <v>9972.1124999999993</v>
      </c>
      <c r="H60" s="203">
        <f t="shared" ref="H60:H81" si="10">+SUM(B60:G60)</f>
        <v>151813.1015625</v>
      </c>
    </row>
    <row r="61" spans="1:8">
      <c r="A61" s="209" t="s">
        <v>240</v>
      </c>
      <c r="B61" s="11">
        <v>88641</v>
      </c>
      <c r="C61" s="11">
        <v>13296.150000000001</v>
      </c>
      <c r="D61" s="11">
        <v>0</v>
      </c>
      <c r="E61" s="11">
        <f t="shared" ref="E61:E81" si="11">+(SUM(B61:D61)/12)*1.09*2</f>
        <v>18518.582249999999</v>
      </c>
      <c r="F61" s="11">
        <f t="shared" ref="F61:F81" si="12">+SUM(B61:E61)/12</f>
        <v>10037.977687500001</v>
      </c>
      <c r="G61" s="11">
        <f t="shared" ref="G61:G81" si="13">+SUM(B61:D61)*9%</f>
        <v>9174.343499999999</v>
      </c>
      <c r="H61" s="203">
        <f t="shared" si="10"/>
        <v>139668.0534375</v>
      </c>
    </row>
    <row r="62" spans="1:8">
      <c r="A62" s="209" t="s">
        <v>258</v>
      </c>
      <c r="B62" s="11">
        <v>26592.300000000003</v>
      </c>
      <c r="C62" s="11">
        <v>8864.1</v>
      </c>
      <c r="D62" s="11">
        <v>0</v>
      </c>
      <c r="E62" s="11">
        <f t="shared" si="11"/>
        <v>6441.246000000001</v>
      </c>
      <c r="F62" s="11">
        <f t="shared" si="12"/>
        <v>3491.4704999999999</v>
      </c>
      <c r="G62" s="11">
        <f t="shared" si="13"/>
        <v>3191.076</v>
      </c>
      <c r="H62" s="203">
        <f t="shared" si="10"/>
        <v>48580.192500000005</v>
      </c>
    </row>
    <row r="63" spans="1:8">
      <c r="A63" s="209" t="s">
        <v>259</v>
      </c>
      <c r="B63" s="11">
        <v>26592.300000000003</v>
      </c>
      <c r="C63" s="11">
        <v>17728.2</v>
      </c>
      <c r="D63" s="11">
        <v>40682.400000000001</v>
      </c>
      <c r="E63" s="11">
        <f t="shared" si="11"/>
        <v>15442.193500000001</v>
      </c>
      <c r="F63" s="11">
        <f t="shared" si="12"/>
        <v>8370.424458333333</v>
      </c>
      <c r="G63" s="11">
        <f t="shared" si="13"/>
        <v>7650.2609999999995</v>
      </c>
      <c r="H63" s="203">
        <f t="shared" si="10"/>
        <v>116465.77895833332</v>
      </c>
    </row>
    <row r="64" spans="1:8">
      <c r="A64" s="209" t="s">
        <v>241</v>
      </c>
      <c r="B64" s="11">
        <v>22160.25</v>
      </c>
      <c r="C64" s="11">
        <v>8864.1</v>
      </c>
      <c r="D64" s="11">
        <v>30511.8</v>
      </c>
      <c r="E64" s="11">
        <f t="shared" si="11"/>
        <v>11179.06725</v>
      </c>
      <c r="F64" s="11">
        <f t="shared" si="12"/>
        <v>6059.6014374999986</v>
      </c>
      <c r="G64" s="11">
        <f t="shared" si="13"/>
        <v>5538.2534999999989</v>
      </c>
      <c r="H64" s="203">
        <f t="shared" si="10"/>
        <v>84313.072187499987</v>
      </c>
    </row>
    <row r="65" spans="1:8">
      <c r="A65" s="209" t="s">
        <v>242</v>
      </c>
      <c r="B65" s="11">
        <v>22160.25</v>
      </c>
      <c r="C65" s="11">
        <v>8864.1</v>
      </c>
      <c r="D65" s="11">
        <v>30511.8</v>
      </c>
      <c r="E65" s="11">
        <f t="shared" si="11"/>
        <v>11179.06725</v>
      </c>
      <c r="F65" s="11">
        <f t="shared" si="12"/>
        <v>6059.6014374999986</v>
      </c>
      <c r="G65" s="11">
        <f t="shared" si="13"/>
        <v>5538.2534999999989</v>
      </c>
      <c r="H65" s="203">
        <f t="shared" si="10"/>
        <v>84313.072187499987</v>
      </c>
    </row>
    <row r="66" spans="1:8">
      <c r="A66" s="209" t="s">
        <v>243</v>
      </c>
      <c r="B66" s="11">
        <v>22160.25</v>
      </c>
      <c r="C66" s="11">
        <v>8864.1</v>
      </c>
      <c r="D66" s="11">
        <v>30511.8</v>
      </c>
      <c r="E66" s="11">
        <f t="shared" si="11"/>
        <v>11179.06725</v>
      </c>
      <c r="F66" s="11">
        <f t="shared" si="12"/>
        <v>6059.6014374999986</v>
      </c>
      <c r="G66" s="11">
        <f t="shared" si="13"/>
        <v>5538.2534999999989</v>
      </c>
      <c r="H66" s="203">
        <f t="shared" si="10"/>
        <v>84313.072187499987</v>
      </c>
    </row>
    <row r="67" spans="1:8">
      <c r="A67" s="209" t="s">
        <v>244</v>
      </c>
      <c r="B67" s="11">
        <v>22160.25</v>
      </c>
      <c r="C67" s="11">
        <v>8864.1</v>
      </c>
      <c r="D67" s="11">
        <v>30511.8</v>
      </c>
      <c r="E67" s="11">
        <f t="shared" si="11"/>
        <v>11179.06725</v>
      </c>
      <c r="F67" s="11">
        <f t="shared" si="12"/>
        <v>6059.6014374999986</v>
      </c>
      <c r="G67" s="11">
        <f t="shared" si="13"/>
        <v>5538.2534999999989</v>
      </c>
      <c r="H67" s="203">
        <f t="shared" si="10"/>
        <v>84313.072187499987</v>
      </c>
    </row>
    <row r="68" spans="1:8">
      <c r="A68" s="209" t="s">
        <v>247</v>
      </c>
      <c r="B68" s="11">
        <v>22160.25</v>
      </c>
      <c r="C68" s="11">
        <v>8864.1</v>
      </c>
      <c r="D68" s="11">
        <v>30511.8</v>
      </c>
      <c r="E68" s="11">
        <f t="shared" si="11"/>
        <v>11179.06725</v>
      </c>
      <c r="F68" s="11">
        <f t="shared" si="12"/>
        <v>6059.6014374999986</v>
      </c>
      <c r="G68" s="11">
        <f t="shared" si="13"/>
        <v>5538.2534999999989</v>
      </c>
      <c r="H68" s="203">
        <f t="shared" si="10"/>
        <v>84313.072187499987</v>
      </c>
    </row>
    <row r="69" spans="1:8">
      <c r="A69" s="209" t="s">
        <v>248</v>
      </c>
      <c r="B69" s="11">
        <v>22160.25</v>
      </c>
      <c r="C69" s="11">
        <v>8864.1</v>
      </c>
      <c r="D69" s="11">
        <v>30511.8</v>
      </c>
      <c r="E69" s="11">
        <f t="shared" si="11"/>
        <v>11179.06725</v>
      </c>
      <c r="F69" s="11">
        <f t="shared" si="12"/>
        <v>6059.6014374999986</v>
      </c>
      <c r="G69" s="11">
        <f t="shared" si="13"/>
        <v>5538.2534999999989</v>
      </c>
      <c r="H69" s="203">
        <f t="shared" si="10"/>
        <v>84313.072187499987</v>
      </c>
    </row>
    <row r="70" spans="1:8">
      <c r="A70" s="209" t="s">
        <v>260</v>
      </c>
      <c r="B70" s="11">
        <v>26592.300000000003</v>
      </c>
      <c r="C70" s="11">
        <v>17728.2</v>
      </c>
      <c r="D70" s="11">
        <v>40682.400000000001</v>
      </c>
      <c r="E70" s="11">
        <f t="shared" si="11"/>
        <v>15442.193500000001</v>
      </c>
      <c r="F70" s="11">
        <f t="shared" si="12"/>
        <v>8370.424458333333</v>
      </c>
      <c r="G70" s="11">
        <f t="shared" si="13"/>
        <v>7650.2609999999995</v>
      </c>
      <c r="H70" s="203">
        <f t="shared" si="10"/>
        <v>116465.77895833332</v>
      </c>
    </row>
    <row r="71" spans="1:8">
      <c r="A71" s="209" t="s">
        <v>245</v>
      </c>
      <c r="B71" s="11">
        <v>22160.25</v>
      </c>
      <c r="C71" s="11">
        <v>8864.1</v>
      </c>
      <c r="D71" s="11">
        <v>0</v>
      </c>
      <c r="E71" s="11">
        <f t="shared" si="11"/>
        <v>5636.0902500000002</v>
      </c>
      <c r="F71" s="11">
        <f t="shared" si="12"/>
        <v>3055.0366875</v>
      </c>
      <c r="G71" s="11">
        <f t="shared" si="13"/>
        <v>2792.1914999999999</v>
      </c>
      <c r="H71" s="203">
        <f t="shared" si="10"/>
        <v>42507.668437500004</v>
      </c>
    </row>
    <row r="72" spans="1:8">
      <c r="A72" s="209" t="s">
        <v>246</v>
      </c>
      <c r="B72" s="11">
        <v>22160.25</v>
      </c>
      <c r="C72" s="11">
        <v>8864.1</v>
      </c>
      <c r="D72" s="11">
        <v>0</v>
      </c>
      <c r="E72" s="11">
        <f t="shared" si="11"/>
        <v>5636.0902500000002</v>
      </c>
      <c r="F72" s="11">
        <f t="shared" si="12"/>
        <v>3055.0366875</v>
      </c>
      <c r="G72" s="11">
        <f t="shared" si="13"/>
        <v>2792.1914999999999</v>
      </c>
      <c r="H72" s="203">
        <f t="shared" si="10"/>
        <v>42507.668437500004</v>
      </c>
    </row>
    <row r="73" spans="1:8">
      <c r="A73" s="209" t="s">
        <v>249</v>
      </c>
      <c r="B73" s="11">
        <v>31024.350000000002</v>
      </c>
      <c r="C73" s="11">
        <v>17728.2</v>
      </c>
      <c r="D73" s="11">
        <v>0</v>
      </c>
      <c r="E73" s="11">
        <f t="shared" si="11"/>
        <v>8856.7132500000007</v>
      </c>
      <c r="F73" s="11">
        <f t="shared" si="12"/>
        <v>4800.7719375000006</v>
      </c>
      <c r="G73" s="11">
        <f t="shared" si="13"/>
        <v>4387.7295000000004</v>
      </c>
      <c r="H73" s="203">
        <f t="shared" si="10"/>
        <v>66797.764687500006</v>
      </c>
    </row>
    <row r="74" spans="1:8">
      <c r="A74" s="209" t="s">
        <v>250</v>
      </c>
      <c r="B74" s="11">
        <v>22160.25</v>
      </c>
      <c r="C74" s="11">
        <v>8864.1</v>
      </c>
      <c r="D74" s="11">
        <v>0</v>
      </c>
      <c r="E74" s="11">
        <f t="shared" si="11"/>
        <v>5636.0902500000002</v>
      </c>
      <c r="F74" s="11">
        <f t="shared" si="12"/>
        <v>3055.0366875</v>
      </c>
      <c r="G74" s="11">
        <f t="shared" si="13"/>
        <v>2792.1914999999999</v>
      </c>
      <c r="H74" s="203">
        <f t="shared" si="10"/>
        <v>42507.668437500004</v>
      </c>
    </row>
    <row r="75" spans="1:8">
      <c r="A75" s="209" t="s">
        <v>251</v>
      </c>
      <c r="B75" s="11">
        <v>22160.25</v>
      </c>
      <c r="C75" s="11">
        <v>8864.1</v>
      </c>
      <c r="D75" s="11">
        <v>0</v>
      </c>
      <c r="E75" s="11">
        <f t="shared" si="11"/>
        <v>5636.0902500000002</v>
      </c>
      <c r="F75" s="11">
        <f t="shared" si="12"/>
        <v>3055.0366875</v>
      </c>
      <c r="G75" s="11">
        <f t="shared" si="13"/>
        <v>2792.1914999999999</v>
      </c>
      <c r="H75" s="203">
        <f t="shared" si="10"/>
        <v>42507.668437500004</v>
      </c>
    </row>
    <row r="76" spans="1:8">
      <c r="A76" s="209" t="s">
        <v>252</v>
      </c>
      <c r="B76" s="11">
        <v>22160.25</v>
      </c>
      <c r="C76" s="11">
        <v>8864.1</v>
      </c>
      <c r="D76" s="11">
        <v>5085.3</v>
      </c>
      <c r="E76" s="11">
        <f t="shared" si="11"/>
        <v>6559.9197500000009</v>
      </c>
      <c r="F76" s="11">
        <f t="shared" si="12"/>
        <v>3555.797479166667</v>
      </c>
      <c r="G76" s="11">
        <f t="shared" si="13"/>
        <v>3249.8685</v>
      </c>
      <c r="H76" s="203">
        <f t="shared" si="10"/>
        <v>49475.235729166663</v>
      </c>
    </row>
    <row r="77" spans="1:8">
      <c r="A77" s="209" t="s">
        <v>253</v>
      </c>
      <c r="B77" s="11">
        <v>22160.25</v>
      </c>
      <c r="C77" s="11">
        <v>8864.1</v>
      </c>
      <c r="D77" s="11">
        <v>5085.3</v>
      </c>
      <c r="E77" s="11">
        <f t="shared" si="11"/>
        <v>6559.9197500000009</v>
      </c>
      <c r="F77" s="11">
        <f t="shared" si="12"/>
        <v>3555.797479166667</v>
      </c>
      <c r="G77" s="11">
        <f t="shared" si="13"/>
        <v>3249.8685</v>
      </c>
      <c r="H77" s="203">
        <f t="shared" si="10"/>
        <v>49475.235729166663</v>
      </c>
    </row>
    <row r="78" spans="1:8">
      <c r="A78" s="209" t="s">
        <v>254</v>
      </c>
      <c r="B78" s="11">
        <v>22160.25</v>
      </c>
      <c r="C78" s="11">
        <v>8864.1</v>
      </c>
      <c r="D78" s="11">
        <v>5085.3</v>
      </c>
      <c r="E78" s="11">
        <f t="shared" si="11"/>
        <v>6559.9197500000009</v>
      </c>
      <c r="F78" s="11">
        <f t="shared" si="12"/>
        <v>3555.797479166667</v>
      </c>
      <c r="G78" s="11">
        <f t="shared" si="13"/>
        <v>3249.8685</v>
      </c>
      <c r="H78" s="203">
        <f t="shared" si="10"/>
        <v>49475.235729166663</v>
      </c>
    </row>
    <row r="79" spans="1:8">
      <c r="A79" s="209" t="s">
        <v>255</v>
      </c>
      <c r="B79" s="11">
        <v>35456.400000000001</v>
      </c>
      <c r="C79" s="11">
        <v>17728.2</v>
      </c>
      <c r="D79" s="11">
        <v>15255.9</v>
      </c>
      <c r="E79" s="11">
        <f t="shared" si="11"/>
        <v>12433.3575</v>
      </c>
      <c r="F79" s="11">
        <f t="shared" si="12"/>
        <v>6739.4881249999999</v>
      </c>
      <c r="G79" s="11">
        <f t="shared" si="13"/>
        <v>6159.6449999999995</v>
      </c>
      <c r="H79" s="203">
        <f t="shared" si="10"/>
        <v>93772.990625000006</v>
      </c>
    </row>
    <row r="80" spans="1:8">
      <c r="A80" s="209" t="s">
        <v>256</v>
      </c>
      <c r="B80" s="11">
        <v>22160.25</v>
      </c>
      <c r="C80" s="11">
        <v>0</v>
      </c>
      <c r="D80" s="11">
        <v>40682.400000000001</v>
      </c>
      <c r="E80" s="11">
        <f t="shared" si="11"/>
        <v>11416.41475</v>
      </c>
      <c r="F80" s="11">
        <f t="shared" si="12"/>
        <v>6188.2553958333338</v>
      </c>
      <c r="G80" s="11">
        <f t="shared" si="13"/>
        <v>5655.8384999999998</v>
      </c>
      <c r="H80" s="203">
        <f t="shared" si="10"/>
        <v>86103.158645833333</v>
      </c>
    </row>
    <row r="81" spans="1:8" ht="16.5" thickBot="1">
      <c r="A81" s="209" t="s">
        <v>257</v>
      </c>
      <c r="B81" s="11">
        <v>22160.25</v>
      </c>
      <c r="C81" s="11">
        <v>0</v>
      </c>
      <c r="D81" s="11">
        <v>40682.400000000001</v>
      </c>
      <c r="E81" s="11">
        <f t="shared" si="11"/>
        <v>11416.41475</v>
      </c>
      <c r="F81" s="11">
        <f t="shared" si="12"/>
        <v>6188.2553958333338</v>
      </c>
      <c r="G81" s="11">
        <f t="shared" si="13"/>
        <v>5655.8384999999998</v>
      </c>
      <c r="H81" s="203">
        <f t="shared" si="10"/>
        <v>86103.158645833333</v>
      </c>
    </row>
    <row r="82" spans="1:8" ht="16.5" thickBot="1">
      <c r="A82" s="210" t="s">
        <v>69</v>
      </c>
      <c r="B82" s="202">
        <f t="shared" ref="B82:H82" si="14">+SUM(B59:B81)</f>
        <v>888626.02500000002</v>
      </c>
      <c r="C82" s="202">
        <f t="shared" si="14"/>
        <v>304334.10000000003</v>
      </c>
      <c r="D82" s="202">
        <f t="shared" si="14"/>
        <v>376312.2</v>
      </c>
      <c r="E82" s="202">
        <f t="shared" si="14"/>
        <v>271665.209875</v>
      </c>
      <c r="F82" s="202">
        <f t="shared" si="14"/>
        <v>147255.83623958335</v>
      </c>
      <c r="G82" s="202">
        <f t="shared" si="14"/>
        <v>134586.43424999999</v>
      </c>
      <c r="H82" s="204">
        <f t="shared" si="14"/>
        <v>2122779.8053645841</v>
      </c>
    </row>
  </sheetData>
  <mergeCells count="3">
    <mergeCell ref="B1:H1"/>
    <mergeCell ref="B29:H29"/>
    <mergeCell ref="B57:H5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workbookViewId="0">
      <selection activeCell="C10" sqref="C10"/>
    </sheetView>
  </sheetViews>
  <sheetFormatPr baseColWidth="10" defaultRowHeight="15.75"/>
  <cols>
    <col min="2" max="2" width="20.875" customWidth="1"/>
  </cols>
  <sheetData>
    <row r="2" spans="1:5" ht="18.75">
      <c r="A2" s="31" t="s">
        <v>47</v>
      </c>
      <c r="B2" s="31" t="s">
        <v>70</v>
      </c>
      <c r="C2" s="31">
        <v>2017</v>
      </c>
      <c r="D2" s="31">
        <v>2018</v>
      </c>
      <c r="E2" s="31">
        <v>2019</v>
      </c>
    </row>
    <row r="3" spans="1:5" ht="24">
      <c r="A3" s="298" t="s">
        <v>71</v>
      </c>
      <c r="B3" s="39" t="s">
        <v>72</v>
      </c>
      <c r="C3" s="44">
        <v>15000</v>
      </c>
      <c r="D3" s="44">
        <v>0</v>
      </c>
      <c r="E3" s="44">
        <v>0</v>
      </c>
    </row>
    <row r="4" spans="1:5" ht="36">
      <c r="A4" s="298"/>
      <c r="B4" s="39" t="s">
        <v>73</v>
      </c>
      <c r="C4" s="44">
        <v>15000</v>
      </c>
      <c r="D4" s="44">
        <v>0</v>
      </c>
      <c r="E4" s="44">
        <v>0</v>
      </c>
    </row>
    <row r="5" spans="1:5" ht="48">
      <c r="A5" s="298"/>
      <c r="B5" s="39" t="s">
        <v>74</v>
      </c>
      <c r="C5" s="44">
        <v>6000</v>
      </c>
      <c r="D5" s="44">
        <v>6000</v>
      </c>
      <c r="E5" s="44">
        <v>6000</v>
      </c>
    </row>
    <row r="6" spans="1:5" ht="24">
      <c r="A6" s="299" t="s">
        <v>75</v>
      </c>
      <c r="B6" s="39" t="s">
        <v>76</v>
      </c>
      <c r="C6" s="44">
        <v>15000</v>
      </c>
      <c r="D6" s="44">
        <v>0</v>
      </c>
      <c r="E6" s="44">
        <v>0</v>
      </c>
    </row>
    <row r="7" spans="1:5">
      <c r="A7" s="299"/>
      <c r="B7" s="39" t="s">
        <v>77</v>
      </c>
      <c r="C7" s="44">
        <v>20000</v>
      </c>
      <c r="D7" s="44">
        <v>25000</v>
      </c>
      <c r="E7" s="44">
        <v>30000</v>
      </c>
    </row>
    <row r="8" spans="1:5" ht="24">
      <c r="A8" s="299"/>
      <c r="B8" s="39" t="s">
        <v>78</v>
      </c>
      <c r="C8" s="44">
        <v>15000</v>
      </c>
      <c r="D8" s="44">
        <v>15000</v>
      </c>
      <c r="E8" s="44">
        <v>15000</v>
      </c>
    </row>
    <row r="9" spans="1:5" ht="24">
      <c r="A9" s="299"/>
      <c r="B9" s="39" t="s">
        <v>79</v>
      </c>
      <c r="C9" s="44">
        <v>15000</v>
      </c>
      <c r="D9" s="44">
        <v>15000</v>
      </c>
      <c r="E9" s="44">
        <v>15000</v>
      </c>
    </row>
    <row r="10" spans="1:5" ht="24">
      <c r="A10" s="299"/>
      <c r="B10" s="39" t="s">
        <v>80</v>
      </c>
      <c r="C10" s="44">
        <v>32500</v>
      </c>
      <c r="D10" s="44">
        <v>32500</v>
      </c>
      <c r="E10" s="44">
        <v>32500</v>
      </c>
    </row>
    <row r="11" spans="1:5" ht="24">
      <c r="A11" s="298" t="s">
        <v>81</v>
      </c>
      <c r="B11" s="39" t="s">
        <v>82</v>
      </c>
      <c r="C11" s="44">
        <v>15000</v>
      </c>
      <c r="D11" s="44">
        <v>0</v>
      </c>
      <c r="E11" s="44">
        <v>0</v>
      </c>
    </row>
    <row r="12" spans="1:5">
      <c r="A12" s="298"/>
      <c r="B12" s="39" t="s">
        <v>83</v>
      </c>
      <c r="C12" s="45">
        <f>+Salarios!C26</f>
        <v>227130</v>
      </c>
      <c r="D12" s="45">
        <f>+Salarios!C54</f>
        <v>289842</v>
      </c>
      <c r="E12" s="45">
        <f>+Salarios!C82</f>
        <v>304334.10000000003</v>
      </c>
    </row>
    <row r="13" spans="1:5" ht="24">
      <c r="A13" s="298"/>
      <c r="B13" s="39" t="s">
        <v>84</v>
      </c>
      <c r="C13" s="44">
        <v>14020.79</v>
      </c>
      <c r="D13" s="44">
        <v>19625.91</v>
      </c>
      <c r="E13" s="44">
        <v>22874.91</v>
      </c>
    </row>
    <row r="14" spans="1:5" ht="24">
      <c r="A14" s="298"/>
      <c r="B14" s="39" t="s">
        <v>85</v>
      </c>
      <c r="C14" s="44">
        <v>0</v>
      </c>
      <c r="D14" s="44">
        <v>15000</v>
      </c>
      <c r="E14" s="44">
        <v>0</v>
      </c>
    </row>
    <row r="15" spans="1:5" ht="24">
      <c r="A15" s="39" t="s">
        <v>86</v>
      </c>
      <c r="B15" s="39" t="s">
        <v>87</v>
      </c>
      <c r="C15" s="44">
        <v>15000</v>
      </c>
      <c r="D15" s="44">
        <v>15000</v>
      </c>
      <c r="E15" s="44">
        <v>15000</v>
      </c>
    </row>
    <row r="16" spans="1:5">
      <c r="A16" s="297" t="s">
        <v>88</v>
      </c>
      <c r="B16" s="297"/>
      <c r="C16" s="46">
        <f>+SUM(C3:C15)</f>
        <v>404650.79</v>
      </c>
      <c r="D16" s="46">
        <f>+SUM(D3:D15)</f>
        <v>432967.91</v>
      </c>
      <c r="E16" s="46">
        <f>+SUM(E3:E15)</f>
        <v>440709.01</v>
      </c>
    </row>
  </sheetData>
  <mergeCells count="4">
    <mergeCell ref="A16:B16"/>
    <mergeCell ref="A3:A5"/>
    <mergeCell ref="A11:A14"/>
    <mergeCell ref="A6:A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7" sqref="C7"/>
    </sheetView>
  </sheetViews>
  <sheetFormatPr baseColWidth="10" defaultRowHeight="15.75"/>
  <cols>
    <col min="1" max="1" width="26" customWidth="1"/>
    <col min="2" max="2" width="29.125" customWidth="1"/>
    <col min="3" max="3" width="12.375" bestFit="1" customWidth="1"/>
  </cols>
  <sheetData>
    <row r="1" spans="1:5">
      <c r="A1" s="36" t="s">
        <v>47</v>
      </c>
      <c r="B1" s="37" t="s">
        <v>89</v>
      </c>
      <c r="C1" s="37">
        <v>2017</v>
      </c>
      <c r="D1" s="37">
        <v>2018</v>
      </c>
      <c r="E1" s="37">
        <v>2019</v>
      </c>
    </row>
    <row r="2" spans="1:5" ht="44.1" customHeight="1">
      <c r="A2" s="38" t="s">
        <v>101</v>
      </c>
      <c r="B2" s="39" t="s">
        <v>102</v>
      </c>
      <c r="C2" s="44">
        <v>39900</v>
      </c>
      <c r="D2" s="44">
        <v>13300</v>
      </c>
      <c r="E2" s="44">
        <v>13300</v>
      </c>
    </row>
    <row r="3" spans="1:5" ht="36">
      <c r="A3" s="38" t="s">
        <v>90</v>
      </c>
      <c r="B3" s="39" t="s">
        <v>91</v>
      </c>
      <c r="C3" s="44">
        <v>29925</v>
      </c>
      <c r="D3" s="44">
        <v>29925</v>
      </c>
      <c r="E3" s="44">
        <v>29925</v>
      </c>
    </row>
    <row r="4" spans="1:5">
      <c r="A4" s="38" t="s">
        <v>92</v>
      </c>
      <c r="B4" s="39" t="s">
        <v>93</v>
      </c>
      <c r="C4" s="44">
        <v>4364.0625</v>
      </c>
      <c r="D4" s="44">
        <v>2182.0300000000002</v>
      </c>
      <c r="E4" s="44"/>
    </row>
    <row r="5" spans="1:5" ht="24">
      <c r="A5" s="38" t="s">
        <v>94</v>
      </c>
      <c r="B5" s="39" t="s">
        <v>103</v>
      </c>
      <c r="C5" s="44">
        <v>79800</v>
      </c>
      <c r="D5" s="44">
        <f>+C5+1.05</f>
        <v>79801.05</v>
      </c>
      <c r="E5" s="44">
        <f>+D5*1.05</f>
        <v>83791.102500000008</v>
      </c>
    </row>
    <row r="6" spans="1:5" ht="36">
      <c r="A6" s="38" t="s">
        <v>95</v>
      </c>
      <c r="B6" s="39" t="s">
        <v>96</v>
      </c>
      <c r="C6" s="44">
        <v>511432.65</v>
      </c>
      <c r="D6" s="44">
        <v>586826.44900000002</v>
      </c>
      <c r="E6" s="44">
        <v>695991.15300000005</v>
      </c>
    </row>
    <row r="7" spans="1:5">
      <c r="A7" s="300" t="s">
        <v>97</v>
      </c>
      <c r="B7" s="39" t="s">
        <v>98</v>
      </c>
      <c r="C7" s="44">
        <v>14020.79</v>
      </c>
      <c r="D7" s="44">
        <v>16671.21</v>
      </c>
      <c r="E7" s="44">
        <v>19772.48</v>
      </c>
    </row>
    <row r="8" spans="1:5">
      <c r="A8" s="300"/>
      <c r="B8" s="39" t="s">
        <v>99</v>
      </c>
      <c r="C8" s="44">
        <v>70103.97</v>
      </c>
      <c r="D8" s="44">
        <v>83356.03</v>
      </c>
      <c r="E8" s="44">
        <v>98862.38</v>
      </c>
    </row>
    <row r="9" spans="1:5">
      <c r="A9" s="300"/>
      <c r="B9" s="39" t="s">
        <v>104</v>
      </c>
      <c r="C9" s="44">
        <v>26600</v>
      </c>
      <c r="D9" s="44">
        <v>29925</v>
      </c>
      <c r="E9" s="44">
        <v>34915</v>
      </c>
    </row>
    <row r="10" spans="1:5">
      <c r="A10" s="301" t="s">
        <v>100</v>
      </c>
      <c r="B10" s="302"/>
      <c r="C10" s="44">
        <f>+SUM(C2:C9)</f>
        <v>776146.47250000003</v>
      </c>
      <c r="D10" s="44">
        <f>+SUM(D2:D9)</f>
        <v>841986.76899999997</v>
      </c>
      <c r="E10" s="44">
        <f>+SUM(E2:E9)</f>
        <v>976557.11550000007</v>
      </c>
    </row>
  </sheetData>
  <mergeCells count="2">
    <mergeCell ref="A7:A9"/>
    <mergeCell ref="A10:B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11" sqref="A11"/>
    </sheetView>
  </sheetViews>
  <sheetFormatPr baseColWidth="10" defaultRowHeight="15.75"/>
  <cols>
    <col min="1" max="1" width="30.125" customWidth="1"/>
    <col min="2" max="2" width="20.5" customWidth="1"/>
    <col min="3" max="5" width="10.875" style="40"/>
  </cols>
  <sheetData>
    <row r="1" spans="1:5">
      <c r="A1" s="41" t="s">
        <v>47</v>
      </c>
      <c r="B1" s="41" t="s">
        <v>70</v>
      </c>
      <c r="C1" s="36">
        <v>2017</v>
      </c>
      <c r="D1" s="36">
        <v>2018</v>
      </c>
      <c r="E1" s="36">
        <v>2019</v>
      </c>
    </row>
    <row r="2" spans="1:5" ht="60">
      <c r="A2" s="39" t="s">
        <v>112</v>
      </c>
      <c r="B2" s="39" t="s">
        <v>111</v>
      </c>
      <c r="C2" s="42">
        <v>8000</v>
      </c>
      <c r="D2" s="42">
        <v>12000</v>
      </c>
      <c r="E2" s="42">
        <v>15000</v>
      </c>
    </row>
    <row r="3" spans="1:5" ht="36">
      <c r="A3" s="39" t="s">
        <v>105</v>
      </c>
      <c r="B3" s="39" t="s">
        <v>106</v>
      </c>
      <c r="C3" s="42">
        <v>0</v>
      </c>
      <c r="D3" s="42">
        <v>0</v>
      </c>
      <c r="E3" s="42">
        <v>0</v>
      </c>
    </row>
    <row r="4" spans="1:5" ht="24">
      <c r="A4" s="298" t="s">
        <v>107</v>
      </c>
      <c r="B4" s="39" t="s">
        <v>108</v>
      </c>
      <c r="C4" s="42">
        <v>500</v>
      </c>
      <c r="D4" s="42">
        <v>1000</v>
      </c>
      <c r="E4" s="42">
        <v>1500</v>
      </c>
    </row>
    <row r="5" spans="1:5" ht="24">
      <c r="A5" s="298"/>
      <c r="B5" s="39" t="s">
        <v>109</v>
      </c>
      <c r="C5" s="42">
        <v>1000</v>
      </c>
      <c r="D5" s="42">
        <v>2000</v>
      </c>
      <c r="E5" s="42">
        <v>2000</v>
      </c>
    </row>
    <row r="6" spans="1:5" ht="36">
      <c r="A6" s="298"/>
      <c r="B6" s="39" t="s">
        <v>110</v>
      </c>
      <c r="C6" s="42">
        <v>2000</v>
      </c>
      <c r="D6" s="42">
        <v>2000</v>
      </c>
      <c r="E6" s="42">
        <v>4000</v>
      </c>
    </row>
    <row r="7" spans="1:5">
      <c r="A7" s="303" t="s">
        <v>88</v>
      </c>
      <c r="B7" s="303"/>
      <c r="C7" s="43">
        <f>+SUM(C2:C6)</f>
        <v>11500</v>
      </c>
      <c r="D7" s="43">
        <f t="shared" ref="D7:E7" si="0">+SUM(D2:D6)</f>
        <v>17000</v>
      </c>
      <c r="E7" s="43">
        <f t="shared" si="0"/>
        <v>22500</v>
      </c>
    </row>
  </sheetData>
  <mergeCells count="2">
    <mergeCell ref="A4:A6"/>
    <mergeCell ref="A7:B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2"/>
  <sheetViews>
    <sheetView workbookViewId="0">
      <selection activeCell="C11" sqref="C11"/>
    </sheetView>
  </sheetViews>
  <sheetFormatPr baseColWidth="10" defaultColWidth="10.875" defaultRowHeight="11.25"/>
  <cols>
    <col min="1" max="1" width="3" style="50" customWidth="1"/>
    <col min="2" max="2" width="24.375" style="50" bestFit="1" customWidth="1"/>
    <col min="3" max="4" width="10.875" style="50"/>
    <col min="5" max="5" width="3" style="50" customWidth="1"/>
    <col min="6" max="16384" width="10.875" style="50"/>
  </cols>
  <sheetData>
    <row r="1" spans="1:21">
      <c r="A1" s="49"/>
      <c r="B1" s="282" t="s">
        <v>113</v>
      </c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  <c r="R1" s="282"/>
      <c r="S1" s="282"/>
      <c r="T1" s="282"/>
      <c r="U1" s="282"/>
    </row>
    <row r="2" spans="1:21" ht="12" thickBot="1">
      <c r="A2" s="49"/>
      <c r="B2" s="51"/>
      <c r="C2" s="52"/>
      <c r="D2" s="53"/>
      <c r="E2" s="49"/>
      <c r="F2" s="52"/>
      <c r="G2" s="52"/>
      <c r="H2" s="53"/>
      <c r="I2" s="54"/>
      <c r="J2" s="49"/>
      <c r="K2" s="54"/>
      <c r="L2" s="49"/>
      <c r="M2" s="49"/>
      <c r="N2" s="49"/>
      <c r="O2" s="49"/>
      <c r="P2" s="49"/>
      <c r="Q2" s="49"/>
      <c r="R2" s="49"/>
      <c r="S2" s="49"/>
      <c r="T2" s="49"/>
      <c r="U2" s="49"/>
    </row>
    <row r="3" spans="1:21">
      <c r="A3" s="49"/>
      <c r="B3" s="273">
        <v>2017</v>
      </c>
      <c r="C3" s="275" t="s">
        <v>114</v>
      </c>
      <c r="D3" s="277" t="s">
        <v>115</v>
      </c>
      <c r="E3" s="55"/>
      <c r="F3" s="279" t="s">
        <v>116</v>
      </c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1"/>
      <c r="R3" s="275" t="s">
        <v>117</v>
      </c>
      <c r="S3" s="55"/>
      <c r="T3" s="269" t="s">
        <v>118</v>
      </c>
      <c r="U3" s="271" t="s">
        <v>210</v>
      </c>
    </row>
    <row r="4" spans="1:21" ht="12" thickBot="1">
      <c r="A4" s="49"/>
      <c r="B4" s="274"/>
      <c r="C4" s="276"/>
      <c r="D4" s="278"/>
      <c r="E4" s="55"/>
      <c r="F4" s="56" t="s">
        <v>119</v>
      </c>
      <c r="G4" s="57" t="s">
        <v>120</v>
      </c>
      <c r="H4" s="57" t="s">
        <v>121</v>
      </c>
      <c r="I4" s="57" t="s">
        <v>122</v>
      </c>
      <c r="J4" s="57" t="s">
        <v>123</v>
      </c>
      <c r="K4" s="57" t="s">
        <v>124</v>
      </c>
      <c r="L4" s="57" t="s">
        <v>125</v>
      </c>
      <c r="M4" s="57" t="s">
        <v>126</v>
      </c>
      <c r="N4" s="57" t="s">
        <v>127</v>
      </c>
      <c r="O4" s="57" t="s">
        <v>128</v>
      </c>
      <c r="P4" s="57" t="s">
        <v>129</v>
      </c>
      <c r="Q4" s="57" t="s">
        <v>130</v>
      </c>
      <c r="R4" s="276"/>
      <c r="S4" s="55"/>
      <c r="T4" s="270"/>
      <c r="U4" s="272"/>
    </row>
    <row r="5" spans="1:21">
      <c r="A5" s="49"/>
      <c r="B5" s="58" t="s">
        <v>131</v>
      </c>
      <c r="C5" s="59">
        <v>5231.0116822429909</v>
      </c>
      <c r="D5" s="60">
        <v>261.95999999999975</v>
      </c>
      <c r="E5" s="55"/>
      <c r="F5" s="61">
        <f>+SUM(F6:F17)</f>
        <v>29</v>
      </c>
      <c r="G5" s="62">
        <f t="shared" ref="G5:R5" si="0">+SUM(G6:G17)</f>
        <v>39</v>
      </c>
      <c r="H5" s="62">
        <f t="shared" si="0"/>
        <v>35</v>
      </c>
      <c r="I5" s="62">
        <f t="shared" si="0"/>
        <v>35</v>
      </c>
      <c r="J5" s="62">
        <f t="shared" si="0"/>
        <v>45</v>
      </c>
      <c r="K5" s="62">
        <f t="shared" si="0"/>
        <v>39</v>
      </c>
      <c r="L5" s="62">
        <f t="shared" si="0"/>
        <v>36</v>
      </c>
      <c r="M5" s="62">
        <f t="shared" si="0"/>
        <v>36</v>
      </c>
      <c r="N5" s="62">
        <f t="shared" si="0"/>
        <v>36</v>
      </c>
      <c r="O5" s="62">
        <f t="shared" si="0"/>
        <v>36</v>
      </c>
      <c r="P5" s="62">
        <f t="shared" si="0"/>
        <v>30</v>
      </c>
      <c r="Q5" s="62">
        <f t="shared" si="0"/>
        <v>32</v>
      </c>
      <c r="R5" s="63">
        <f t="shared" si="0"/>
        <v>428</v>
      </c>
      <c r="S5" s="55"/>
      <c r="T5" s="64">
        <f>+SUM(T6:T17)</f>
        <v>2238873</v>
      </c>
      <c r="U5" s="65">
        <f>+SUM(U6:U17)</f>
        <v>112118.87999999999</v>
      </c>
    </row>
    <row r="6" spans="1:21">
      <c r="A6" s="49"/>
      <c r="B6" s="66" t="s">
        <v>132</v>
      </c>
      <c r="C6" s="67">
        <v>6027</v>
      </c>
      <c r="D6" s="68">
        <v>261.95999999999992</v>
      </c>
      <c r="E6" s="55"/>
      <c r="F6" s="69">
        <v>3</v>
      </c>
      <c r="G6" s="70">
        <v>4</v>
      </c>
      <c r="H6" s="70">
        <v>3</v>
      </c>
      <c r="I6" s="70">
        <v>4</v>
      </c>
      <c r="J6" s="70">
        <v>5</v>
      </c>
      <c r="K6" s="70">
        <v>4</v>
      </c>
      <c r="L6" s="70">
        <v>4</v>
      </c>
      <c r="M6" s="70">
        <v>4</v>
      </c>
      <c r="N6" s="70">
        <v>4</v>
      </c>
      <c r="O6" s="70">
        <v>4</v>
      </c>
      <c r="P6" s="70">
        <v>4</v>
      </c>
      <c r="Q6" s="70">
        <v>4</v>
      </c>
      <c r="R6" s="71">
        <f>+SUM(F6:Q6)</f>
        <v>47</v>
      </c>
      <c r="S6" s="55"/>
      <c r="T6" s="72">
        <f>+SUM(F6:Q6)*C6</f>
        <v>283269</v>
      </c>
      <c r="U6" s="73">
        <f>+SUM(F6:Q6)*D6</f>
        <v>12312.119999999997</v>
      </c>
    </row>
    <row r="7" spans="1:21">
      <c r="A7" s="49"/>
      <c r="B7" s="66" t="s">
        <v>133</v>
      </c>
      <c r="C7" s="67">
        <v>6027</v>
      </c>
      <c r="D7" s="68">
        <v>261.95999999999987</v>
      </c>
      <c r="E7" s="55"/>
      <c r="F7" s="69">
        <v>9</v>
      </c>
      <c r="G7" s="70">
        <v>10</v>
      </c>
      <c r="H7" s="70">
        <v>9</v>
      </c>
      <c r="I7" s="70">
        <v>10</v>
      </c>
      <c r="J7" s="70">
        <v>12</v>
      </c>
      <c r="K7" s="70">
        <v>10</v>
      </c>
      <c r="L7" s="70">
        <v>10</v>
      </c>
      <c r="M7" s="70">
        <v>10</v>
      </c>
      <c r="N7" s="70">
        <v>10</v>
      </c>
      <c r="O7" s="70">
        <v>10</v>
      </c>
      <c r="P7" s="70">
        <v>8</v>
      </c>
      <c r="Q7" s="70">
        <v>8</v>
      </c>
      <c r="R7" s="71">
        <f t="shared" ref="R7:R17" si="1">+SUM(F7:Q7)</f>
        <v>116</v>
      </c>
      <c r="S7" s="55"/>
      <c r="T7" s="72">
        <f t="shared" ref="T7:T17" si="2">+SUM(F7:Q7)*C7</f>
        <v>699132</v>
      </c>
      <c r="U7" s="73">
        <f t="shared" ref="U7:U17" si="3">+SUM(F7:Q7)*D7</f>
        <v>30387.359999999986</v>
      </c>
    </row>
    <row r="8" spans="1:21">
      <c r="A8" s="49"/>
      <c r="B8" s="66" t="s">
        <v>134</v>
      </c>
      <c r="C8" s="67">
        <v>5909</v>
      </c>
      <c r="D8" s="68">
        <v>261.96000000000004</v>
      </c>
      <c r="E8" s="55"/>
      <c r="F8" s="69">
        <v>1</v>
      </c>
      <c r="G8" s="70">
        <v>2</v>
      </c>
      <c r="H8" s="70">
        <v>2</v>
      </c>
      <c r="I8" s="70">
        <v>1</v>
      </c>
      <c r="J8" s="70">
        <v>2</v>
      </c>
      <c r="K8" s="70">
        <v>2</v>
      </c>
      <c r="L8" s="70">
        <v>1</v>
      </c>
      <c r="M8" s="70">
        <v>1</v>
      </c>
      <c r="N8" s="70">
        <v>1</v>
      </c>
      <c r="O8" s="70">
        <v>1</v>
      </c>
      <c r="P8" s="70">
        <v>1</v>
      </c>
      <c r="Q8" s="70">
        <v>1</v>
      </c>
      <c r="R8" s="71">
        <f t="shared" si="1"/>
        <v>16</v>
      </c>
      <c r="S8" s="55"/>
      <c r="T8" s="72">
        <f t="shared" si="2"/>
        <v>94544</v>
      </c>
      <c r="U8" s="73">
        <f t="shared" si="3"/>
        <v>4191.3600000000006</v>
      </c>
    </row>
    <row r="9" spans="1:21">
      <c r="A9" s="49"/>
      <c r="B9" s="66" t="s">
        <v>135</v>
      </c>
      <c r="C9" s="67">
        <v>5909</v>
      </c>
      <c r="D9" s="68">
        <v>261.96000000000004</v>
      </c>
      <c r="E9" s="55"/>
      <c r="F9" s="69">
        <v>2</v>
      </c>
      <c r="G9" s="70">
        <v>2</v>
      </c>
      <c r="H9" s="70">
        <v>2</v>
      </c>
      <c r="I9" s="70">
        <v>2</v>
      </c>
      <c r="J9" s="70">
        <v>3</v>
      </c>
      <c r="K9" s="70">
        <v>3</v>
      </c>
      <c r="L9" s="70">
        <v>3</v>
      </c>
      <c r="M9" s="70">
        <v>3</v>
      </c>
      <c r="N9" s="70">
        <v>3</v>
      </c>
      <c r="O9" s="70">
        <v>3</v>
      </c>
      <c r="P9" s="70">
        <v>3</v>
      </c>
      <c r="Q9" s="70">
        <v>3</v>
      </c>
      <c r="R9" s="71">
        <f t="shared" si="1"/>
        <v>32</v>
      </c>
      <c r="S9" s="55"/>
      <c r="T9" s="72">
        <f t="shared" si="2"/>
        <v>189088</v>
      </c>
      <c r="U9" s="73">
        <f t="shared" si="3"/>
        <v>8382.7200000000012</v>
      </c>
    </row>
    <row r="10" spans="1:21">
      <c r="A10" s="49"/>
      <c r="B10" s="66" t="s">
        <v>136</v>
      </c>
      <c r="C10" s="67">
        <v>5082.5</v>
      </c>
      <c r="D10" s="68">
        <v>261.95999999999987</v>
      </c>
      <c r="E10" s="55"/>
      <c r="F10" s="69">
        <v>4</v>
      </c>
      <c r="G10" s="70">
        <v>6</v>
      </c>
      <c r="H10" s="70">
        <v>6</v>
      </c>
      <c r="I10" s="70">
        <v>6</v>
      </c>
      <c r="J10" s="70">
        <v>7</v>
      </c>
      <c r="K10" s="70">
        <v>6</v>
      </c>
      <c r="L10" s="70">
        <v>6</v>
      </c>
      <c r="M10" s="70">
        <v>6</v>
      </c>
      <c r="N10" s="70">
        <v>6</v>
      </c>
      <c r="O10" s="70">
        <v>6</v>
      </c>
      <c r="P10" s="70">
        <v>5</v>
      </c>
      <c r="Q10" s="70">
        <v>5</v>
      </c>
      <c r="R10" s="71">
        <f t="shared" si="1"/>
        <v>69</v>
      </c>
      <c r="S10" s="55"/>
      <c r="T10" s="72">
        <f t="shared" si="2"/>
        <v>350692.5</v>
      </c>
      <c r="U10" s="73">
        <f t="shared" si="3"/>
        <v>18075.239999999991</v>
      </c>
    </row>
    <row r="11" spans="1:21">
      <c r="A11" s="49"/>
      <c r="B11" s="66" t="s">
        <v>137</v>
      </c>
      <c r="C11" s="67">
        <v>5082.5</v>
      </c>
      <c r="D11" s="68">
        <v>261.96000000000026</v>
      </c>
      <c r="E11" s="55"/>
      <c r="F11" s="69">
        <v>4</v>
      </c>
      <c r="G11" s="70">
        <v>6</v>
      </c>
      <c r="H11" s="70">
        <v>5</v>
      </c>
      <c r="I11" s="70">
        <v>5</v>
      </c>
      <c r="J11" s="70">
        <v>6</v>
      </c>
      <c r="K11" s="70">
        <v>5</v>
      </c>
      <c r="L11" s="70">
        <v>5</v>
      </c>
      <c r="M11" s="70">
        <v>5</v>
      </c>
      <c r="N11" s="70">
        <v>5</v>
      </c>
      <c r="O11" s="70">
        <v>5</v>
      </c>
      <c r="P11" s="70">
        <v>4</v>
      </c>
      <c r="Q11" s="70">
        <v>4</v>
      </c>
      <c r="R11" s="71">
        <f t="shared" si="1"/>
        <v>59</v>
      </c>
      <c r="S11" s="55"/>
      <c r="T11" s="72">
        <f t="shared" si="2"/>
        <v>299867.5</v>
      </c>
      <c r="U11" s="73">
        <f t="shared" si="3"/>
        <v>15455.640000000016</v>
      </c>
    </row>
    <row r="12" spans="1:21">
      <c r="A12" s="49"/>
      <c r="B12" s="66" t="s">
        <v>138</v>
      </c>
      <c r="C12" s="67">
        <v>4060</v>
      </c>
      <c r="D12" s="68">
        <v>261.95999999999981</v>
      </c>
      <c r="E12" s="55"/>
      <c r="F12" s="69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0</v>
      </c>
      <c r="Q12" s="70">
        <v>1</v>
      </c>
      <c r="R12" s="71">
        <f t="shared" si="1"/>
        <v>11</v>
      </c>
      <c r="S12" s="55"/>
      <c r="T12" s="72">
        <f t="shared" si="2"/>
        <v>44660</v>
      </c>
      <c r="U12" s="73">
        <f t="shared" si="3"/>
        <v>2881.5599999999977</v>
      </c>
    </row>
    <row r="13" spans="1:21">
      <c r="A13" s="49"/>
      <c r="B13" s="66" t="s">
        <v>139</v>
      </c>
      <c r="C13" s="67">
        <v>4060</v>
      </c>
      <c r="D13" s="68">
        <v>261.96000000000004</v>
      </c>
      <c r="E13" s="55"/>
      <c r="F13" s="69">
        <v>1</v>
      </c>
      <c r="G13" s="70">
        <v>2</v>
      </c>
      <c r="H13" s="70">
        <v>2</v>
      </c>
      <c r="I13" s="70">
        <v>1</v>
      </c>
      <c r="J13" s="70">
        <v>2</v>
      </c>
      <c r="K13" s="70">
        <v>2</v>
      </c>
      <c r="L13" s="70">
        <v>1</v>
      </c>
      <c r="M13" s="70">
        <v>1</v>
      </c>
      <c r="N13" s="70">
        <v>1</v>
      </c>
      <c r="O13" s="70">
        <v>1</v>
      </c>
      <c r="P13" s="70">
        <v>1</v>
      </c>
      <c r="Q13" s="70">
        <v>1</v>
      </c>
      <c r="R13" s="71">
        <f t="shared" si="1"/>
        <v>16</v>
      </c>
      <c r="S13" s="55"/>
      <c r="T13" s="72">
        <f t="shared" si="2"/>
        <v>64960</v>
      </c>
      <c r="U13" s="73">
        <f t="shared" si="3"/>
        <v>4191.3600000000006</v>
      </c>
    </row>
    <row r="14" spans="1:21">
      <c r="A14" s="49"/>
      <c r="B14" s="66" t="s">
        <v>140</v>
      </c>
      <c r="C14" s="67">
        <v>3430</v>
      </c>
      <c r="D14" s="68">
        <v>261.96000000000009</v>
      </c>
      <c r="E14" s="55"/>
      <c r="F14" s="69">
        <v>3</v>
      </c>
      <c r="G14" s="70">
        <v>4</v>
      </c>
      <c r="H14" s="70">
        <v>3</v>
      </c>
      <c r="I14" s="70">
        <v>4</v>
      </c>
      <c r="J14" s="70">
        <v>5</v>
      </c>
      <c r="K14" s="70">
        <v>4</v>
      </c>
      <c r="L14" s="70">
        <v>4</v>
      </c>
      <c r="M14" s="70">
        <v>4</v>
      </c>
      <c r="N14" s="70">
        <v>4</v>
      </c>
      <c r="O14" s="70">
        <v>4</v>
      </c>
      <c r="P14" s="70">
        <v>3</v>
      </c>
      <c r="Q14" s="70">
        <v>4</v>
      </c>
      <c r="R14" s="71">
        <f t="shared" si="1"/>
        <v>46</v>
      </c>
      <c r="S14" s="55"/>
      <c r="T14" s="72">
        <f t="shared" si="2"/>
        <v>157780</v>
      </c>
      <c r="U14" s="73">
        <f t="shared" si="3"/>
        <v>12050.160000000003</v>
      </c>
    </row>
    <row r="15" spans="1:21">
      <c r="A15" s="49"/>
      <c r="B15" s="66" t="s">
        <v>141</v>
      </c>
      <c r="C15" s="67">
        <v>3430</v>
      </c>
      <c r="D15" s="68">
        <v>261.96000000000004</v>
      </c>
      <c r="E15" s="55"/>
      <c r="F15" s="69">
        <v>1</v>
      </c>
      <c r="G15" s="70">
        <v>2</v>
      </c>
      <c r="H15" s="70">
        <v>2</v>
      </c>
      <c r="I15" s="70">
        <v>1</v>
      </c>
      <c r="J15" s="70">
        <v>2</v>
      </c>
      <c r="K15" s="70">
        <v>2</v>
      </c>
      <c r="L15" s="70">
        <v>1</v>
      </c>
      <c r="M15" s="70">
        <v>1</v>
      </c>
      <c r="N15" s="70">
        <v>1</v>
      </c>
      <c r="O15" s="70">
        <v>1</v>
      </c>
      <c r="P15" s="70">
        <v>1</v>
      </c>
      <c r="Q15" s="70">
        <v>1</v>
      </c>
      <c r="R15" s="71">
        <f t="shared" si="1"/>
        <v>16</v>
      </c>
      <c r="S15" s="55"/>
      <c r="T15" s="72">
        <f t="shared" si="2"/>
        <v>54880</v>
      </c>
      <c r="U15" s="73">
        <f t="shared" si="3"/>
        <v>4191.3600000000006</v>
      </c>
    </row>
    <row r="16" spans="1:21">
      <c r="A16" s="49"/>
      <c r="B16" s="66" t="s">
        <v>142</v>
      </c>
      <c r="C16" s="67">
        <v>0</v>
      </c>
      <c r="D16" s="68">
        <v>0</v>
      </c>
      <c r="E16" s="55"/>
      <c r="F16" s="69">
        <v>0</v>
      </c>
      <c r="G16" s="70">
        <v>0</v>
      </c>
      <c r="H16" s="70">
        <v>0</v>
      </c>
      <c r="I16" s="70">
        <v>0</v>
      </c>
      <c r="J16" s="70">
        <v>0</v>
      </c>
      <c r="K16" s="70">
        <v>0</v>
      </c>
      <c r="L16" s="70">
        <v>0</v>
      </c>
      <c r="M16" s="70">
        <v>0</v>
      </c>
      <c r="N16" s="70">
        <v>0</v>
      </c>
      <c r="O16" s="70">
        <v>0</v>
      </c>
      <c r="P16" s="70">
        <v>0</v>
      </c>
      <c r="Q16" s="70">
        <v>0</v>
      </c>
      <c r="R16" s="71">
        <f t="shared" si="1"/>
        <v>0</v>
      </c>
      <c r="S16" s="55"/>
      <c r="T16" s="72">
        <f t="shared" si="2"/>
        <v>0</v>
      </c>
      <c r="U16" s="73">
        <f t="shared" si="3"/>
        <v>0</v>
      </c>
    </row>
    <row r="17" spans="1:21" ht="12" thickBot="1">
      <c r="A17" s="49"/>
      <c r="B17" s="66" t="s">
        <v>143</v>
      </c>
      <c r="C17" s="67">
        <v>0</v>
      </c>
      <c r="D17" s="68">
        <v>0</v>
      </c>
      <c r="E17" s="55"/>
      <c r="F17" s="69">
        <v>0</v>
      </c>
      <c r="G17" s="70">
        <v>0</v>
      </c>
      <c r="H17" s="70">
        <v>0</v>
      </c>
      <c r="I17" s="70">
        <v>0</v>
      </c>
      <c r="J17" s="70">
        <v>0</v>
      </c>
      <c r="K17" s="70">
        <v>0</v>
      </c>
      <c r="L17" s="70">
        <v>0</v>
      </c>
      <c r="M17" s="70">
        <v>0</v>
      </c>
      <c r="N17" s="70">
        <v>0</v>
      </c>
      <c r="O17" s="70">
        <v>0</v>
      </c>
      <c r="P17" s="70">
        <v>0</v>
      </c>
      <c r="Q17" s="70">
        <v>0</v>
      </c>
      <c r="R17" s="71">
        <f t="shared" si="1"/>
        <v>0</v>
      </c>
      <c r="S17" s="55"/>
      <c r="T17" s="72">
        <f t="shared" si="2"/>
        <v>0</v>
      </c>
      <c r="U17" s="73">
        <f t="shared" si="3"/>
        <v>0</v>
      </c>
    </row>
    <row r="18" spans="1:21">
      <c r="A18" s="49"/>
      <c r="B18" s="75" t="s">
        <v>144</v>
      </c>
      <c r="C18" s="76">
        <v>5123.9832402234633</v>
      </c>
      <c r="D18" s="77">
        <v>357.16234636871474</v>
      </c>
      <c r="E18" s="55"/>
      <c r="F18" s="61">
        <f>+SUM(F19:F30)</f>
        <v>15</v>
      </c>
      <c r="G18" s="62">
        <f t="shared" ref="G18" si="4">+SUM(G19:G30)</f>
        <v>16</v>
      </c>
      <c r="H18" s="62">
        <f t="shared" ref="H18" si="5">+SUM(H19:H30)</f>
        <v>15</v>
      </c>
      <c r="I18" s="62">
        <f t="shared" ref="I18" si="6">+SUM(I19:I30)</f>
        <v>15</v>
      </c>
      <c r="J18" s="62">
        <f t="shared" ref="J18" si="7">+SUM(J19:J30)</f>
        <v>17</v>
      </c>
      <c r="K18" s="62">
        <f t="shared" ref="K18" si="8">+SUM(K19:K30)</f>
        <v>15</v>
      </c>
      <c r="L18" s="62">
        <f t="shared" ref="L18" si="9">+SUM(L19:L30)</f>
        <v>15</v>
      </c>
      <c r="M18" s="62">
        <f t="shared" ref="M18" si="10">+SUM(M19:M30)</f>
        <v>15</v>
      </c>
      <c r="N18" s="62">
        <f t="shared" ref="N18" si="11">+SUM(N19:N30)</f>
        <v>15</v>
      </c>
      <c r="O18" s="62">
        <f t="shared" ref="O18" si="12">+SUM(O19:O30)</f>
        <v>15</v>
      </c>
      <c r="P18" s="62">
        <f t="shared" ref="P18" si="13">+SUM(P19:P30)</f>
        <v>13</v>
      </c>
      <c r="Q18" s="62">
        <f t="shared" ref="Q18:R18" si="14">+SUM(Q19:Q30)</f>
        <v>13</v>
      </c>
      <c r="R18" s="63">
        <f t="shared" si="14"/>
        <v>179</v>
      </c>
      <c r="S18" s="55"/>
      <c r="T18" s="64">
        <f>+SUM(T19:T30)</f>
        <v>917193</v>
      </c>
      <c r="U18" s="65">
        <f>+SUM(U19:U30)</f>
        <v>63932.059999999947</v>
      </c>
    </row>
    <row r="19" spans="1:21">
      <c r="A19" s="49"/>
      <c r="B19" s="66" t="s">
        <v>132</v>
      </c>
      <c r="C19" s="67">
        <v>0</v>
      </c>
      <c r="D19" s="68">
        <v>0</v>
      </c>
      <c r="E19" s="55"/>
      <c r="F19" s="69">
        <v>0</v>
      </c>
      <c r="G19" s="70">
        <v>0</v>
      </c>
      <c r="H19" s="70">
        <v>0</v>
      </c>
      <c r="I19" s="70">
        <v>0</v>
      </c>
      <c r="J19" s="70">
        <v>0</v>
      </c>
      <c r="K19" s="70">
        <v>0</v>
      </c>
      <c r="L19" s="70">
        <v>0</v>
      </c>
      <c r="M19" s="70">
        <v>0</v>
      </c>
      <c r="N19" s="70">
        <v>0</v>
      </c>
      <c r="O19" s="70">
        <v>0</v>
      </c>
      <c r="P19" s="70">
        <v>0</v>
      </c>
      <c r="Q19" s="70">
        <v>0</v>
      </c>
      <c r="R19" s="71">
        <f>+SUM(F19:Q19)</f>
        <v>0</v>
      </c>
      <c r="S19" s="55"/>
      <c r="T19" s="72">
        <f>+SUM(F19:Q19)*C19</f>
        <v>0</v>
      </c>
      <c r="U19" s="73">
        <f>+SUM(F19:Q19)*D19</f>
        <v>0</v>
      </c>
    </row>
    <row r="20" spans="1:21">
      <c r="A20" s="49"/>
      <c r="B20" s="66" t="s">
        <v>133</v>
      </c>
      <c r="C20" s="67">
        <v>5291.3855421686749</v>
      </c>
      <c r="D20" s="68">
        <v>362.18481927710872</v>
      </c>
      <c r="E20" s="55"/>
      <c r="F20" s="69">
        <v>7</v>
      </c>
      <c r="G20" s="70">
        <v>7</v>
      </c>
      <c r="H20" s="70">
        <v>7</v>
      </c>
      <c r="I20" s="70">
        <v>7</v>
      </c>
      <c r="J20" s="70">
        <v>8</v>
      </c>
      <c r="K20" s="70">
        <v>7</v>
      </c>
      <c r="L20" s="70">
        <v>7</v>
      </c>
      <c r="M20" s="70">
        <v>7</v>
      </c>
      <c r="N20" s="70">
        <v>7</v>
      </c>
      <c r="O20" s="70">
        <v>7</v>
      </c>
      <c r="P20" s="70">
        <v>6</v>
      </c>
      <c r="Q20" s="70">
        <v>6</v>
      </c>
      <c r="R20" s="71">
        <f t="shared" ref="R20:R30" si="15">+SUM(F20:Q20)</f>
        <v>83</v>
      </c>
      <c r="S20" s="55"/>
      <c r="T20" s="72">
        <f t="shared" ref="T20:T30" si="16">+SUM(F20:Q20)*C20</f>
        <v>439185</v>
      </c>
      <c r="U20" s="73">
        <f t="shared" ref="U20:U30" si="17">+SUM(F20:Q20)*D20</f>
        <v>30061.340000000022</v>
      </c>
    </row>
    <row r="21" spans="1:21">
      <c r="A21" s="49"/>
      <c r="B21" s="66" t="s">
        <v>134</v>
      </c>
      <c r="C21" s="67">
        <v>0</v>
      </c>
      <c r="D21" s="68">
        <v>0</v>
      </c>
      <c r="E21" s="55"/>
      <c r="F21" s="69">
        <v>0</v>
      </c>
      <c r="G21" s="70">
        <v>0</v>
      </c>
      <c r="H21" s="70">
        <v>0</v>
      </c>
      <c r="I21" s="70">
        <v>0</v>
      </c>
      <c r="J21" s="70">
        <v>0</v>
      </c>
      <c r="K21" s="70">
        <v>0</v>
      </c>
      <c r="L21" s="70">
        <v>0</v>
      </c>
      <c r="M21" s="70">
        <v>0</v>
      </c>
      <c r="N21" s="70">
        <v>0</v>
      </c>
      <c r="O21" s="70">
        <v>0</v>
      </c>
      <c r="P21" s="70">
        <v>0</v>
      </c>
      <c r="Q21" s="70">
        <v>0</v>
      </c>
      <c r="R21" s="71">
        <f t="shared" si="15"/>
        <v>0</v>
      </c>
      <c r="S21" s="55"/>
      <c r="T21" s="72">
        <f t="shared" si="16"/>
        <v>0</v>
      </c>
      <c r="U21" s="73">
        <f t="shared" si="17"/>
        <v>0</v>
      </c>
    </row>
    <row r="22" spans="1:21">
      <c r="A22" s="49"/>
      <c r="B22" s="66" t="s">
        <v>135</v>
      </c>
      <c r="C22" s="67">
        <v>5909</v>
      </c>
      <c r="D22" s="68">
        <v>352.81999999999971</v>
      </c>
      <c r="E22" s="55"/>
      <c r="F22" s="69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1">
        <f t="shared" si="15"/>
        <v>12</v>
      </c>
      <c r="S22" s="55"/>
      <c r="T22" s="72">
        <f t="shared" si="16"/>
        <v>70908</v>
      </c>
      <c r="U22" s="73">
        <f t="shared" si="17"/>
        <v>4233.8399999999965</v>
      </c>
    </row>
    <row r="23" spans="1:21">
      <c r="A23" s="49"/>
      <c r="B23" s="66" t="s">
        <v>136</v>
      </c>
      <c r="C23" s="67">
        <v>0</v>
      </c>
      <c r="D23" s="68">
        <v>0</v>
      </c>
      <c r="E23" s="55"/>
      <c r="F23" s="69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0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1">
        <f t="shared" si="15"/>
        <v>0</v>
      </c>
      <c r="S23" s="55"/>
      <c r="T23" s="72">
        <f t="shared" si="16"/>
        <v>0</v>
      </c>
      <c r="U23" s="73">
        <f t="shared" si="17"/>
        <v>0</v>
      </c>
    </row>
    <row r="24" spans="1:21">
      <c r="A24" s="49"/>
      <c r="B24" s="66" t="s">
        <v>137</v>
      </c>
      <c r="C24" s="67">
        <v>5082.5</v>
      </c>
      <c r="D24" s="68">
        <v>352.81999999999891</v>
      </c>
      <c r="E24" s="55"/>
      <c r="F24" s="69">
        <v>6</v>
      </c>
      <c r="G24" s="70">
        <v>7</v>
      </c>
      <c r="H24" s="70">
        <v>6</v>
      </c>
      <c r="I24" s="70">
        <v>6</v>
      </c>
      <c r="J24" s="70">
        <v>7</v>
      </c>
      <c r="K24" s="70">
        <v>6</v>
      </c>
      <c r="L24" s="70">
        <v>6</v>
      </c>
      <c r="M24" s="70">
        <v>6</v>
      </c>
      <c r="N24" s="70">
        <v>6</v>
      </c>
      <c r="O24" s="70">
        <v>6</v>
      </c>
      <c r="P24" s="70">
        <v>5</v>
      </c>
      <c r="Q24" s="70">
        <v>5</v>
      </c>
      <c r="R24" s="71">
        <f t="shared" si="15"/>
        <v>72</v>
      </c>
      <c r="S24" s="55"/>
      <c r="T24" s="72">
        <f t="shared" si="16"/>
        <v>365940</v>
      </c>
      <c r="U24" s="73">
        <f t="shared" si="17"/>
        <v>25403.039999999921</v>
      </c>
    </row>
    <row r="25" spans="1:21">
      <c r="A25" s="49"/>
      <c r="B25" s="66" t="s">
        <v>138</v>
      </c>
      <c r="C25" s="67">
        <v>0</v>
      </c>
      <c r="D25" s="68">
        <v>0</v>
      </c>
      <c r="E25" s="55"/>
      <c r="F25" s="69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70">
        <v>0</v>
      </c>
      <c r="M25" s="70">
        <v>0</v>
      </c>
      <c r="N25" s="70">
        <v>0</v>
      </c>
      <c r="O25" s="70">
        <v>0</v>
      </c>
      <c r="P25" s="70">
        <v>0</v>
      </c>
      <c r="Q25" s="70">
        <v>0</v>
      </c>
      <c r="R25" s="71">
        <f t="shared" si="15"/>
        <v>0</v>
      </c>
      <c r="S25" s="55"/>
      <c r="T25" s="72">
        <f t="shared" si="16"/>
        <v>0</v>
      </c>
      <c r="U25" s="73">
        <f t="shared" si="17"/>
        <v>0</v>
      </c>
    </row>
    <row r="26" spans="1:21">
      <c r="A26" s="49"/>
      <c r="B26" s="66" t="s">
        <v>139</v>
      </c>
      <c r="C26" s="67">
        <v>0</v>
      </c>
      <c r="D26" s="68">
        <v>0</v>
      </c>
      <c r="E26" s="55"/>
      <c r="F26" s="69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70">
        <v>0</v>
      </c>
      <c r="M26" s="70">
        <v>0</v>
      </c>
      <c r="N26" s="70">
        <v>0</v>
      </c>
      <c r="O26" s="70">
        <v>0</v>
      </c>
      <c r="P26" s="70">
        <v>0</v>
      </c>
      <c r="Q26" s="70">
        <v>0</v>
      </c>
      <c r="R26" s="71">
        <f t="shared" si="15"/>
        <v>0</v>
      </c>
      <c r="S26" s="55"/>
      <c r="T26" s="72">
        <f t="shared" si="16"/>
        <v>0</v>
      </c>
      <c r="U26" s="73">
        <f t="shared" si="17"/>
        <v>0</v>
      </c>
    </row>
    <row r="27" spans="1:21">
      <c r="A27" s="49"/>
      <c r="B27" s="66" t="s">
        <v>140</v>
      </c>
      <c r="C27" s="67">
        <v>0</v>
      </c>
      <c r="D27" s="68">
        <v>0</v>
      </c>
      <c r="E27" s="55"/>
      <c r="F27" s="69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70">
        <v>0</v>
      </c>
      <c r="M27" s="70">
        <v>0</v>
      </c>
      <c r="N27" s="70">
        <v>0</v>
      </c>
      <c r="O27" s="70">
        <v>0</v>
      </c>
      <c r="P27" s="70">
        <v>0</v>
      </c>
      <c r="Q27" s="70">
        <v>0</v>
      </c>
      <c r="R27" s="71">
        <f t="shared" si="15"/>
        <v>0</v>
      </c>
      <c r="S27" s="55"/>
      <c r="T27" s="72">
        <f t="shared" si="16"/>
        <v>0</v>
      </c>
      <c r="U27" s="73">
        <f t="shared" si="17"/>
        <v>0</v>
      </c>
    </row>
    <row r="28" spans="1:21">
      <c r="A28" s="49"/>
      <c r="B28" s="66" t="s">
        <v>141</v>
      </c>
      <c r="C28" s="67">
        <v>3430</v>
      </c>
      <c r="D28" s="68">
        <v>352.82000000000033</v>
      </c>
      <c r="E28" s="55"/>
      <c r="F28" s="69">
        <v>1</v>
      </c>
      <c r="G28" s="70">
        <v>1</v>
      </c>
      <c r="H28" s="70">
        <v>1</v>
      </c>
      <c r="I28" s="70">
        <v>1</v>
      </c>
      <c r="J28" s="70">
        <v>1</v>
      </c>
      <c r="K28" s="70">
        <v>1</v>
      </c>
      <c r="L28" s="70">
        <v>1</v>
      </c>
      <c r="M28" s="70">
        <v>1</v>
      </c>
      <c r="N28" s="70">
        <v>1</v>
      </c>
      <c r="O28" s="70">
        <v>1</v>
      </c>
      <c r="P28" s="70">
        <v>1</v>
      </c>
      <c r="Q28" s="70">
        <v>1</v>
      </c>
      <c r="R28" s="71">
        <f t="shared" si="15"/>
        <v>12</v>
      </c>
      <c r="S28" s="55"/>
      <c r="T28" s="72">
        <f t="shared" si="16"/>
        <v>41160</v>
      </c>
      <c r="U28" s="73">
        <f t="shared" si="17"/>
        <v>4233.8400000000038</v>
      </c>
    </row>
    <row r="29" spans="1:21">
      <c r="A29" s="49"/>
      <c r="B29" s="66" t="s">
        <v>142</v>
      </c>
      <c r="C29" s="67">
        <v>0</v>
      </c>
      <c r="D29" s="68">
        <v>0</v>
      </c>
      <c r="E29" s="55"/>
      <c r="F29" s="69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70">
        <v>0</v>
      </c>
      <c r="N29" s="70">
        <v>0</v>
      </c>
      <c r="O29" s="70">
        <v>0</v>
      </c>
      <c r="P29" s="70">
        <v>0</v>
      </c>
      <c r="Q29" s="70">
        <v>0</v>
      </c>
      <c r="R29" s="71">
        <f t="shared" si="15"/>
        <v>0</v>
      </c>
      <c r="S29" s="55"/>
      <c r="T29" s="72">
        <f t="shared" si="16"/>
        <v>0</v>
      </c>
      <c r="U29" s="73">
        <f t="shared" si="17"/>
        <v>0</v>
      </c>
    </row>
    <row r="30" spans="1:21" ht="12" thickBot="1">
      <c r="A30" s="49"/>
      <c r="B30" s="66" t="s">
        <v>143</v>
      </c>
      <c r="C30" s="67">
        <v>0</v>
      </c>
      <c r="D30" s="68">
        <v>0</v>
      </c>
      <c r="E30" s="55"/>
      <c r="F30" s="69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0</v>
      </c>
      <c r="N30" s="70">
        <v>0</v>
      </c>
      <c r="O30" s="70">
        <v>0</v>
      </c>
      <c r="P30" s="70">
        <v>0</v>
      </c>
      <c r="Q30" s="70">
        <v>0</v>
      </c>
      <c r="R30" s="71">
        <f t="shared" si="15"/>
        <v>0</v>
      </c>
      <c r="S30" s="55"/>
      <c r="T30" s="72">
        <f t="shared" si="16"/>
        <v>0</v>
      </c>
      <c r="U30" s="73">
        <f t="shared" si="17"/>
        <v>0</v>
      </c>
    </row>
    <row r="31" spans="1:21">
      <c r="A31" s="49"/>
      <c r="B31" s="78" t="s">
        <v>145</v>
      </c>
      <c r="C31" s="76">
        <v>4165.4668006700167</v>
      </c>
      <c r="D31" s="77">
        <v>340.77142378559472</v>
      </c>
      <c r="E31" s="55"/>
      <c r="F31" s="61">
        <f>+SUM(F32:F43)</f>
        <v>44</v>
      </c>
      <c r="G31" s="62">
        <f t="shared" ref="G31" si="18">+SUM(G32:G43)</f>
        <v>48</v>
      </c>
      <c r="H31" s="62">
        <f t="shared" ref="H31" si="19">+SUM(H32:H43)</f>
        <v>47</v>
      </c>
      <c r="I31" s="62">
        <f t="shared" ref="I31" si="20">+SUM(I32:I43)</f>
        <v>46</v>
      </c>
      <c r="J31" s="62">
        <f t="shared" ref="J31" si="21">+SUM(J32:J43)</f>
        <v>53</v>
      </c>
      <c r="K31" s="62">
        <f t="shared" ref="K31" si="22">+SUM(K32:K43)</f>
        <v>50</v>
      </c>
      <c r="L31" s="62">
        <f t="shared" ref="L31" si="23">+SUM(L32:L43)</f>
        <v>53</v>
      </c>
      <c r="M31" s="62">
        <f t="shared" ref="M31" si="24">+SUM(M32:M43)</f>
        <v>54</v>
      </c>
      <c r="N31" s="62">
        <f t="shared" ref="N31" si="25">+SUM(N32:N43)</f>
        <v>54</v>
      </c>
      <c r="O31" s="62">
        <f t="shared" ref="O31" si="26">+SUM(O32:O43)</f>
        <v>54</v>
      </c>
      <c r="P31" s="62">
        <f t="shared" ref="P31" si="27">+SUM(P32:P43)</f>
        <v>46</v>
      </c>
      <c r="Q31" s="62">
        <f t="shared" ref="Q31:R31" si="28">+SUM(Q32:Q43)</f>
        <v>48</v>
      </c>
      <c r="R31" s="63">
        <f t="shared" si="28"/>
        <v>597</v>
      </c>
      <c r="S31" s="55"/>
      <c r="T31" s="64">
        <f>+SUM(T32:T43)</f>
        <v>2486783.6800000002</v>
      </c>
      <c r="U31" s="65">
        <f>+SUM(U32:U43)</f>
        <v>203440.54000000007</v>
      </c>
    </row>
    <row r="32" spans="1:21">
      <c r="A32" s="49"/>
      <c r="B32" s="66" t="s">
        <v>132</v>
      </c>
      <c r="C32" s="67">
        <v>0</v>
      </c>
      <c r="D32" s="68">
        <v>0</v>
      </c>
      <c r="E32" s="55"/>
      <c r="F32" s="69">
        <v>0</v>
      </c>
      <c r="G32" s="70">
        <v>0</v>
      </c>
      <c r="H32" s="70">
        <v>0</v>
      </c>
      <c r="I32" s="70">
        <v>0</v>
      </c>
      <c r="J32" s="70">
        <v>0</v>
      </c>
      <c r="K32" s="70">
        <v>0</v>
      </c>
      <c r="L32" s="70">
        <v>0</v>
      </c>
      <c r="M32" s="70">
        <v>0</v>
      </c>
      <c r="N32" s="70">
        <v>0</v>
      </c>
      <c r="O32" s="70">
        <v>0</v>
      </c>
      <c r="P32" s="70">
        <v>0</v>
      </c>
      <c r="Q32" s="70">
        <v>0</v>
      </c>
      <c r="R32" s="71">
        <f>+SUM(F32:Q32)</f>
        <v>0</v>
      </c>
      <c r="S32" s="55"/>
      <c r="T32" s="72">
        <f>+SUM(F32:Q32)*C32</f>
        <v>0</v>
      </c>
      <c r="U32" s="73">
        <f>+SUM(F32:Q32)*D32</f>
        <v>0</v>
      </c>
    </row>
    <row r="33" spans="1:21">
      <c r="A33" s="49"/>
      <c r="B33" s="66" t="s">
        <v>133</v>
      </c>
      <c r="C33" s="67">
        <v>5658.4120879120883</v>
      </c>
      <c r="D33" s="68">
        <v>389.63912087912126</v>
      </c>
      <c r="E33" s="55"/>
      <c r="F33" s="69">
        <v>14</v>
      </c>
      <c r="G33" s="70">
        <v>14</v>
      </c>
      <c r="H33" s="70">
        <v>15</v>
      </c>
      <c r="I33" s="70">
        <v>14</v>
      </c>
      <c r="J33" s="70">
        <v>16</v>
      </c>
      <c r="K33" s="70">
        <v>16</v>
      </c>
      <c r="L33" s="70">
        <v>15</v>
      </c>
      <c r="M33" s="70">
        <v>16</v>
      </c>
      <c r="N33" s="70">
        <v>16</v>
      </c>
      <c r="O33" s="70">
        <v>16</v>
      </c>
      <c r="P33" s="70">
        <v>15</v>
      </c>
      <c r="Q33" s="70">
        <v>15</v>
      </c>
      <c r="R33" s="71">
        <f t="shared" ref="R33:R43" si="29">+SUM(F33:Q33)</f>
        <v>182</v>
      </c>
      <c r="S33" s="55"/>
      <c r="T33" s="72">
        <f t="shared" ref="T33:T43" si="30">+SUM(F33:Q33)*C33</f>
        <v>1029831.0000000001</v>
      </c>
      <c r="U33" s="73">
        <f t="shared" ref="U33:U43" si="31">+SUM(F33:Q33)*D33</f>
        <v>70914.320000000065</v>
      </c>
    </row>
    <row r="34" spans="1:21">
      <c r="A34" s="49"/>
      <c r="B34" s="66" t="s">
        <v>134</v>
      </c>
      <c r="C34" s="67">
        <v>0</v>
      </c>
      <c r="D34" s="68">
        <v>0</v>
      </c>
      <c r="E34" s="55"/>
      <c r="F34" s="69">
        <v>0</v>
      </c>
      <c r="G34" s="70">
        <v>0</v>
      </c>
      <c r="H34" s="70">
        <v>0</v>
      </c>
      <c r="I34" s="70">
        <v>0</v>
      </c>
      <c r="J34" s="70">
        <v>0</v>
      </c>
      <c r="K34" s="70">
        <v>0</v>
      </c>
      <c r="L34" s="70">
        <v>0</v>
      </c>
      <c r="M34" s="70">
        <v>0</v>
      </c>
      <c r="N34" s="70">
        <v>0</v>
      </c>
      <c r="O34" s="70">
        <v>0</v>
      </c>
      <c r="P34" s="70">
        <v>0</v>
      </c>
      <c r="Q34" s="70">
        <v>0</v>
      </c>
      <c r="R34" s="71">
        <f t="shared" si="29"/>
        <v>0</v>
      </c>
      <c r="S34" s="55"/>
      <c r="T34" s="72">
        <f t="shared" si="30"/>
        <v>0</v>
      </c>
      <c r="U34" s="73">
        <f t="shared" si="31"/>
        <v>0</v>
      </c>
    </row>
    <row r="35" spans="1:21">
      <c r="A35" s="49"/>
      <c r="B35" s="66" t="s">
        <v>135</v>
      </c>
      <c r="C35" s="67">
        <v>5571.3428571428567</v>
      </c>
      <c r="D35" s="68">
        <v>339.33428571428607</v>
      </c>
      <c r="E35" s="55"/>
      <c r="F35" s="69">
        <v>2</v>
      </c>
      <c r="G35" s="70">
        <v>2</v>
      </c>
      <c r="H35" s="70">
        <v>2</v>
      </c>
      <c r="I35" s="70">
        <v>2</v>
      </c>
      <c r="J35" s="70">
        <v>2</v>
      </c>
      <c r="K35" s="70">
        <v>2</v>
      </c>
      <c r="L35" s="70">
        <v>4</v>
      </c>
      <c r="M35" s="70">
        <v>4</v>
      </c>
      <c r="N35" s="70">
        <v>4</v>
      </c>
      <c r="O35" s="70">
        <v>4</v>
      </c>
      <c r="P35" s="70">
        <v>3</v>
      </c>
      <c r="Q35" s="70">
        <v>4</v>
      </c>
      <c r="R35" s="71">
        <f t="shared" si="29"/>
        <v>35</v>
      </c>
      <c r="S35" s="55"/>
      <c r="T35" s="72">
        <f t="shared" si="30"/>
        <v>194996.99999999997</v>
      </c>
      <c r="U35" s="73">
        <f t="shared" si="31"/>
        <v>11876.700000000012</v>
      </c>
    </row>
    <row r="36" spans="1:21">
      <c r="A36" s="49"/>
      <c r="B36" s="66" t="s">
        <v>136</v>
      </c>
      <c r="C36" s="67">
        <v>0</v>
      </c>
      <c r="D36" s="68">
        <v>0</v>
      </c>
      <c r="E36" s="55"/>
      <c r="F36" s="69">
        <v>0</v>
      </c>
      <c r="G36" s="70">
        <v>0</v>
      </c>
      <c r="H36" s="70">
        <v>0</v>
      </c>
      <c r="I36" s="70">
        <v>0</v>
      </c>
      <c r="J36" s="70">
        <v>0</v>
      </c>
      <c r="K36" s="70">
        <v>0</v>
      </c>
      <c r="L36" s="70">
        <v>0</v>
      </c>
      <c r="M36" s="70">
        <v>0</v>
      </c>
      <c r="N36" s="70">
        <v>0</v>
      </c>
      <c r="O36" s="70">
        <v>0</v>
      </c>
      <c r="P36" s="70">
        <v>0</v>
      </c>
      <c r="Q36" s="70">
        <v>0</v>
      </c>
      <c r="R36" s="71">
        <f t="shared" si="29"/>
        <v>0</v>
      </c>
      <c r="S36" s="55"/>
      <c r="T36" s="72">
        <f t="shared" si="30"/>
        <v>0</v>
      </c>
      <c r="U36" s="73">
        <f t="shared" si="31"/>
        <v>0</v>
      </c>
    </row>
    <row r="37" spans="1:21">
      <c r="A37" s="49"/>
      <c r="B37" s="66" t="s">
        <v>137</v>
      </c>
      <c r="C37" s="67">
        <v>4614.2664827586204</v>
      </c>
      <c r="D37" s="68">
        <v>357.43448275862067</v>
      </c>
      <c r="E37" s="55"/>
      <c r="F37" s="69">
        <v>10</v>
      </c>
      <c r="G37" s="70">
        <v>12</v>
      </c>
      <c r="H37" s="70">
        <v>11</v>
      </c>
      <c r="I37" s="70">
        <v>12</v>
      </c>
      <c r="J37" s="70">
        <v>14</v>
      </c>
      <c r="K37" s="70">
        <v>12</v>
      </c>
      <c r="L37" s="70">
        <v>13</v>
      </c>
      <c r="M37" s="70">
        <v>13</v>
      </c>
      <c r="N37" s="70">
        <v>13</v>
      </c>
      <c r="O37" s="70">
        <v>13</v>
      </c>
      <c r="P37" s="70">
        <v>11</v>
      </c>
      <c r="Q37" s="70">
        <v>11</v>
      </c>
      <c r="R37" s="71">
        <f t="shared" si="29"/>
        <v>145</v>
      </c>
      <c r="S37" s="55"/>
      <c r="T37" s="72">
        <f t="shared" si="30"/>
        <v>669068.64</v>
      </c>
      <c r="U37" s="73">
        <f t="shared" si="31"/>
        <v>51828</v>
      </c>
    </row>
    <row r="38" spans="1:21">
      <c r="A38" s="49"/>
      <c r="B38" s="66" t="s">
        <v>138</v>
      </c>
      <c r="C38" s="67">
        <v>0</v>
      </c>
      <c r="D38" s="68">
        <v>0</v>
      </c>
      <c r="E38" s="55"/>
      <c r="F38" s="69">
        <v>0</v>
      </c>
      <c r="G38" s="70">
        <v>0</v>
      </c>
      <c r="H38" s="70">
        <v>0</v>
      </c>
      <c r="I38" s="70">
        <v>0</v>
      </c>
      <c r="J38" s="70">
        <v>0</v>
      </c>
      <c r="K38" s="70">
        <v>0</v>
      </c>
      <c r="L38" s="70">
        <v>0</v>
      </c>
      <c r="M38" s="70">
        <v>0</v>
      </c>
      <c r="N38" s="70">
        <v>0</v>
      </c>
      <c r="O38" s="70">
        <v>0</v>
      </c>
      <c r="P38" s="70">
        <v>0</v>
      </c>
      <c r="Q38" s="70">
        <v>0</v>
      </c>
      <c r="R38" s="71">
        <f t="shared" si="29"/>
        <v>0</v>
      </c>
      <c r="S38" s="55"/>
      <c r="T38" s="72">
        <f t="shared" si="30"/>
        <v>0</v>
      </c>
      <c r="U38" s="73">
        <f t="shared" si="31"/>
        <v>0</v>
      </c>
    </row>
    <row r="39" spans="1:21">
      <c r="A39" s="49"/>
      <c r="B39" s="66" t="s">
        <v>139</v>
      </c>
      <c r="C39" s="67">
        <v>4060</v>
      </c>
      <c r="D39" s="68">
        <v>359.90000000000015</v>
      </c>
      <c r="E39" s="55"/>
      <c r="F39" s="69">
        <v>2</v>
      </c>
      <c r="G39" s="70">
        <v>2</v>
      </c>
      <c r="H39" s="70">
        <v>2</v>
      </c>
      <c r="I39" s="70">
        <v>2</v>
      </c>
      <c r="J39" s="70">
        <v>2</v>
      </c>
      <c r="K39" s="70">
        <v>2</v>
      </c>
      <c r="L39" s="70">
        <v>2</v>
      </c>
      <c r="M39" s="70">
        <v>2</v>
      </c>
      <c r="N39" s="70">
        <v>2</v>
      </c>
      <c r="O39" s="70">
        <v>2</v>
      </c>
      <c r="P39" s="70">
        <v>1</v>
      </c>
      <c r="Q39" s="70">
        <v>1</v>
      </c>
      <c r="R39" s="71">
        <f t="shared" si="29"/>
        <v>22</v>
      </c>
      <c r="S39" s="55"/>
      <c r="T39" s="72">
        <f t="shared" si="30"/>
        <v>89320</v>
      </c>
      <c r="U39" s="73">
        <f t="shared" si="31"/>
        <v>7917.8000000000029</v>
      </c>
    </row>
    <row r="40" spans="1:21">
      <c r="A40" s="49"/>
      <c r="B40" s="66" t="s">
        <v>140</v>
      </c>
      <c r="C40" s="67">
        <v>0</v>
      </c>
      <c r="D40" s="68">
        <v>0</v>
      </c>
      <c r="E40" s="55"/>
      <c r="F40" s="69">
        <v>0</v>
      </c>
      <c r="G40" s="70">
        <v>0</v>
      </c>
      <c r="H40" s="70">
        <v>0</v>
      </c>
      <c r="I40" s="70">
        <v>0</v>
      </c>
      <c r="J40" s="70">
        <v>0</v>
      </c>
      <c r="K40" s="70">
        <v>0</v>
      </c>
      <c r="L40" s="70">
        <v>0</v>
      </c>
      <c r="M40" s="70">
        <v>0</v>
      </c>
      <c r="N40" s="70">
        <v>0</v>
      </c>
      <c r="O40" s="70">
        <v>0</v>
      </c>
      <c r="P40" s="70">
        <v>0</v>
      </c>
      <c r="Q40" s="70">
        <v>0</v>
      </c>
      <c r="R40" s="71">
        <f t="shared" si="29"/>
        <v>0</v>
      </c>
      <c r="S40" s="55"/>
      <c r="T40" s="72">
        <f t="shared" si="30"/>
        <v>0</v>
      </c>
      <c r="U40" s="73">
        <f t="shared" si="31"/>
        <v>0</v>
      </c>
    </row>
    <row r="41" spans="1:21">
      <c r="A41" s="49"/>
      <c r="B41" s="66" t="s">
        <v>141</v>
      </c>
      <c r="C41" s="67">
        <v>3430</v>
      </c>
      <c r="D41" s="68">
        <v>359.9</v>
      </c>
      <c r="E41" s="55"/>
      <c r="F41" s="69">
        <v>7</v>
      </c>
      <c r="G41" s="70">
        <v>8</v>
      </c>
      <c r="H41" s="70">
        <v>7</v>
      </c>
      <c r="I41" s="70">
        <v>7</v>
      </c>
      <c r="J41" s="70">
        <v>8</v>
      </c>
      <c r="K41" s="70">
        <v>8</v>
      </c>
      <c r="L41" s="70">
        <v>8</v>
      </c>
      <c r="M41" s="70">
        <v>8</v>
      </c>
      <c r="N41" s="70">
        <v>8</v>
      </c>
      <c r="O41" s="70">
        <v>8</v>
      </c>
      <c r="P41" s="70">
        <v>6</v>
      </c>
      <c r="Q41" s="70">
        <v>7</v>
      </c>
      <c r="R41" s="71">
        <f t="shared" si="29"/>
        <v>90</v>
      </c>
      <c r="S41" s="55"/>
      <c r="T41" s="72">
        <f t="shared" si="30"/>
        <v>308700</v>
      </c>
      <c r="U41" s="73">
        <f t="shared" si="31"/>
        <v>32390.999999999996</v>
      </c>
    </row>
    <row r="42" spans="1:21">
      <c r="A42" s="49"/>
      <c r="B42" s="66" t="s">
        <v>142</v>
      </c>
      <c r="C42" s="67">
        <v>1584.2848780487805</v>
      </c>
      <c r="D42" s="68">
        <v>231.81073170731707</v>
      </c>
      <c r="E42" s="55"/>
      <c r="F42" s="69">
        <v>9</v>
      </c>
      <c r="G42" s="70">
        <v>10</v>
      </c>
      <c r="H42" s="70">
        <v>10</v>
      </c>
      <c r="I42" s="70">
        <v>9</v>
      </c>
      <c r="J42" s="70">
        <v>11</v>
      </c>
      <c r="K42" s="70">
        <v>10</v>
      </c>
      <c r="L42" s="70">
        <v>11</v>
      </c>
      <c r="M42" s="70">
        <v>11</v>
      </c>
      <c r="N42" s="70">
        <v>11</v>
      </c>
      <c r="O42" s="70">
        <v>11</v>
      </c>
      <c r="P42" s="70">
        <v>10</v>
      </c>
      <c r="Q42" s="70">
        <v>10</v>
      </c>
      <c r="R42" s="71">
        <f t="shared" si="29"/>
        <v>123</v>
      </c>
      <c r="S42" s="55"/>
      <c r="T42" s="72">
        <f t="shared" si="30"/>
        <v>194867.04</v>
      </c>
      <c r="U42" s="73">
        <f t="shared" si="31"/>
        <v>28512.720000000001</v>
      </c>
    </row>
    <row r="43" spans="1:21">
      <c r="A43" s="49"/>
      <c r="B43" s="66" t="s">
        <v>143</v>
      </c>
      <c r="C43" s="67">
        <v>0</v>
      </c>
      <c r="D43" s="68">
        <v>0</v>
      </c>
      <c r="E43" s="55"/>
      <c r="F43" s="69">
        <v>0</v>
      </c>
      <c r="G43" s="70">
        <v>0</v>
      </c>
      <c r="H43" s="70">
        <v>0</v>
      </c>
      <c r="I43" s="70">
        <v>0</v>
      </c>
      <c r="J43" s="70">
        <v>0</v>
      </c>
      <c r="K43" s="70">
        <v>0</v>
      </c>
      <c r="L43" s="70">
        <v>0</v>
      </c>
      <c r="M43" s="70">
        <v>0</v>
      </c>
      <c r="N43" s="70">
        <v>0</v>
      </c>
      <c r="O43" s="70">
        <v>0</v>
      </c>
      <c r="P43" s="70">
        <v>0</v>
      </c>
      <c r="Q43" s="70">
        <v>0</v>
      </c>
      <c r="R43" s="71">
        <f t="shared" si="29"/>
        <v>0</v>
      </c>
      <c r="S43" s="55"/>
      <c r="T43" s="72">
        <f t="shared" si="30"/>
        <v>0</v>
      </c>
      <c r="U43" s="73">
        <f t="shared" si="31"/>
        <v>0</v>
      </c>
    </row>
    <row r="44" spans="1:21">
      <c r="A44" s="49"/>
      <c r="B44" s="79" t="s">
        <v>146</v>
      </c>
      <c r="C44" s="80">
        <v>4686.7522259136213</v>
      </c>
      <c r="D44" s="81">
        <v>315.19225913621221</v>
      </c>
      <c r="E44" s="55"/>
      <c r="F44" s="82">
        <f>+F31+F18+F5</f>
        <v>88</v>
      </c>
      <c r="G44" s="83">
        <f t="shared" ref="G44:R44" si="32">+G31+G18+G5</f>
        <v>103</v>
      </c>
      <c r="H44" s="83">
        <f t="shared" si="32"/>
        <v>97</v>
      </c>
      <c r="I44" s="83">
        <f t="shared" si="32"/>
        <v>96</v>
      </c>
      <c r="J44" s="83">
        <f t="shared" si="32"/>
        <v>115</v>
      </c>
      <c r="K44" s="83">
        <f t="shared" si="32"/>
        <v>104</v>
      </c>
      <c r="L44" s="83">
        <f t="shared" si="32"/>
        <v>104</v>
      </c>
      <c r="M44" s="83">
        <f t="shared" si="32"/>
        <v>105</v>
      </c>
      <c r="N44" s="83">
        <f t="shared" si="32"/>
        <v>105</v>
      </c>
      <c r="O44" s="83">
        <f t="shared" si="32"/>
        <v>105</v>
      </c>
      <c r="P44" s="83">
        <f t="shared" si="32"/>
        <v>89</v>
      </c>
      <c r="Q44" s="83">
        <f t="shared" si="32"/>
        <v>93</v>
      </c>
      <c r="R44" s="84">
        <f t="shared" si="32"/>
        <v>1204</v>
      </c>
      <c r="S44" s="55"/>
      <c r="T44" s="85">
        <f>+T31+T18+T5</f>
        <v>5642849.6799999997</v>
      </c>
      <c r="U44" s="85">
        <f>+U31+U18+U5</f>
        <v>379491.48000000004</v>
      </c>
    </row>
    <row r="45" spans="1:21">
      <c r="A45" s="49"/>
      <c r="B45" s="86" t="s">
        <v>147</v>
      </c>
      <c r="C45" s="87">
        <v>41.767239866643273</v>
      </c>
      <c r="D45" s="88">
        <v>11.467822424986839</v>
      </c>
      <c r="E45" s="55"/>
      <c r="F45" s="89">
        <f>+SUM(F46:F53)</f>
        <v>924</v>
      </c>
      <c r="G45" s="90">
        <f t="shared" ref="G45:R45" si="33">+SUM(G46:G53)</f>
        <v>929</v>
      </c>
      <c r="H45" s="90">
        <f t="shared" si="33"/>
        <v>929</v>
      </c>
      <c r="I45" s="90">
        <f t="shared" si="33"/>
        <v>935</v>
      </c>
      <c r="J45" s="90">
        <f t="shared" si="33"/>
        <v>935</v>
      </c>
      <c r="K45" s="90">
        <f t="shared" si="33"/>
        <v>954</v>
      </c>
      <c r="L45" s="90">
        <f t="shared" si="33"/>
        <v>954</v>
      </c>
      <c r="M45" s="90">
        <f t="shared" si="33"/>
        <v>964</v>
      </c>
      <c r="N45" s="90">
        <f t="shared" si="33"/>
        <v>971</v>
      </c>
      <c r="O45" s="90">
        <f t="shared" si="33"/>
        <v>971</v>
      </c>
      <c r="P45" s="90">
        <f t="shared" si="33"/>
        <v>966</v>
      </c>
      <c r="Q45" s="90">
        <f t="shared" si="33"/>
        <v>966</v>
      </c>
      <c r="R45" s="91">
        <f t="shared" si="33"/>
        <v>11398</v>
      </c>
      <c r="S45" s="55"/>
      <c r="T45" s="92">
        <f>+SUM(T46:T53)</f>
        <v>476063</v>
      </c>
      <c r="U45" s="92">
        <f>+SUM(U46:U53)</f>
        <v>130710.23999999999</v>
      </c>
    </row>
    <row r="46" spans="1:21">
      <c r="A46" s="49"/>
      <c r="B46" s="93" t="s">
        <v>148</v>
      </c>
      <c r="C46" s="67">
        <v>24</v>
      </c>
      <c r="D46" s="68">
        <v>7.4599999999999991</v>
      </c>
      <c r="E46" s="55"/>
      <c r="F46" s="69">
        <v>820</v>
      </c>
      <c r="G46" s="70">
        <v>820</v>
      </c>
      <c r="H46" s="70">
        <v>820</v>
      </c>
      <c r="I46" s="70">
        <v>820</v>
      </c>
      <c r="J46" s="70">
        <v>820</v>
      </c>
      <c r="K46" s="70">
        <v>820</v>
      </c>
      <c r="L46" s="70">
        <v>820</v>
      </c>
      <c r="M46" s="70">
        <v>820</v>
      </c>
      <c r="N46" s="70">
        <v>820</v>
      </c>
      <c r="O46" s="70">
        <v>820</v>
      </c>
      <c r="P46" s="70">
        <v>820</v>
      </c>
      <c r="Q46" s="70">
        <v>820</v>
      </c>
      <c r="R46" s="71">
        <v>9840</v>
      </c>
      <c r="S46" s="55"/>
      <c r="T46" s="72">
        <f t="shared" ref="T46:T53" si="34">+SUM(F46:Q46)*C46</f>
        <v>236160</v>
      </c>
      <c r="U46" s="73">
        <f t="shared" ref="U46:U53" si="35">+SUM(F46:Q46)*D46</f>
        <v>73406.399999999994</v>
      </c>
    </row>
    <row r="47" spans="1:21">
      <c r="A47" s="49"/>
      <c r="B47" s="93" t="s">
        <v>149</v>
      </c>
      <c r="C47" s="67">
        <v>0</v>
      </c>
      <c r="D47" s="68">
        <v>0</v>
      </c>
      <c r="E47" s="55"/>
      <c r="F47" s="69">
        <v>0</v>
      </c>
      <c r="G47" s="70">
        <v>0</v>
      </c>
      <c r="H47" s="70">
        <v>0</v>
      </c>
      <c r="I47" s="70">
        <v>0</v>
      </c>
      <c r="J47" s="70">
        <v>0</v>
      </c>
      <c r="K47" s="70">
        <v>0</v>
      </c>
      <c r="L47" s="70">
        <v>0</v>
      </c>
      <c r="M47" s="70">
        <v>0</v>
      </c>
      <c r="N47" s="70">
        <v>0</v>
      </c>
      <c r="O47" s="70">
        <v>0</v>
      </c>
      <c r="P47" s="70">
        <v>0</v>
      </c>
      <c r="Q47" s="70">
        <v>0</v>
      </c>
      <c r="R47" s="71">
        <v>0</v>
      </c>
      <c r="S47" s="55"/>
      <c r="T47" s="72">
        <f t="shared" si="34"/>
        <v>0</v>
      </c>
      <c r="U47" s="73">
        <f t="shared" si="35"/>
        <v>0</v>
      </c>
    </row>
    <row r="48" spans="1:21">
      <c r="A48" s="49"/>
      <c r="B48" s="93" t="s">
        <v>150</v>
      </c>
      <c r="C48" s="67">
        <v>0</v>
      </c>
      <c r="D48" s="68">
        <v>0</v>
      </c>
      <c r="E48" s="55"/>
      <c r="F48" s="69">
        <v>0</v>
      </c>
      <c r="G48" s="70">
        <v>0</v>
      </c>
      <c r="H48" s="70">
        <v>0</v>
      </c>
      <c r="I48" s="70">
        <v>0</v>
      </c>
      <c r="J48" s="70">
        <v>0</v>
      </c>
      <c r="K48" s="70">
        <v>0</v>
      </c>
      <c r="L48" s="70">
        <v>0</v>
      </c>
      <c r="M48" s="70">
        <v>0</v>
      </c>
      <c r="N48" s="70">
        <v>0</v>
      </c>
      <c r="O48" s="70">
        <v>0</v>
      </c>
      <c r="P48" s="70">
        <v>0</v>
      </c>
      <c r="Q48" s="70">
        <v>0</v>
      </c>
      <c r="R48" s="71">
        <v>0</v>
      </c>
      <c r="S48" s="55"/>
      <c r="T48" s="72">
        <f t="shared" si="34"/>
        <v>0</v>
      </c>
      <c r="U48" s="73">
        <f t="shared" si="35"/>
        <v>0</v>
      </c>
    </row>
    <row r="49" spans="1:21">
      <c r="A49" s="49"/>
      <c r="B49" s="93" t="s">
        <v>151</v>
      </c>
      <c r="C49" s="67">
        <v>0</v>
      </c>
      <c r="D49" s="68">
        <v>0</v>
      </c>
      <c r="E49" s="55"/>
      <c r="F49" s="69">
        <v>0</v>
      </c>
      <c r="G49" s="70">
        <v>0</v>
      </c>
      <c r="H49" s="70">
        <v>0</v>
      </c>
      <c r="I49" s="70">
        <v>0</v>
      </c>
      <c r="J49" s="70">
        <v>0</v>
      </c>
      <c r="K49" s="70">
        <v>0</v>
      </c>
      <c r="L49" s="70">
        <v>0</v>
      </c>
      <c r="M49" s="70">
        <v>0</v>
      </c>
      <c r="N49" s="70">
        <v>0</v>
      </c>
      <c r="O49" s="70">
        <v>0</v>
      </c>
      <c r="P49" s="70">
        <v>0</v>
      </c>
      <c r="Q49" s="70">
        <v>0</v>
      </c>
      <c r="R49" s="71">
        <v>0</v>
      </c>
      <c r="S49" s="55"/>
      <c r="T49" s="72">
        <f t="shared" si="34"/>
        <v>0</v>
      </c>
      <c r="U49" s="73">
        <f t="shared" si="35"/>
        <v>0</v>
      </c>
    </row>
    <row r="50" spans="1:21">
      <c r="A50" s="49"/>
      <c r="B50" s="93" t="s">
        <v>152</v>
      </c>
      <c r="C50" s="67">
        <v>800</v>
      </c>
      <c r="D50" s="68">
        <v>119.87999999999995</v>
      </c>
      <c r="E50" s="55"/>
      <c r="F50" s="69">
        <v>4</v>
      </c>
      <c r="G50" s="70">
        <v>4</v>
      </c>
      <c r="H50" s="70">
        <v>4</v>
      </c>
      <c r="I50" s="70">
        <v>4</v>
      </c>
      <c r="J50" s="70">
        <v>4</v>
      </c>
      <c r="K50" s="70">
        <v>4</v>
      </c>
      <c r="L50" s="70">
        <v>4</v>
      </c>
      <c r="M50" s="70">
        <v>4</v>
      </c>
      <c r="N50" s="70">
        <v>4</v>
      </c>
      <c r="O50" s="70">
        <v>4</v>
      </c>
      <c r="P50" s="70">
        <v>4</v>
      </c>
      <c r="Q50" s="70">
        <v>4</v>
      </c>
      <c r="R50" s="71">
        <v>48</v>
      </c>
      <c r="S50" s="55"/>
      <c r="T50" s="72">
        <f t="shared" si="34"/>
        <v>38400</v>
      </c>
      <c r="U50" s="73">
        <f t="shared" si="35"/>
        <v>5754.239999999998</v>
      </c>
    </row>
    <row r="51" spans="1:21">
      <c r="A51" s="49"/>
      <c r="B51" s="93" t="s">
        <v>153</v>
      </c>
      <c r="C51" s="67">
        <v>2167.4499999999998</v>
      </c>
      <c r="D51" s="68">
        <v>775.30166666666673</v>
      </c>
      <c r="E51" s="55"/>
      <c r="F51" s="69">
        <v>5</v>
      </c>
      <c r="G51" s="70">
        <v>5</v>
      </c>
      <c r="H51" s="70">
        <v>5</v>
      </c>
      <c r="I51" s="70">
        <v>5</v>
      </c>
      <c r="J51" s="70">
        <v>5</v>
      </c>
      <c r="K51" s="70">
        <v>5</v>
      </c>
      <c r="L51" s="70">
        <v>5</v>
      </c>
      <c r="M51" s="70">
        <v>5</v>
      </c>
      <c r="N51" s="70">
        <v>5</v>
      </c>
      <c r="O51" s="70">
        <v>5</v>
      </c>
      <c r="P51" s="70">
        <v>5</v>
      </c>
      <c r="Q51" s="70">
        <v>5</v>
      </c>
      <c r="R51" s="71">
        <v>60</v>
      </c>
      <c r="S51" s="55"/>
      <c r="T51" s="72">
        <f t="shared" si="34"/>
        <v>130046.99999999999</v>
      </c>
      <c r="U51" s="73">
        <f t="shared" si="35"/>
        <v>46518.100000000006</v>
      </c>
    </row>
    <row r="52" spans="1:21">
      <c r="A52" s="49"/>
      <c r="B52" s="93" t="s">
        <v>154</v>
      </c>
      <c r="C52" s="67">
        <v>0</v>
      </c>
      <c r="D52" s="68">
        <v>0</v>
      </c>
      <c r="E52" s="55"/>
      <c r="F52" s="69">
        <v>0</v>
      </c>
      <c r="G52" s="70">
        <v>0</v>
      </c>
      <c r="H52" s="70">
        <v>0</v>
      </c>
      <c r="I52" s="70">
        <v>0</v>
      </c>
      <c r="J52" s="70">
        <v>0</v>
      </c>
      <c r="K52" s="70">
        <v>0</v>
      </c>
      <c r="L52" s="70">
        <v>0</v>
      </c>
      <c r="M52" s="70">
        <v>0</v>
      </c>
      <c r="N52" s="70">
        <v>0</v>
      </c>
      <c r="O52" s="70">
        <v>0</v>
      </c>
      <c r="P52" s="70">
        <v>0</v>
      </c>
      <c r="Q52" s="70">
        <v>0</v>
      </c>
      <c r="R52" s="71">
        <v>0</v>
      </c>
      <c r="S52" s="55"/>
      <c r="T52" s="72">
        <f t="shared" si="34"/>
        <v>0</v>
      </c>
      <c r="U52" s="73">
        <f t="shared" si="35"/>
        <v>0</v>
      </c>
    </row>
    <row r="53" spans="1:21">
      <c r="A53" s="49"/>
      <c r="B53" s="93" t="s">
        <v>155</v>
      </c>
      <c r="C53" s="67">
        <v>49.28</v>
      </c>
      <c r="D53" s="68">
        <v>3.47</v>
      </c>
      <c r="E53" s="55"/>
      <c r="F53" s="69">
        <v>95</v>
      </c>
      <c r="G53" s="70">
        <v>100</v>
      </c>
      <c r="H53" s="70">
        <v>100</v>
      </c>
      <c r="I53" s="70">
        <v>106</v>
      </c>
      <c r="J53" s="70">
        <v>106</v>
      </c>
      <c r="K53" s="70">
        <v>125</v>
      </c>
      <c r="L53" s="70">
        <v>125</v>
      </c>
      <c r="M53" s="70">
        <v>135</v>
      </c>
      <c r="N53" s="70">
        <v>142</v>
      </c>
      <c r="O53" s="70">
        <v>142</v>
      </c>
      <c r="P53" s="70">
        <v>137</v>
      </c>
      <c r="Q53" s="70">
        <v>137</v>
      </c>
      <c r="R53" s="71">
        <v>1450</v>
      </c>
      <c r="S53" s="55"/>
      <c r="T53" s="72">
        <f t="shared" si="34"/>
        <v>71456</v>
      </c>
      <c r="U53" s="73">
        <f t="shared" si="35"/>
        <v>5031.5</v>
      </c>
    </row>
    <row r="54" spans="1:21" ht="12" thickBot="1">
      <c r="A54" s="49"/>
      <c r="B54" s="94" t="s">
        <v>156</v>
      </c>
      <c r="C54" s="95"/>
      <c r="D54" s="96"/>
      <c r="E54" s="55"/>
      <c r="F54" s="97">
        <f>+F45+F44</f>
        <v>1012</v>
      </c>
      <c r="G54" s="98">
        <f t="shared" ref="G54:R54" si="36">+G45+G44</f>
        <v>1032</v>
      </c>
      <c r="H54" s="98">
        <f t="shared" si="36"/>
        <v>1026</v>
      </c>
      <c r="I54" s="98">
        <f t="shared" si="36"/>
        <v>1031</v>
      </c>
      <c r="J54" s="98">
        <f t="shared" si="36"/>
        <v>1050</v>
      </c>
      <c r="K54" s="98">
        <f t="shared" si="36"/>
        <v>1058</v>
      </c>
      <c r="L54" s="98">
        <f t="shared" si="36"/>
        <v>1058</v>
      </c>
      <c r="M54" s="98">
        <f t="shared" si="36"/>
        <v>1069</v>
      </c>
      <c r="N54" s="98">
        <f t="shared" si="36"/>
        <v>1076</v>
      </c>
      <c r="O54" s="98">
        <f t="shared" si="36"/>
        <v>1076</v>
      </c>
      <c r="P54" s="98">
        <f t="shared" si="36"/>
        <v>1055</v>
      </c>
      <c r="Q54" s="98">
        <f t="shared" si="36"/>
        <v>1059</v>
      </c>
      <c r="R54" s="99">
        <f t="shared" si="36"/>
        <v>12602</v>
      </c>
      <c r="S54" s="55"/>
      <c r="T54" s="100">
        <f>+T45+T44</f>
        <v>6118912.6799999997</v>
      </c>
      <c r="U54" s="100">
        <f>+U45+U44</f>
        <v>510201.72000000003</v>
      </c>
    </row>
    <row r="55" spans="1:21">
      <c r="A55" s="49"/>
      <c r="B55" s="101"/>
      <c r="C55" s="101"/>
      <c r="D55" s="101"/>
      <c r="E55" s="102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4"/>
      <c r="T55" s="105"/>
      <c r="U55" s="74"/>
    </row>
    <row r="56" spans="1:21" ht="12" thickBot="1"/>
    <row r="57" spans="1:21">
      <c r="B57" s="273" t="s">
        <v>212</v>
      </c>
      <c r="C57" s="275" t="s">
        <v>114</v>
      </c>
      <c r="D57" s="277" t="s">
        <v>115</v>
      </c>
      <c r="E57" s="55"/>
      <c r="F57" s="279" t="s">
        <v>116</v>
      </c>
      <c r="G57" s="280"/>
      <c r="H57" s="280"/>
      <c r="I57" s="280"/>
      <c r="J57" s="280"/>
      <c r="K57" s="280"/>
      <c r="L57" s="280"/>
      <c r="M57" s="280"/>
      <c r="N57" s="280"/>
      <c r="O57" s="280"/>
      <c r="P57" s="280"/>
      <c r="Q57" s="281"/>
      <c r="R57" s="275" t="s">
        <v>117</v>
      </c>
      <c r="S57" s="55"/>
      <c r="T57" s="269" t="s">
        <v>118</v>
      </c>
      <c r="U57" s="271" t="s">
        <v>210</v>
      </c>
    </row>
    <row r="58" spans="1:21" ht="12" thickBot="1">
      <c r="B58" s="274"/>
      <c r="C58" s="276"/>
      <c r="D58" s="278"/>
      <c r="E58" s="55"/>
      <c r="F58" s="56" t="s">
        <v>119</v>
      </c>
      <c r="G58" s="57" t="s">
        <v>120</v>
      </c>
      <c r="H58" s="57" t="s">
        <v>121</v>
      </c>
      <c r="I58" s="57" t="s">
        <v>122</v>
      </c>
      <c r="J58" s="57" t="s">
        <v>123</v>
      </c>
      <c r="K58" s="57" t="s">
        <v>124</v>
      </c>
      <c r="L58" s="57" t="s">
        <v>125</v>
      </c>
      <c r="M58" s="57" t="s">
        <v>126</v>
      </c>
      <c r="N58" s="57" t="s">
        <v>127</v>
      </c>
      <c r="O58" s="57" t="s">
        <v>128</v>
      </c>
      <c r="P58" s="57" t="s">
        <v>129</v>
      </c>
      <c r="Q58" s="57" t="s">
        <v>130</v>
      </c>
      <c r="R58" s="276"/>
      <c r="S58" s="55"/>
      <c r="T58" s="270"/>
      <c r="U58" s="272"/>
    </row>
    <row r="59" spans="1:21">
      <c r="B59" s="58" t="s">
        <v>131</v>
      </c>
      <c r="C59" s="59">
        <v>5231.0116822429909</v>
      </c>
      <c r="D59" s="60">
        <v>261.95999999999975</v>
      </c>
      <c r="E59" s="55"/>
      <c r="F59" s="61">
        <f>+SUM(F60:F71)</f>
        <v>40</v>
      </c>
      <c r="G59" s="62">
        <f t="shared" ref="G59" si="37">+SUM(G60:G71)</f>
        <v>50</v>
      </c>
      <c r="H59" s="62">
        <f t="shared" ref="H59" si="38">+SUM(H60:H71)</f>
        <v>46</v>
      </c>
      <c r="I59" s="62">
        <f t="shared" ref="I59" si="39">+SUM(I60:I71)</f>
        <v>46</v>
      </c>
      <c r="J59" s="62">
        <f t="shared" ref="J59" si="40">+SUM(J60:J71)</f>
        <v>57</v>
      </c>
      <c r="K59" s="62">
        <f t="shared" ref="K59" si="41">+SUM(K60:K71)</f>
        <v>50</v>
      </c>
      <c r="L59" s="62">
        <f t="shared" ref="L59" si="42">+SUM(L60:L71)</f>
        <v>47</v>
      </c>
      <c r="M59" s="62">
        <f t="shared" ref="M59" si="43">+SUM(M60:M71)</f>
        <v>47</v>
      </c>
      <c r="N59" s="62">
        <f t="shared" ref="N59" si="44">+SUM(N60:N71)</f>
        <v>47</v>
      </c>
      <c r="O59" s="62">
        <f t="shared" ref="O59" si="45">+SUM(O60:O71)</f>
        <v>47</v>
      </c>
      <c r="P59" s="62">
        <f t="shared" ref="P59" si="46">+SUM(P60:P71)</f>
        <v>40</v>
      </c>
      <c r="Q59" s="62">
        <f t="shared" ref="Q59" si="47">+SUM(Q60:Q71)</f>
        <v>43</v>
      </c>
      <c r="R59" s="63">
        <f t="shared" ref="R59" si="48">+SUM(R60:R71)</f>
        <v>483</v>
      </c>
      <c r="S59" s="55"/>
      <c r="T59" s="64">
        <f>+SUM(T60:T71)</f>
        <v>2651196.9750000001</v>
      </c>
      <c r="U59" s="65">
        <f>+SUM(U60:U71)</f>
        <v>126526.68</v>
      </c>
    </row>
    <row r="60" spans="1:21">
      <c r="B60" s="66" t="s">
        <v>132</v>
      </c>
      <c r="C60" s="67">
        <f>+C6*1.05</f>
        <v>6328.35</v>
      </c>
      <c r="D60" s="68">
        <v>261.95999999999992</v>
      </c>
      <c r="E60" s="55"/>
      <c r="F60" s="69">
        <f>ROUNDUP(F6*1.15,0)</f>
        <v>4</v>
      </c>
      <c r="G60" s="70">
        <f t="shared" ref="G60:Q60" si="49">ROUNDUP(G6*1.15,0)</f>
        <v>5</v>
      </c>
      <c r="H60" s="70">
        <f t="shared" si="49"/>
        <v>4</v>
      </c>
      <c r="I60" s="70">
        <f t="shared" si="49"/>
        <v>5</v>
      </c>
      <c r="J60" s="70">
        <f t="shared" si="49"/>
        <v>6</v>
      </c>
      <c r="K60" s="70">
        <f t="shared" si="49"/>
        <v>5</v>
      </c>
      <c r="L60" s="70">
        <f t="shared" si="49"/>
        <v>5</v>
      </c>
      <c r="M60" s="70">
        <f t="shared" si="49"/>
        <v>5</v>
      </c>
      <c r="N60" s="70">
        <f t="shared" si="49"/>
        <v>5</v>
      </c>
      <c r="O60" s="70">
        <f t="shared" si="49"/>
        <v>5</v>
      </c>
      <c r="P60" s="70">
        <f t="shared" si="49"/>
        <v>5</v>
      </c>
      <c r="Q60" s="70">
        <f t="shared" si="49"/>
        <v>5</v>
      </c>
      <c r="R60" s="71">
        <f>ROUNDUP(R6*1.12,0)</f>
        <v>53</v>
      </c>
      <c r="S60" s="55"/>
      <c r="T60" s="72">
        <f>+R60*C60</f>
        <v>335402.55000000005</v>
      </c>
      <c r="U60" s="193">
        <f>+R60*D60</f>
        <v>13883.879999999996</v>
      </c>
    </row>
    <row r="61" spans="1:21">
      <c r="B61" s="66" t="s">
        <v>133</v>
      </c>
      <c r="C61" s="67">
        <f t="shared" ref="C61:C71" si="50">+C7*1.05</f>
        <v>6328.35</v>
      </c>
      <c r="D61" s="68">
        <v>261.95999999999987</v>
      </c>
      <c r="E61" s="55"/>
      <c r="F61" s="69">
        <f t="shared" ref="F61:Q61" si="51">ROUNDUP(F7*1.15,0)</f>
        <v>11</v>
      </c>
      <c r="G61" s="70">
        <f t="shared" si="51"/>
        <v>12</v>
      </c>
      <c r="H61" s="70">
        <f t="shared" si="51"/>
        <v>11</v>
      </c>
      <c r="I61" s="70">
        <f t="shared" si="51"/>
        <v>12</v>
      </c>
      <c r="J61" s="70">
        <f t="shared" si="51"/>
        <v>14</v>
      </c>
      <c r="K61" s="70">
        <f t="shared" si="51"/>
        <v>12</v>
      </c>
      <c r="L61" s="70">
        <f t="shared" si="51"/>
        <v>12</v>
      </c>
      <c r="M61" s="70">
        <f t="shared" si="51"/>
        <v>12</v>
      </c>
      <c r="N61" s="70">
        <f t="shared" si="51"/>
        <v>12</v>
      </c>
      <c r="O61" s="70">
        <f t="shared" si="51"/>
        <v>12</v>
      </c>
      <c r="P61" s="70">
        <f t="shared" si="51"/>
        <v>10</v>
      </c>
      <c r="Q61" s="70">
        <f t="shared" si="51"/>
        <v>10</v>
      </c>
      <c r="R61" s="71">
        <f t="shared" ref="R61:R71" si="52">ROUNDUP(R7*1.12,0)</f>
        <v>130</v>
      </c>
      <c r="S61" s="55"/>
      <c r="T61" s="72">
        <f t="shared" ref="T61:T71" si="53">+R61*C61</f>
        <v>822685.5</v>
      </c>
      <c r="U61" s="193">
        <f t="shared" ref="U61:U71" si="54">+R61*D61</f>
        <v>34054.799999999981</v>
      </c>
    </row>
    <row r="62" spans="1:21">
      <c r="B62" s="66" t="s">
        <v>134</v>
      </c>
      <c r="C62" s="67">
        <f t="shared" si="50"/>
        <v>6204.45</v>
      </c>
      <c r="D62" s="68">
        <v>261.96000000000004</v>
      </c>
      <c r="E62" s="55"/>
      <c r="F62" s="69">
        <f t="shared" ref="F62:Q62" si="55">ROUNDUP(F8*1.15,0)</f>
        <v>2</v>
      </c>
      <c r="G62" s="70">
        <f t="shared" si="55"/>
        <v>3</v>
      </c>
      <c r="H62" s="70">
        <f t="shared" si="55"/>
        <v>3</v>
      </c>
      <c r="I62" s="70">
        <f t="shared" si="55"/>
        <v>2</v>
      </c>
      <c r="J62" s="70">
        <f t="shared" si="55"/>
        <v>3</v>
      </c>
      <c r="K62" s="70">
        <f t="shared" si="55"/>
        <v>3</v>
      </c>
      <c r="L62" s="70">
        <f t="shared" si="55"/>
        <v>2</v>
      </c>
      <c r="M62" s="70">
        <f t="shared" si="55"/>
        <v>2</v>
      </c>
      <c r="N62" s="70">
        <f t="shared" si="55"/>
        <v>2</v>
      </c>
      <c r="O62" s="70">
        <f t="shared" si="55"/>
        <v>2</v>
      </c>
      <c r="P62" s="70">
        <f t="shared" si="55"/>
        <v>2</v>
      </c>
      <c r="Q62" s="70">
        <f t="shared" si="55"/>
        <v>2</v>
      </c>
      <c r="R62" s="71">
        <f t="shared" si="52"/>
        <v>18</v>
      </c>
      <c r="S62" s="55"/>
      <c r="T62" s="72">
        <f t="shared" si="53"/>
        <v>111680.09999999999</v>
      </c>
      <c r="U62" s="193">
        <f t="shared" si="54"/>
        <v>4715.2800000000007</v>
      </c>
    </row>
    <row r="63" spans="1:21">
      <c r="B63" s="66" t="s">
        <v>135</v>
      </c>
      <c r="C63" s="67">
        <f t="shared" si="50"/>
        <v>6204.45</v>
      </c>
      <c r="D63" s="68">
        <v>261.96000000000004</v>
      </c>
      <c r="E63" s="55"/>
      <c r="F63" s="69">
        <f t="shared" ref="F63:Q63" si="56">ROUNDUP(F9*1.15,0)</f>
        <v>3</v>
      </c>
      <c r="G63" s="70">
        <f t="shared" si="56"/>
        <v>3</v>
      </c>
      <c r="H63" s="70">
        <f t="shared" si="56"/>
        <v>3</v>
      </c>
      <c r="I63" s="70">
        <f t="shared" si="56"/>
        <v>3</v>
      </c>
      <c r="J63" s="70">
        <f t="shared" si="56"/>
        <v>4</v>
      </c>
      <c r="K63" s="70">
        <f t="shared" si="56"/>
        <v>4</v>
      </c>
      <c r="L63" s="70">
        <f t="shared" si="56"/>
        <v>4</v>
      </c>
      <c r="M63" s="70">
        <f t="shared" si="56"/>
        <v>4</v>
      </c>
      <c r="N63" s="70">
        <f t="shared" si="56"/>
        <v>4</v>
      </c>
      <c r="O63" s="70">
        <f t="shared" si="56"/>
        <v>4</v>
      </c>
      <c r="P63" s="70">
        <f t="shared" si="56"/>
        <v>4</v>
      </c>
      <c r="Q63" s="70">
        <f t="shared" si="56"/>
        <v>4</v>
      </c>
      <c r="R63" s="71">
        <f t="shared" si="52"/>
        <v>36</v>
      </c>
      <c r="S63" s="55"/>
      <c r="T63" s="72">
        <f t="shared" si="53"/>
        <v>223360.19999999998</v>
      </c>
      <c r="U63" s="193">
        <f t="shared" si="54"/>
        <v>9430.5600000000013</v>
      </c>
    </row>
    <row r="64" spans="1:21">
      <c r="B64" s="66" t="s">
        <v>136</v>
      </c>
      <c r="C64" s="67">
        <f t="shared" si="50"/>
        <v>5336.625</v>
      </c>
      <c r="D64" s="68">
        <v>261.95999999999987</v>
      </c>
      <c r="E64" s="55"/>
      <c r="F64" s="69">
        <f t="shared" ref="F64:Q64" si="57">ROUNDUP(F10*1.15,0)</f>
        <v>5</v>
      </c>
      <c r="G64" s="70">
        <f t="shared" si="57"/>
        <v>7</v>
      </c>
      <c r="H64" s="70">
        <f t="shared" si="57"/>
        <v>7</v>
      </c>
      <c r="I64" s="70">
        <f t="shared" si="57"/>
        <v>7</v>
      </c>
      <c r="J64" s="70">
        <f t="shared" si="57"/>
        <v>9</v>
      </c>
      <c r="K64" s="70">
        <f t="shared" si="57"/>
        <v>7</v>
      </c>
      <c r="L64" s="70">
        <f t="shared" si="57"/>
        <v>7</v>
      </c>
      <c r="M64" s="70">
        <f t="shared" si="57"/>
        <v>7</v>
      </c>
      <c r="N64" s="70">
        <f t="shared" si="57"/>
        <v>7</v>
      </c>
      <c r="O64" s="70">
        <f t="shared" si="57"/>
        <v>7</v>
      </c>
      <c r="P64" s="70">
        <f t="shared" si="57"/>
        <v>6</v>
      </c>
      <c r="Q64" s="70">
        <f t="shared" si="57"/>
        <v>6</v>
      </c>
      <c r="R64" s="71">
        <f t="shared" si="52"/>
        <v>78</v>
      </c>
      <c r="S64" s="55"/>
      <c r="T64" s="72">
        <f t="shared" si="53"/>
        <v>416256.75</v>
      </c>
      <c r="U64" s="193">
        <f t="shared" si="54"/>
        <v>20432.87999999999</v>
      </c>
    </row>
    <row r="65" spans="2:21">
      <c r="B65" s="66" t="s">
        <v>137</v>
      </c>
      <c r="C65" s="67">
        <f t="shared" si="50"/>
        <v>5336.625</v>
      </c>
      <c r="D65" s="68">
        <v>261.96000000000026</v>
      </c>
      <c r="E65" s="55"/>
      <c r="F65" s="69">
        <f t="shared" ref="F65:Q65" si="58">ROUNDUP(F11*1.15,0)</f>
        <v>5</v>
      </c>
      <c r="G65" s="70">
        <f t="shared" si="58"/>
        <v>7</v>
      </c>
      <c r="H65" s="70">
        <f t="shared" si="58"/>
        <v>6</v>
      </c>
      <c r="I65" s="70">
        <f t="shared" si="58"/>
        <v>6</v>
      </c>
      <c r="J65" s="70">
        <f t="shared" si="58"/>
        <v>7</v>
      </c>
      <c r="K65" s="70">
        <f t="shared" si="58"/>
        <v>6</v>
      </c>
      <c r="L65" s="70">
        <f t="shared" si="58"/>
        <v>6</v>
      </c>
      <c r="M65" s="70">
        <f t="shared" si="58"/>
        <v>6</v>
      </c>
      <c r="N65" s="70">
        <f t="shared" si="58"/>
        <v>6</v>
      </c>
      <c r="O65" s="70">
        <f t="shared" si="58"/>
        <v>6</v>
      </c>
      <c r="P65" s="70">
        <f t="shared" si="58"/>
        <v>5</v>
      </c>
      <c r="Q65" s="70">
        <f t="shared" si="58"/>
        <v>5</v>
      </c>
      <c r="R65" s="71">
        <f t="shared" si="52"/>
        <v>67</v>
      </c>
      <c r="S65" s="55"/>
      <c r="T65" s="72">
        <f t="shared" si="53"/>
        <v>357553.875</v>
      </c>
      <c r="U65" s="193">
        <f t="shared" si="54"/>
        <v>17551.320000000018</v>
      </c>
    </row>
    <row r="66" spans="2:21">
      <c r="B66" s="66" t="s">
        <v>138</v>
      </c>
      <c r="C66" s="67">
        <f t="shared" si="50"/>
        <v>4263</v>
      </c>
      <c r="D66" s="68">
        <v>261.95999999999981</v>
      </c>
      <c r="E66" s="55"/>
      <c r="F66" s="69">
        <f t="shared" ref="F66:Q66" si="59">ROUNDUP(F12*1.15,0)</f>
        <v>2</v>
      </c>
      <c r="G66" s="70">
        <f t="shared" si="59"/>
        <v>2</v>
      </c>
      <c r="H66" s="70">
        <f t="shared" si="59"/>
        <v>2</v>
      </c>
      <c r="I66" s="70">
        <f t="shared" si="59"/>
        <v>2</v>
      </c>
      <c r="J66" s="70">
        <f t="shared" si="59"/>
        <v>2</v>
      </c>
      <c r="K66" s="70">
        <f t="shared" si="59"/>
        <v>2</v>
      </c>
      <c r="L66" s="70">
        <f t="shared" si="59"/>
        <v>2</v>
      </c>
      <c r="M66" s="70">
        <f t="shared" si="59"/>
        <v>2</v>
      </c>
      <c r="N66" s="70">
        <f t="shared" si="59"/>
        <v>2</v>
      </c>
      <c r="O66" s="70">
        <f t="shared" si="59"/>
        <v>2</v>
      </c>
      <c r="P66" s="70">
        <f t="shared" si="59"/>
        <v>0</v>
      </c>
      <c r="Q66" s="70">
        <f t="shared" si="59"/>
        <v>2</v>
      </c>
      <c r="R66" s="71">
        <f t="shared" si="52"/>
        <v>13</v>
      </c>
      <c r="S66" s="55"/>
      <c r="T66" s="72">
        <f t="shared" si="53"/>
        <v>55419</v>
      </c>
      <c r="U66" s="193">
        <f t="shared" si="54"/>
        <v>3405.4799999999977</v>
      </c>
    </row>
    <row r="67" spans="2:21">
      <c r="B67" s="66" t="s">
        <v>139</v>
      </c>
      <c r="C67" s="67">
        <f t="shared" si="50"/>
        <v>4263</v>
      </c>
      <c r="D67" s="68">
        <v>261.96000000000004</v>
      </c>
      <c r="E67" s="55"/>
      <c r="F67" s="69">
        <f t="shared" ref="F67:Q67" si="60">ROUNDUP(F13*1.15,0)</f>
        <v>2</v>
      </c>
      <c r="G67" s="70">
        <f t="shared" si="60"/>
        <v>3</v>
      </c>
      <c r="H67" s="70">
        <f t="shared" si="60"/>
        <v>3</v>
      </c>
      <c r="I67" s="70">
        <f t="shared" si="60"/>
        <v>2</v>
      </c>
      <c r="J67" s="70">
        <f t="shared" si="60"/>
        <v>3</v>
      </c>
      <c r="K67" s="70">
        <f t="shared" si="60"/>
        <v>3</v>
      </c>
      <c r="L67" s="70">
        <f t="shared" si="60"/>
        <v>2</v>
      </c>
      <c r="M67" s="70">
        <f t="shared" si="60"/>
        <v>2</v>
      </c>
      <c r="N67" s="70">
        <f t="shared" si="60"/>
        <v>2</v>
      </c>
      <c r="O67" s="70">
        <f t="shared" si="60"/>
        <v>2</v>
      </c>
      <c r="P67" s="70">
        <f t="shared" si="60"/>
        <v>2</v>
      </c>
      <c r="Q67" s="70">
        <f t="shared" si="60"/>
        <v>2</v>
      </c>
      <c r="R67" s="71">
        <f t="shared" si="52"/>
        <v>18</v>
      </c>
      <c r="S67" s="55"/>
      <c r="T67" s="72">
        <f t="shared" si="53"/>
        <v>76734</v>
      </c>
      <c r="U67" s="193">
        <f t="shared" si="54"/>
        <v>4715.2800000000007</v>
      </c>
    </row>
    <row r="68" spans="2:21">
      <c r="B68" s="66" t="s">
        <v>140</v>
      </c>
      <c r="C68" s="67">
        <f t="shared" si="50"/>
        <v>3601.5</v>
      </c>
      <c r="D68" s="68">
        <v>261.96000000000009</v>
      </c>
      <c r="E68" s="55"/>
      <c r="F68" s="69">
        <f t="shared" ref="F68:Q68" si="61">ROUNDUP(F14*1.15,0)</f>
        <v>4</v>
      </c>
      <c r="G68" s="70">
        <f t="shared" si="61"/>
        <v>5</v>
      </c>
      <c r="H68" s="70">
        <f t="shared" si="61"/>
        <v>4</v>
      </c>
      <c r="I68" s="70">
        <f t="shared" si="61"/>
        <v>5</v>
      </c>
      <c r="J68" s="70">
        <f t="shared" si="61"/>
        <v>6</v>
      </c>
      <c r="K68" s="70">
        <f t="shared" si="61"/>
        <v>5</v>
      </c>
      <c r="L68" s="70">
        <f t="shared" si="61"/>
        <v>5</v>
      </c>
      <c r="M68" s="70">
        <f t="shared" si="61"/>
        <v>5</v>
      </c>
      <c r="N68" s="70">
        <f t="shared" si="61"/>
        <v>5</v>
      </c>
      <c r="O68" s="70">
        <f t="shared" si="61"/>
        <v>5</v>
      </c>
      <c r="P68" s="70">
        <f t="shared" si="61"/>
        <v>4</v>
      </c>
      <c r="Q68" s="70">
        <f t="shared" si="61"/>
        <v>5</v>
      </c>
      <c r="R68" s="71">
        <f t="shared" si="52"/>
        <v>52</v>
      </c>
      <c r="S68" s="55"/>
      <c r="T68" s="72">
        <f t="shared" si="53"/>
        <v>187278</v>
      </c>
      <c r="U68" s="193">
        <f t="shared" si="54"/>
        <v>13621.920000000006</v>
      </c>
    </row>
    <row r="69" spans="2:21">
      <c r="B69" s="66" t="s">
        <v>141</v>
      </c>
      <c r="C69" s="67">
        <f t="shared" si="50"/>
        <v>3601.5</v>
      </c>
      <c r="D69" s="68">
        <v>261.96000000000004</v>
      </c>
      <c r="E69" s="55"/>
      <c r="F69" s="69">
        <f t="shared" ref="F69:Q69" si="62">ROUNDUP(F15*1.15,0)</f>
        <v>2</v>
      </c>
      <c r="G69" s="70">
        <f t="shared" si="62"/>
        <v>3</v>
      </c>
      <c r="H69" s="70">
        <f t="shared" si="62"/>
        <v>3</v>
      </c>
      <c r="I69" s="70">
        <f t="shared" si="62"/>
        <v>2</v>
      </c>
      <c r="J69" s="70">
        <f t="shared" si="62"/>
        <v>3</v>
      </c>
      <c r="K69" s="70">
        <f t="shared" si="62"/>
        <v>3</v>
      </c>
      <c r="L69" s="70">
        <f t="shared" si="62"/>
        <v>2</v>
      </c>
      <c r="M69" s="70">
        <f t="shared" si="62"/>
        <v>2</v>
      </c>
      <c r="N69" s="70">
        <f t="shared" si="62"/>
        <v>2</v>
      </c>
      <c r="O69" s="70">
        <f t="shared" si="62"/>
        <v>2</v>
      </c>
      <c r="P69" s="70">
        <f t="shared" si="62"/>
        <v>2</v>
      </c>
      <c r="Q69" s="70">
        <f t="shared" si="62"/>
        <v>2</v>
      </c>
      <c r="R69" s="71">
        <f t="shared" si="52"/>
        <v>18</v>
      </c>
      <c r="S69" s="55"/>
      <c r="T69" s="72">
        <f t="shared" si="53"/>
        <v>64827</v>
      </c>
      <c r="U69" s="193">
        <f t="shared" si="54"/>
        <v>4715.2800000000007</v>
      </c>
    </row>
    <row r="70" spans="2:21">
      <c r="B70" s="66" t="s">
        <v>142</v>
      </c>
      <c r="C70" s="67">
        <f t="shared" si="50"/>
        <v>0</v>
      </c>
      <c r="D70" s="68">
        <v>0</v>
      </c>
      <c r="E70" s="55"/>
      <c r="F70" s="69">
        <f t="shared" ref="F70:Q70" si="63">ROUNDUP(F16*1.15,0)</f>
        <v>0</v>
      </c>
      <c r="G70" s="70">
        <f t="shared" si="63"/>
        <v>0</v>
      </c>
      <c r="H70" s="70">
        <f t="shared" si="63"/>
        <v>0</v>
      </c>
      <c r="I70" s="70">
        <f t="shared" si="63"/>
        <v>0</v>
      </c>
      <c r="J70" s="70">
        <f t="shared" si="63"/>
        <v>0</v>
      </c>
      <c r="K70" s="70">
        <f t="shared" si="63"/>
        <v>0</v>
      </c>
      <c r="L70" s="70">
        <f t="shared" si="63"/>
        <v>0</v>
      </c>
      <c r="M70" s="70">
        <f t="shared" si="63"/>
        <v>0</v>
      </c>
      <c r="N70" s="70">
        <f t="shared" si="63"/>
        <v>0</v>
      </c>
      <c r="O70" s="70">
        <f t="shared" si="63"/>
        <v>0</v>
      </c>
      <c r="P70" s="70">
        <f t="shared" si="63"/>
        <v>0</v>
      </c>
      <c r="Q70" s="70">
        <f t="shared" si="63"/>
        <v>0</v>
      </c>
      <c r="R70" s="71">
        <f t="shared" si="52"/>
        <v>0</v>
      </c>
      <c r="S70" s="55"/>
      <c r="T70" s="72">
        <f t="shared" si="53"/>
        <v>0</v>
      </c>
      <c r="U70" s="193">
        <f t="shared" si="54"/>
        <v>0</v>
      </c>
    </row>
    <row r="71" spans="2:21" ht="12" thickBot="1">
      <c r="B71" s="66" t="s">
        <v>143</v>
      </c>
      <c r="C71" s="67">
        <f t="shared" si="50"/>
        <v>0</v>
      </c>
      <c r="D71" s="68">
        <v>0</v>
      </c>
      <c r="E71" s="55"/>
      <c r="F71" s="69">
        <f t="shared" ref="F71:Q71" si="64">ROUNDUP(F17*1.15,0)</f>
        <v>0</v>
      </c>
      <c r="G71" s="70">
        <f t="shared" si="64"/>
        <v>0</v>
      </c>
      <c r="H71" s="70">
        <f t="shared" si="64"/>
        <v>0</v>
      </c>
      <c r="I71" s="70">
        <f t="shared" si="64"/>
        <v>0</v>
      </c>
      <c r="J71" s="70">
        <f t="shared" si="64"/>
        <v>0</v>
      </c>
      <c r="K71" s="70">
        <f t="shared" si="64"/>
        <v>0</v>
      </c>
      <c r="L71" s="70">
        <f t="shared" si="64"/>
        <v>0</v>
      </c>
      <c r="M71" s="70">
        <f t="shared" si="64"/>
        <v>0</v>
      </c>
      <c r="N71" s="70">
        <f t="shared" si="64"/>
        <v>0</v>
      </c>
      <c r="O71" s="70">
        <f t="shared" si="64"/>
        <v>0</v>
      </c>
      <c r="P71" s="70">
        <f t="shared" si="64"/>
        <v>0</v>
      </c>
      <c r="Q71" s="70">
        <f t="shared" si="64"/>
        <v>0</v>
      </c>
      <c r="R71" s="71">
        <f t="shared" si="52"/>
        <v>0</v>
      </c>
      <c r="S71" s="55"/>
      <c r="T71" s="72">
        <f t="shared" si="53"/>
        <v>0</v>
      </c>
      <c r="U71" s="193">
        <f t="shared" si="54"/>
        <v>0</v>
      </c>
    </row>
    <row r="72" spans="2:21">
      <c r="B72" s="75" t="s">
        <v>144</v>
      </c>
      <c r="C72" s="76">
        <v>5123.9832402234633</v>
      </c>
      <c r="D72" s="77">
        <v>357.16234636871474</v>
      </c>
      <c r="E72" s="55"/>
      <c r="F72" s="61">
        <f>+SUM(F73:F84)</f>
        <v>15</v>
      </c>
      <c r="G72" s="62">
        <f t="shared" ref="G72" si="65">+SUM(G73:G84)</f>
        <v>16</v>
      </c>
      <c r="H72" s="62">
        <f t="shared" ref="H72" si="66">+SUM(H73:H84)</f>
        <v>15</v>
      </c>
      <c r="I72" s="62">
        <f t="shared" ref="I72" si="67">+SUM(I73:I84)</f>
        <v>15</v>
      </c>
      <c r="J72" s="62">
        <f t="shared" ref="J72" si="68">+SUM(J73:J84)</f>
        <v>17</v>
      </c>
      <c r="K72" s="62">
        <f t="shared" ref="K72" si="69">+SUM(K73:K84)</f>
        <v>15</v>
      </c>
      <c r="L72" s="62">
        <f t="shared" ref="L72" si="70">+SUM(L73:L84)</f>
        <v>15</v>
      </c>
      <c r="M72" s="62">
        <f t="shared" ref="M72" si="71">+SUM(M73:M84)</f>
        <v>15</v>
      </c>
      <c r="N72" s="62">
        <f t="shared" ref="N72" si="72">+SUM(N73:N84)</f>
        <v>15</v>
      </c>
      <c r="O72" s="62">
        <f t="shared" ref="O72" si="73">+SUM(O73:O84)</f>
        <v>15</v>
      </c>
      <c r="P72" s="62">
        <f t="shared" ref="P72" si="74">+SUM(P73:P84)</f>
        <v>13</v>
      </c>
      <c r="Q72" s="62">
        <f t="shared" ref="Q72:R72" si="75">+SUM(Q73:Q84)</f>
        <v>13</v>
      </c>
      <c r="R72" s="63">
        <f t="shared" si="75"/>
        <v>202</v>
      </c>
      <c r="S72" s="55"/>
      <c r="T72" s="64">
        <f>+SUM(T73:T84)</f>
        <v>1086253.7231927712</v>
      </c>
      <c r="U72" s="65">
        <f>+SUM(U73:U84)</f>
        <v>72140.568192771025</v>
      </c>
    </row>
    <row r="73" spans="2:21">
      <c r="B73" s="66" t="s">
        <v>132</v>
      </c>
      <c r="C73" s="67">
        <f>+C19*1.05</f>
        <v>0</v>
      </c>
      <c r="D73" s="68">
        <v>0</v>
      </c>
      <c r="E73" s="55"/>
      <c r="F73" s="69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  <c r="N73" s="70">
        <v>0</v>
      </c>
      <c r="O73" s="70">
        <v>0</v>
      </c>
      <c r="P73" s="70">
        <v>0</v>
      </c>
      <c r="Q73" s="70">
        <v>0</v>
      </c>
      <c r="R73" s="71">
        <f>ROUNDUP(R19*1.12,0)</f>
        <v>0</v>
      </c>
      <c r="S73" s="55"/>
      <c r="T73" s="72">
        <f>+R73*C73</f>
        <v>0</v>
      </c>
      <c r="U73" s="193">
        <f>+R73*D73</f>
        <v>0</v>
      </c>
    </row>
    <row r="74" spans="2:21">
      <c r="B74" s="66" t="s">
        <v>133</v>
      </c>
      <c r="C74" s="67">
        <f t="shared" ref="C74:C84" si="76">+C20*1.05</f>
        <v>5555.954819277109</v>
      </c>
      <c r="D74" s="68">
        <v>362.18481927710872</v>
      </c>
      <c r="E74" s="55"/>
      <c r="F74" s="69">
        <v>7</v>
      </c>
      <c r="G74" s="70">
        <v>7</v>
      </c>
      <c r="H74" s="70">
        <v>7</v>
      </c>
      <c r="I74" s="70">
        <v>7</v>
      </c>
      <c r="J74" s="70">
        <v>8</v>
      </c>
      <c r="K74" s="70">
        <v>7</v>
      </c>
      <c r="L74" s="70">
        <v>7</v>
      </c>
      <c r="M74" s="70">
        <v>7</v>
      </c>
      <c r="N74" s="70">
        <v>7</v>
      </c>
      <c r="O74" s="70">
        <v>7</v>
      </c>
      <c r="P74" s="70">
        <v>6</v>
      </c>
      <c r="Q74" s="70">
        <v>6</v>
      </c>
      <c r="R74" s="71">
        <f t="shared" ref="R74:R84" si="77">ROUNDUP(R20*1.12,0)</f>
        <v>93</v>
      </c>
      <c r="S74" s="55"/>
      <c r="T74" s="72">
        <f t="shared" ref="T74:T84" si="78">+R74*C74</f>
        <v>516703.79819277115</v>
      </c>
      <c r="U74" s="193">
        <f t="shared" ref="U74:U84" si="79">+R74*D74</f>
        <v>33683.188192771107</v>
      </c>
    </row>
    <row r="75" spans="2:21">
      <c r="B75" s="66" t="s">
        <v>134</v>
      </c>
      <c r="C75" s="67">
        <f t="shared" si="76"/>
        <v>0</v>
      </c>
      <c r="D75" s="68">
        <v>0</v>
      </c>
      <c r="E75" s="55"/>
      <c r="F75" s="69">
        <v>0</v>
      </c>
      <c r="G75" s="70">
        <v>0</v>
      </c>
      <c r="H75" s="70">
        <v>0</v>
      </c>
      <c r="I75" s="70">
        <v>0</v>
      </c>
      <c r="J75" s="70">
        <v>0</v>
      </c>
      <c r="K75" s="70">
        <v>0</v>
      </c>
      <c r="L75" s="70">
        <v>0</v>
      </c>
      <c r="M75" s="70">
        <v>0</v>
      </c>
      <c r="N75" s="70">
        <v>0</v>
      </c>
      <c r="O75" s="70">
        <v>0</v>
      </c>
      <c r="P75" s="70">
        <v>0</v>
      </c>
      <c r="Q75" s="70">
        <v>0</v>
      </c>
      <c r="R75" s="71">
        <f t="shared" si="77"/>
        <v>0</v>
      </c>
      <c r="S75" s="55"/>
      <c r="T75" s="72">
        <f t="shared" si="78"/>
        <v>0</v>
      </c>
      <c r="U75" s="193">
        <f t="shared" si="79"/>
        <v>0</v>
      </c>
    </row>
    <row r="76" spans="2:21">
      <c r="B76" s="66" t="s">
        <v>135</v>
      </c>
      <c r="C76" s="67">
        <f t="shared" si="76"/>
        <v>6204.45</v>
      </c>
      <c r="D76" s="68">
        <v>352.81999999999971</v>
      </c>
      <c r="E76" s="55"/>
      <c r="F76" s="69">
        <v>1</v>
      </c>
      <c r="G76" s="70">
        <v>1</v>
      </c>
      <c r="H76" s="70">
        <v>1</v>
      </c>
      <c r="I76" s="70">
        <v>1</v>
      </c>
      <c r="J76" s="70">
        <v>1</v>
      </c>
      <c r="K76" s="70">
        <v>1</v>
      </c>
      <c r="L76" s="70">
        <v>1</v>
      </c>
      <c r="M76" s="70">
        <v>1</v>
      </c>
      <c r="N76" s="70">
        <v>1</v>
      </c>
      <c r="O76" s="70">
        <v>1</v>
      </c>
      <c r="P76" s="70">
        <v>1</v>
      </c>
      <c r="Q76" s="70">
        <v>1</v>
      </c>
      <c r="R76" s="71">
        <f t="shared" si="77"/>
        <v>14</v>
      </c>
      <c r="S76" s="55"/>
      <c r="T76" s="72">
        <f t="shared" si="78"/>
        <v>86862.3</v>
      </c>
      <c r="U76" s="193">
        <f t="shared" si="79"/>
        <v>4939.4799999999959</v>
      </c>
    </row>
    <row r="77" spans="2:21">
      <c r="B77" s="66" t="s">
        <v>136</v>
      </c>
      <c r="C77" s="67">
        <f t="shared" si="76"/>
        <v>0</v>
      </c>
      <c r="D77" s="68">
        <v>0</v>
      </c>
      <c r="E77" s="55"/>
      <c r="F77" s="69">
        <v>0</v>
      </c>
      <c r="G77" s="70">
        <v>0</v>
      </c>
      <c r="H77" s="70">
        <v>0</v>
      </c>
      <c r="I77" s="70">
        <v>0</v>
      </c>
      <c r="J77" s="70">
        <v>0</v>
      </c>
      <c r="K77" s="70">
        <v>0</v>
      </c>
      <c r="L77" s="70">
        <v>0</v>
      </c>
      <c r="M77" s="70">
        <v>0</v>
      </c>
      <c r="N77" s="70">
        <v>0</v>
      </c>
      <c r="O77" s="70">
        <v>0</v>
      </c>
      <c r="P77" s="70">
        <v>0</v>
      </c>
      <c r="Q77" s="70">
        <v>0</v>
      </c>
      <c r="R77" s="71">
        <f t="shared" si="77"/>
        <v>0</v>
      </c>
      <c r="S77" s="55"/>
      <c r="T77" s="72">
        <f t="shared" si="78"/>
        <v>0</v>
      </c>
      <c r="U77" s="193">
        <f t="shared" si="79"/>
        <v>0</v>
      </c>
    </row>
    <row r="78" spans="2:21">
      <c r="B78" s="66" t="s">
        <v>137</v>
      </c>
      <c r="C78" s="67">
        <f t="shared" si="76"/>
        <v>5336.625</v>
      </c>
      <c r="D78" s="68">
        <v>352.81999999999891</v>
      </c>
      <c r="E78" s="55"/>
      <c r="F78" s="69">
        <v>6</v>
      </c>
      <c r="G78" s="70">
        <v>7</v>
      </c>
      <c r="H78" s="70">
        <v>6</v>
      </c>
      <c r="I78" s="70">
        <v>6</v>
      </c>
      <c r="J78" s="70">
        <v>7</v>
      </c>
      <c r="K78" s="70">
        <v>6</v>
      </c>
      <c r="L78" s="70">
        <v>6</v>
      </c>
      <c r="M78" s="70">
        <v>6</v>
      </c>
      <c r="N78" s="70">
        <v>6</v>
      </c>
      <c r="O78" s="70">
        <v>6</v>
      </c>
      <c r="P78" s="70">
        <v>5</v>
      </c>
      <c r="Q78" s="70">
        <v>5</v>
      </c>
      <c r="R78" s="71">
        <f t="shared" si="77"/>
        <v>81</v>
      </c>
      <c r="S78" s="55"/>
      <c r="T78" s="72">
        <f t="shared" si="78"/>
        <v>432266.625</v>
      </c>
      <c r="U78" s="193">
        <f t="shared" si="79"/>
        <v>28578.419999999911</v>
      </c>
    </row>
    <row r="79" spans="2:21">
      <c r="B79" s="66" t="s">
        <v>138</v>
      </c>
      <c r="C79" s="67">
        <f t="shared" si="76"/>
        <v>0</v>
      </c>
      <c r="D79" s="68">
        <v>0</v>
      </c>
      <c r="E79" s="55"/>
      <c r="F79" s="69">
        <v>0</v>
      </c>
      <c r="G79" s="70">
        <v>0</v>
      </c>
      <c r="H79" s="70">
        <v>0</v>
      </c>
      <c r="I79" s="70">
        <v>0</v>
      </c>
      <c r="J79" s="70">
        <v>0</v>
      </c>
      <c r="K79" s="70">
        <v>0</v>
      </c>
      <c r="L79" s="70">
        <v>0</v>
      </c>
      <c r="M79" s="70">
        <v>0</v>
      </c>
      <c r="N79" s="70">
        <v>0</v>
      </c>
      <c r="O79" s="70">
        <v>0</v>
      </c>
      <c r="P79" s="70">
        <v>0</v>
      </c>
      <c r="Q79" s="70">
        <v>0</v>
      </c>
      <c r="R79" s="71">
        <f t="shared" si="77"/>
        <v>0</v>
      </c>
      <c r="S79" s="55"/>
      <c r="T79" s="72">
        <f t="shared" si="78"/>
        <v>0</v>
      </c>
      <c r="U79" s="193">
        <f t="shared" si="79"/>
        <v>0</v>
      </c>
    </row>
    <row r="80" spans="2:21">
      <c r="B80" s="66" t="s">
        <v>139</v>
      </c>
      <c r="C80" s="67">
        <f t="shared" si="76"/>
        <v>0</v>
      </c>
      <c r="D80" s="68">
        <v>0</v>
      </c>
      <c r="E80" s="55"/>
      <c r="F80" s="69">
        <v>0</v>
      </c>
      <c r="G80" s="70">
        <v>0</v>
      </c>
      <c r="H80" s="70">
        <v>0</v>
      </c>
      <c r="I80" s="70">
        <v>0</v>
      </c>
      <c r="J80" s="70">
        <v>0</v>
      </c>
      <c r="K80" s="70">
        <v>0</v>
      </c>
      <c r="L80" s="70">
        <v>0</v>
      </c>
      <c r="M80" s="70">
        <v>0</v>
      </c>
      <c r="N80" s="70">
        <v>0</v>
      </c>
      <c r="O80" s="70">
        <v>0</v>
      </c>
      <c r="P80" s="70">
        <v>0</v>
      </c>
      <c r="Q80" s="70">
        <v>0</v>
      </c>
      <c r="R80" s="71">
        <f t="shared" si="77"/>
        <v>0</v>
      </c>
      <c r="S80" s="55"/>
      <c r="T80" s="72">
        <f t="shared" si="78"/>
        <v>0</v>
      </c>
      <c r="U80" s="193">
        <f t="shared" si="79"/>
        <v>0</v>
      </c>
    </row>
    <row r="81" spans="2:21">
      <c r="B81" s="66" t="s">
        <v>140</v>
      </c>
      <c r="C81" s="67">
        <f t="shared" si="76"/>
        <v>0</v>
      </c>
      <c r="D81" s="68">
        <v>0</v>
      </c>
      <c r="E81" s="55"/>
      <c r="F81" s="69">
        <v>0</v>
      </c>
      <c r="G81" s="70">
        <v>0</v>
      </c>
      <c r="H81" s="70">
        <v>0</v>
      </c>
      <c r="I81" s="70">
        <v>0</v>
      </c>
      <c r="J81" s="70">
        <v>0</v>
      </c>
      <c r="K81" s="70">
        <v>0</v>
      </c>
      <c r="L81" s="70">
        <v>0</v>
      </c>
      <c r="M81" s="70">
        <v>0</v>
      </c>
      <c r="N81" s="70">
        <v>0</v>
      </c>
      <c r="O81" s="70">
        <v>0</v>
      </c>
      <c r="P81" s="70">
        <v>0</v>
      </c>
      <c r="Q81" s="70">
        <v>0</v>
      </c>
      <c r="R81" s="71">
        <f t="shared" si="77"/>
        <v>0</v>
      </c>
      <c r="S81" s="55"/>
      <c r="T81" s="72">
        <f t="shared" si="78"/>
        <v>0</v>
      </c>
      <c r="U81" s="193">
        <f t="shared" si="79"/>
        <v>0</v>
      </c>
    </row>
    <row r="82" spans="2:21">
      <c r="B82" s="66" t="s">
        <v>141</v>
      </c>
      <c r="C82" s="67">
        <f t="shared" si="76"/>
        <v>3601.5</v>
      </c>
      <c r="D82" s="68">
        <v>352.82000000000033</v>
      </c>
      <c r="E82" s="55"/>
      <c r="F82" s="69">
        <v>1</v>
      </c>
      <c r="G82" s="70">
        <v>1</v>
      </c>
      <c r="H82" s="70">
        <v>1</v>
      </c>
      <c r="I82" s="70">
        <v>1</v>
      </c>
      <c r="J82" s="70">
        <v>1</v>
      </c>
      <c r="K82" s="70">
        <v>1</v>
      </c>
      <c r="L82" s="70">
        <v>1</v>
      </c>
      <c r="M82" s="70">
        <v>1</v>
      </c>
      <c r="N82" s="70">
        <v>1</v>
      </c>
      <c r="O82" s="70">
        <v>1</v>
      </c>
      <c r="P82" s="70">
        <v>1</v>
      </c>
      <c r="Q82" s="70">
        <v>1</v>
      </c>
      <c r="R82" s="71">
        <f t="shared" si="77"/>
        <v>14</v>
      </c>
      <c r="S82" s="55"/>
      <c r="T82" s="72">
        <f t="shared" si="78"/>
        <v>50421</v>
      </c>
      <c r="U82" s="193">
        <f t="shared" si="79"/>
        <v>4939.480000000005</v>
      </c>
    </row>
    <row r="83" spans="2:21">
      <c r="B83" s="66" t="s">
        <v>142</v>
      </c>
      <c r="C83" s="67">
        <f t="shared" si="76"/>
        <v>0</v>
      </c>
      <c r="D83" s="68">
        <v>0</v>
      </c>
      <c r="E83" s="55"/>
      <c r="F83" s="69">
        <v>0</v>
      </c>
      <c r="G83" s="70">
        <v>0</v>
      </c>
      <c r="H83" s="70">
        <v>0</v>
      </c>
      <c r="I83" s="70">
        <v>0</v>
      </c>
      <c r="J83" s="70">
        <v>0</v>
      </c>
      <c r="K83" s="70">
        <v>0</v>
      </c>
      <c r="L83" s="70">
        <v>0</v>
      </c>
      <c r="M83" s="70">
        <v>0</v>
      </c>
      <c r="N83" s="70">
        <v>0</v>
      </c>
      <c r="O83" s="70">
        <v>0</v>
      </c>
      <c r="P83" s="70">
        <v>0</v>
      </c>
      <c r="Q83" s="70">
        <v>0</v>
      </c>
      <c r="R83" s="71">
        <f t="shared" si="77"/>
        <v>0</v>
      </c>
      <c r="S83" s="55"/>
      <c r="T83" s="72">
        <f t="shared" si="78"/>
        <v>0</v>
      </c>
      <c r="U83" s="193">
        <f t="shared" si="79"/>
        <v>0</v>
      </c>
    </row>
    <row r="84" spans="2:21" ht="12" thickBot="1">
      <c r="B84" s="66" t="s">
        <v>143</v>
      </c>
      <c r="C84" s="67">
        <f t="shared" si="76"/>
        <v>0</v>
      </c>
      <c r="D84" s="68">
        <v>0</v>
      </c>
      <c r="E84" s="55"/>
      <c r="F84" s="69">
        <v>0</v>
      </c>
      <c r="G84" s="70">
        <v>0</v>
      </c>
      <c r="H84" s="70">
        <v>0</v>
      </c>
      <c r="I84" s="70">
        <v>0</v>
      </c>
      <c r="J84" s="70">
        <v>0</v>
      </c>
      <c r="K84" s="70">
        <v>0</v>
      </c>
      <c r="L84" s="70">
        <v>0</v>
      </c>
      <c r="M84" s="70">
        <v>0</v>
      </c>
      <c r="N84" s="70">
        <v>0</v>
      </c>
      <c r="O84" s="70">
        <v>0</v>
      </c>
      <c r="P84" s="70">
        <v>0</v>
      </c>
      <c r="Q84" s="70">
        <v>0</v>
      </c>
      <c r="R84" s="71">
        <f t="shared" si="77"/>
        <v>0</v>
      </c>
      <c r="S84" s="55"/>
      <c r="T84" s="72">
        <f t="shared" si="78"/>
        <v>0</v>
      </c>
      <c r="U84" s="193">
        <f t="shared" si="79"/>
        <v>0</v>
      </c>
    </row>
    <row r="85" spans="2:21">
      <c r="B85" s="78" t="s">
        <v>145</v>
      </c>
      <c r="C85" s="76">
        <v>4165.4668006700167</v>
      </c>
      <c r="D85" s="77">
        <v>340.77142378559472</v>
      </c>
      <c r="E85" s="55"/>
      <c r="F85" s="61">
        <f>+SUM(F86:F97)</f>
        <v>44</v>
      </c>
      <c r="G85" s="62">
        <f t="shared" ref="G85" si="80">+SUM(G86:G97)</f>
        <v>48</v>
      </c>
      <c r="H85" s="62">
        <f t="shared" ref="H85" si="81">+SUM(H86:H97)</f>
        <v>47</v>
      </c>
      <c r="I85" s="62">
        <f t="shared" ref="I85" si="82">+SUM(I86:I97)</f>
        <v>46</v>
      </c>
      <c r="J85" s="62">
        <f t="shared" ref="J85" si="83">+SUM(J86:J97)</f>
        <v>53</v>
      </c>
      <c r="K85" s="62">
        <f t="shared" ref="K85" si="84">+SUM(K86:K97)</f>
        <v>50</v>
      </c>
      <c r="L85" s="62">
        <f t="shared" ref="L85" si="85">+SUM(L86:L97)</f>
        <v>53</v>
      </c>
      <c r="M85" s="62">
        <f t="shared" ref="M85" si="86">+SUM(M86:M97)</f>
        <v>54</v>
      </c>
      <c r="N85" s="62">
        <f t="shared" ref="N85" si="87">+SUM(N86:N97)</f>
        <v>54</v>
      </c>
      <c r="O85" s="62">
        <f t="shared" ref="O85" si="88">+SUM(O86:O97)</f>
        <v>54</v>
      </c>
      <c r="P85" s="62">
        <f t="shared" ref="P85" si="89">+SUM(P86:P97)</f>
        <v>46</v>
      </c>
      <c r="Q85" s="62">
        <f t="shared" ref="Q85:R85" si="90">+SUM(Q86:Q97)</f>
        <v>48</v>
      </c>
      <c r="R85" s="63">
        <f t="shared" si="90"/>
        <v>671</v>
      </c>
      <c r="S85" s="55"/>
      <c r="T85" s="64">
        <f>+SUM(T86:T97)</f>
        <v>2935649.3565841755</v>
      </c>
      <c r="U85" s="65">
        <f>+SUM(U86:U97)</f>
        <v>228658.8537531771</v>
      </c>
    </row>
    <row r="86" spans="2:21">
      <c r="B86" s="66" t="s">
        <v>132</v>
      </c>
      <c r="C86" s="67">
        <f>+C32*1.05</f>
        <v>0</v>
      </c>
      <c r="D86" s="68">
        <v>0</v>
      </c>
      <c r="E86" s="55"/>
      <c r="F86" s="69">
        <v>0</v>
      </c>
      <c r="G86" s="70">
        <v>0</v>
      </c>
      <c r="H86" s="70">
        <v>0</v>
      </c>
      <c r="I86" s="70">
        <v>0</v>
      </c>
      <c r="J86" s="70">
        <v>0</v>
      </c>
      <c r="K86" s="70">
        <v>0</v>
      </c>
      <c r="L86" s="70">
        <v>0</v>
      </c>
      <c r="M86" s="70">
        <v>0</v>
      </c>
      <c r="N86" s="70">
        <v>0</v>
      </c>
      <c r="O86" s="70">
        <v>0</v>
      </c>
      <c r="P86" s="70">
        <v>0</v>
      </c>
      <c r="Q86" s="70">
        <v>0</v>
      </c>
      <c r="R86" s="71">
        <f>ROUNDUP(R32*1.12,0)</f>
        <v>0</v>
      </c>
      <c r="S86" s="55"/>
      <c r="T86" s="72">
        <f>+R86*C86</f>
        <v>0</v>
      </c>
      <c r="U86" s="193">
        <f>+R86*D86</f>
        <v>0</v>
      </c>
    </row>
    <row r="87" spans="2:21">
      <c r="B87" s="66" t="s">
        <v>133</v>
      </c>
      <c r="C87" s="67">
        <f t="shared" ref="C87:C97" si="91">+C33*1.05</f>
        <v>5941.3326923076929</v>
      </c>
      <c r="D87" s="68">
        <v>389.63912087912126</v>
      </c>
      <c r="E87" s="55"/>
      <c r="F87" s="69">
        <v>14</v>
      </c>
      <c r="G87" s="70">
        <v>14</v>
      </c>
      <c r="H87" s="70">
        <v>15</v>
      </c>
      <c r="I87" s="70">
        <v>14</v>
      </c>
      <c r="J87" s="70">
        <v>16</v>
      </c>
      <c r="K87" s="70">
        <v>16</v>
      </c>
      <c r="L87" s="70">
        <v>15</v>
      </c>
      <c r="M87" s="70">
        <v>16</v>
      </c>
      <c r="N87" s="70">
        <v>16</v>
      </c>
      <c r="O87" s="70">
        <v>16</v>
      </c>
      <c r="P87" s="70">
        <v>15</v>
      </c>
      <c r="Q87" s="70">
        <v>15</v>
      </c>
      <c r="R87" s="71">
        <f t="shared" ref="R87:R97" si="92">ROUNDUP(R33*1.12,0)</f>
        <v>204</v>
      </c>
      <c r="S87" s="55"/>
      <c r="T87" s="72">
        <f t="shared" ref="T87:T97" si="93">+R87*C87</f>
        <v>1212031.8692307693</v>
      </c>
      <c r="U87" s="193">
        <f t="shared" ref="U87:U97" si="94">+R87*D87</f>
        <v>79486.380659340735</v>
      </c>
    </row>
    <row r="88" spans="2:21">
      <c r="B88" s="66" t="s">
        <v>134</v>
      </c>
      <c r="C88" s="67">
        <f t="shared" si="91"/>
        <v>0</v>
      </c>
      <c r="D88" s="68">
        <v>0</v>
      </c>
      <c r="E88" s="55"/>
      <c r="F88" s="69">
        <v>0</v>
      </c>
      <c r="G88" s="70">
        <v>0</v>
      </c>
      <c r="H88" s="70">
        <v>0</v>
      </c>
      <c r="I88" s="70">
        <v>0</v>
      </c>
      <c r="J88" s="70">
        <v>0</v>
      </c>
      <c r="K88" s="70">
        <v>0</v>
      </c>
      <c r="L88" s="70">
        <v>0</v>
      </c>
      <c r="M88" s="70">
        <v>0</v>
      </c>
      <c r="N88" s="70">
        <v>0</v>
      </c>
      <c r="O88" s="70">
        <v>0</v>
      </c>
      <c r="P88" s="70">
        <v>0</v>
      </c>
      <c r="Q88" s="70">
        <v>0</v>
      </c>
      <c r="R88" s="71">
        <f t="shared" si="92"/>
        <v>0</v>
      </c>
      <c r="S88" s="55"/>
      <c r="T88" s="72">
        <f t="shared" si="93"/>
        <v>0</v>
      </c>
      <c r="U88" s="193">
        <f t="shared" si="94"/>
        <v>0</v>
      </c>
    </row>
    <row r="89" spans="2:21">
      <c r="B89" s="66" t="s">
        <v>135</v>
      </c>
      <c r="C89" s="67">
        <f t="shared" si="91"/>
        <v>5849.91</v>
      </c>
      <c r="D89" s="68">
        <v>339.33428571428607</v>
      </c>
      <c r="E89" s="55"/>
      <c r="F89" s="69">
        <v>2</v>
      </c>
      <c r="G89" s="70">
        <v>2</v>
      </c>
      <c r="H89" s="70">
        <v>2</v>
      </c>
      <c r="I89" s="70">
        <v>2</v>
      </c>
      <c r="J89" s="70">
        <v>2</v>
      </c>
      <c r="K89" s="70">
        <v>2</v>
      </c>
      <c r="L89" s="70">
        <v>4</v>
      </c>
      <c r="M89" s="70">
        <v>4</v>
      </c>
      <c r="N89" s="70">
        <v>4</v>
      </c>
      <c r="O89" s="70">
        <v>4</v>
      </c>
      <c r="P89" s="70">
        <v>3</v>
      </c>
      <c r="Q89" s="70">
        <v>4</v>
      </c>
      <c r="R89" s="71">
        <f t="shared" si="92"/>
        <v>40</v>
      </c>
      <c r="S89" s="55"/>
      <c r="T89" s="72">
        <f t="shared" si="93"/>
        <v>233996.4</v>
      </c>
      <c r="U89" s="193">
        <f t="shared" si="94"/>
        <v>13573.371428571443</v>
      </c>
    </row>
    <row r="90" spans="2:21">
      <c r="B90" s="66" t="s">
        <v>136</v>
      </c>
      <c r="C90" s="67">
        <f t="shared" si="91"/>
        <v>0</v>
      </c>
      <c r="D90" s="68">
        <v>0</v>
      </c>
      <c r="E90" s="55"/>
      <c r="F90" s="69">
        <v>0</v>
      </c>
      <c r="G90" s="70">
        <v>0</v>
      </c>
      <c r="H90" s="70">
        <v>0</v>
      </c>
      <c r="I90" s="70">
        <v>0</v>
      </c>
      <c r="J90" s="70">
        <v>0</v>
      </c>
      <c r="K90" s="70">
        <v>0</v>
      </c>
      <c r="L90" s="70">
        <v>0</v>
      </c>
      <c r="M90" s="70">
        <v>0</v>
      </c>
      <c r="N90" s="70">
        <v>0</v>
      </c>
      <c r="O90" s="70">
        <v>0</v>
      </c>
      <c r="P90" s="70">
        <v>0</v>
      </c>
      <c r="Q90" s="70">
        <v>0</v>
      </c>
      <c r="R90" s="71">
        <f t="shared" si="92"/>
        <v>0</v>
      </c>
      <c r="S90" s="55"/>
      <c r="T90" s="72">
        <f t="shared" si="93"/>
        <v>0</v>
      </c>
      <c r="U90" s="193">
        <f t="shared" si="94"/>
        <v>0</v>
      </c>
    </row>
    <row r="91" spans="2:21">
      <c r="B91" s="66" t="s">
        <v>137</v>
      </c>
      <c r="C91" s="67">
        <f t="shared" si="91"/>
        <v>4844.979806896552</v>
      </c>
      <c r="D91" s="68">
        <v>357.43448275862067</v>
      </c>
      <c r="E91" s="55"/>
      <c r="F91" s="69">
        <v>10</v>
      </c>
      <c r="G91" s="70">
        <v>12</v>
      </c>
      <c r="H91" s="70">
        <v>11</v>
      </c>
      <c r="I91" s="70">
        <v>12</v>
      </c>
      <c r="J91" s="70">
        <v>14</v>
      </c>
      <c r="K91" s="70">
        <v>12</v>
      </c>
      <c r="L91" s="70">
        <v>13</v>
      </c>
      <c r="M91" s="70">
        <v>13</v>
      </c>
      <c r="N91" s="70">
        <v>13</v>
      </c>
      <c r="O91" s="70">
        <v>13</v>
      </c>
      <c r="P91" s="70">
        <v>11</v>
      </c>
      <c r="Q91" s="70">
        <v>11</v>
      </c>
      <c r="R91" s="71">
        <f t="shared" si="92"/>
        <v>163</v>
      </c>
      <c r="S91" s="55"/>
      <c r="T91" s="72">
        <f t="shared" si="93"/>
        <v>789731.70852413797</v>
      </c>
      <c r="U91" s="193">
        <f t="shared" si="94"/>
        <v>58261.820689655171</v>
      </c>
    </row>
    <row r="92" spans="2:21">
      <c r="B92" s="66" t="s">
        <v>138</v>
      </c>
      <c r="C92" s="67">
        <f t="shared" si="91"/>
        <v>0</v>
      </c>
      <c r="D92" s="68">
        <v>0</v>
      </c>
      <c r="E92" s="55"/>
      <c r="F92" s="69">
        <v>0</v>
      </c>
      <c r="G92" s="70">
        <v>0</v>
      </c>
      <c r="H92" s="70">
        <v>0</v>
      </c>
      <c r="I92" s="70">
        <v>0</v>
      </c>
      <c r="J92" s="70">
        <v>0</v>
      </c>
      <c r="K92" s="70">
        <v>0</v>
      </c>
      <c r="L92" s="70">
        <v>0</v>
      </c>
      <c r="M92" s="70">
        <v>0</v>
      </c>
      <c r="N92" s="70">
        <v>0</v>
      </c>
      <c r="O92" s="70">
        <v>0</v>
      </c>
      <c r="P92" s="70">
        <v>0</v>
      </c>
      <c r="Q92" s="70">
        <v>0</v>
      </c>
      <c r="R92" s="71">
        <f t="shared" si="92"/>
        <v>0</v>
      </c>
      <c r="S92" s="55"/>
      <c r="T92" s="72">
        <f t="shared" si="93"/>
        <v>0</v>
      </c>
      <c r="U92" s="193">
        <f t="shared" si="94"/>
        <v>0</v>
      </c>
    </row>
    <row r="93" spans="2:21">
      <c r="B93" s="66" t="s">
        <v>139</v>
      </c>
      <c r="C93" s="67">
        <f t="shared" si="91"/>
        <v>4263</v>
      </c>
      <c r="D93" s="68">
        <v>359.90000000000015</v>
      </c>
      <c r="E93" s="55"/>
      <c r="F93" s="69">
        <v>2</v>
      </c>
      <c r="G93" s="70">
        <v>2</v>
      </c>
      <c r="H93" s="70">
        <v>2</v>
      </c>
      <c r="I93" s="70">
        <v>2</v>
      </c>
      <c r="J93" s="70">
        <v>2</v>
      </c>
      <c r="K93" s="70">
        <v>2</v>
      </c>
      <c r="L93" s="70">
        <v>2</v>
      </c>
      <c r="M93" s="70">
        <v>2</v>
      </c>
      <c r="N93" s="70">
        <v>2</v>
      </c>
      <c r="O93" s="70">
        <v>2</v>
      </c>
      <c r="P93" s="70">
        <v>1</v>
      </c>
      <c r="Q93" s="70">
        <v>1</v>
      </c>
      <c r="R93" s="71">
        <f t="shared" si="92"/>
        <v>25</v>
      </c>
      <c r="S93" s="55"/>
      <c r="T93" s="72">
        <f t="shared" si="93"/>
        <v>106575</v>
      </c>
      <c r="U93" s="193">
        <f t="shared" si="94"/>
        <v>8997.5000000000036</v>
      </c>
    </row>
    <row r="94" spans="2:21">
      <c r="B94" s="66" t="s">
        <v>140</v>
      </c>
      <c r="C94" s="67">
        <f t="shared" si="91"/>
        <v>0</v>
      </c>
      <c r="D94" s="68">
        <v>0</v>
      </c>
      <c r="E94" s="55"/>
      <c r="F94" s="69">
        <v>0</v>
      </c>
      <c r="G94" s="70">
        <v>0</v>
      </c>
      <c r="H94" s="70">
        <v>0</v>
      </c>
      <c r="I94" s="70">
        <v>0</v>
      </c>
      <c r="J94" s="70">
        <v>0</v>
      </c>
      <c r="K94" s="70">
        <v>0</v>
      </c>
      <c r="L94" s="70">
        <v>0</v>
      </c>
      <c r="M94" s="70">
        <v>0</v>
      </c>
      <c r="N94" s="70">
        <v>0</v>
      </c>
      <c r="O94" s="70">
        <v>0</v>
      </c>
      <c r="P94" s="70">
        <v>0</v>
      </c>
      <c r="Q94" s="70">
        <v>0</v>
      </c>
      <c r="R94" s="71">
        <f t="shared" si="92"/>
        <v>0</v>
      </c>
      <c r="S94" s="55"/>
      <c r="T94" s="72">
        <f t="shared" si="93"/>
        <v>0</v>
      </c>
      <c r="U94" s="193">
        <f t="shared" si="94"/>
        <v>0</v>
      </c>
    </row>
    <row r="95" spans="2:21">
      <c r="B95" s="66" t="s">
        <v>141</v>
      </c>
      <c r="C95" s="67">
        <f t="shared" si="91"/>
        <v>3601.5</v>
      </c>
      <c r="D95" s="68">
        <v>359.9</v>
      </c>
      <c r="E95" s="55"/>
      <c r="F95" s="69">
        <v>7</v>
      </c>
      <c r="G95" s="70">
        <v>8</v>
      </c>
      <c r="H95" s="70">
        <v>7</v>
      </c>
      <c r="I95" s="70">
        <v>7</v>
      </c>
      <c r="J95" s="70">
        <v>8</v>
      </c>
      <c r="K95" s="70">
        <v>8</v>
      </c>
      <c r="L95" s="70">
        <v>8</v>
      </c>
      <c r="M95" s="70">
        <v>8</v>
      </c>
      <c r="N95" s="70">
        <v>8</v>
      </c>
      <c r="O95" s="70">
        <v>8</v>
      </c>
      <c r="P95" s="70">
        <v>6</v>
      </c>
      <c r="Q95" s="70">
        <v>7</v>
      </c>
      <c r="R95" s="71">
        <f t="shared" si="92"/>
        <v>101</v>
      </c>
      <c r="S95" s="55"/>
      <c r="T95" s="72">
        <f t="shared" si="93"/>
        <v>363751.5</v>
      </c>
      <c r="U95" s="193">
        <f t="shared" si="94"/>
        <v>36349.899999999994</v>
      </c>
    </row>
    <row r="96" spans="2:21">
      <c r="B96" s="66" t="s">
        <v>142</v>
      </c>
      <c r="C96" s="67">
        <f t="shared" si="91"/>
        <v>1663.4991219512196</v>
      </c>
      <c r="D96" s="68">
        <v>231.81073170731707</v>
      </c>
      <c r="E96" s="55"/>
      <c r="F96" s="69">
        <v>9</v>
      </c>
      <c r="G96" s="70">
        <v>10</v>
      </c>
      <c r="H96" s="70">
        <v>10</v>
      </c>
      <c r="I96" s="70">
        <v>9</v>
      </c>
      <c r="J96" s="70">
        <v>11</v>
      </c>
      <c r="K96" s="70">
        <v>10</v>
      </c>
      <c r="L96" s="70">
        <v>11</v>
      </c>
      <c r="M96" s="70">
        <v>11</v>
      </c>
      <c r="N96" s="70">
        <v>11</v>
      </c>
      <c r="O96" s="70">
        <v>11</v>
      </c>
      <c r="P96" s="70">
        <v>10</v>
      </c>
      <c r="Q96" s="70">
        <v>10</v>
      </c>
      <c r="R96" s="71">
        <f t="shared" si="92"/>
        <v>138</v>
      </c>
      <c r="S96" s="55"/>
      <c r="T96" s="72">
        <f t="shared" si="93"/>
        <v>229562.8788292683</v>
      </c>
      <c r="U96" s="193">
        <f t="shared" si="94"/>
        <v>31989.880975609758</v>
      </c>
    </row>
    <row r="97" spans="2:21">
      <c r="B97" s="66" t="s">
        <v>143</v>
      </c>
      <c r="C97" s="67">
        <f t="shared" si="91"/>
        <v>0</v>
      </c>
      <c r="D97" s="68">
        <v>0</v>
      </c>
      <c r="E97" s="55"/>
      <c r="F97" s="69">
        <v>0</v>
      </c>
      <c r="G97" s="70">
        <v>0</v>
      </c>
      <c r="H97" s="70">
        <v>0</v>
      </c>
      <c r="I97" s="70">
        <v>0</v>
      </c>
      <c r="J97" s="70">
        <v>0</v>
      </c>
      <c r="K97" s="70">
        <v>0</v>
      </c>
      <c r="L97" s="70">
        <v>0</v>
      </c>
      <c r="M97" s="70">
        <v>0</v>
      </c>
      <c r="N97" s="70">
        <v>0</v>
      </c>
      <c r="O97" s="70">
        <v>0</v>
      </c>
      <c r="P97" s="70">
        <v>0</v>
      </c>
      <c r="Q97" s="70">
        <v>0</v>
      </c>
      <c r="R97" s="71">
        <f t="shared" si="92"/>
        <v>0</v>
      </c>
      <c r="S97" s="55"/>
      <c r="T97" s="72">
        <f t="shared" si="93"/>
        <v>0</v>
      </c>
      <c r="U97" s="193">
        <f t="shared" si="94"/>
        <v>0</v>
      </c>
    </row>
    <row r="98" spans="2:21">
      <c r="B98" s="79" t="s">
        <v>146</v>
      </c>
      <c r="C98" s="80">
        <v>4686.7522259136213</v>
      </c>
      <c r="D98" s="81">
        <v>315.19225913621221</v>
      </c>
      <c r="E98" s="55"/>
      <c r="F98" s="82">
        <f>+F85+F72+F59</f>
        <v>99</v>
      </c>
      <c r="G98" s="83">
        <f t="shared" ref="G98:R98" si="95">+G85+G72+G59</f>
        <v>114</v>
      </c>
      <c r="H98" s="83">
        <f t="shared" si="95"/>
        <v>108</v>
      </c>
      <c r="I98" s="83">
        <f t="shared" si="95"/>
        <v>107</v>
      </c>
      <c r="J98" s="83">
        <f t="shared" si="95"/>
        <v>127</v>
      </c>
      <c r="K98" s="83">
        <f t="shared" si="95"/>
        <v>115</v>
      </c>
      <c r="L98" s="83">
        <f t="shared" si="95"/>
        <v>115</v>
      </c>
      <c r="M98" s="83">
        <f t="shared" si="95"/>
        <v>116</v>
      </c>
      <c r="N98" s="83">
        <f t="shared" si="95"/>
        <v>116</v>
      </c>
      <c r="O98" s="83">
        <f t="shared" si="95"/>
        <v>116</v>
      </c>
      <c r="P98" s="83">
        <f t="shared" si="95"/>
        <v>99</v>
      </c>
      <c r="Q98" s="83">
        <f t="shared" si="95"/>
        <v>104</v>
      </c>
      <c r="R98" s="84">
        <f t="shared" si="95"/>
        <v>1356</v>
      </c>
      <c r="S98" s="55"/>
      <c r="T98" s="85">
        <f>+T85+T72+T59</f>
        <v>6673100.0547769461</v>
      </c>
      <c r="U98" s="85">
        <f>+U85+U72+U59</f>
        <v>427326.10194594815</v>
      </c>
    </row>
    <row r="99" spans="2:21">
      <c r="B99" s="86" t="s">
        <v>147</v>
      </c>
      <c r="C99" s="87">
        <v>41.767239866643273</v>
      </c>
      <c r="D99" s="88">
        <v>11.467822424986839</v>
      </c>
      <c r="E99" s="55"/>
      <c r="F99" s="89">
        <f>+SUM(F100:F107)</f>
        <v>924</v>
      </c>
      <c r="G99" s="90">
        <f t="shared" ref="G99" si="96">+SUM(G100:G107)</f>
        <v>929</v>
      </c>
      <c r="H99" s="90">
        <f t="shared" ref="H99" si="97">+SUM(H100:H107)</f>
        <v>929</v>
      </c>
      <c r="I99" s="90">
        <f t="shared" ref="I99" si="98">+SUM(I100:I107)</f>
        <v>935</v>
      </c>
      <c r="J99" s="90">
        <f t="shared" ref="J99" si="99">+SUM(J100:J107)</f>
        <v>935</v>
      </c>
      <c r="K99" s="90">
        <f t="shared" ref="K99" si="100">+SUM(K100:K107)</f>
        <v>954</v>
      </c>
      <c r="L99" s="90">
        <f t="shared" ref="L99" si="101">+SUM(L100:L107)</f>
        <v>954</v>
      </c>
      <c r="M99" s="90">
        <f t="shared" ref="M99" si="102">+SUM(M100:M107)</f>
        <v>964</v>
      </c>
      <c r="N99" s="90">
        <f t="shared" ref="N99" si="103">+SUM(N100:N107)</f>
        <v>971</v>
      </c>
      <c r="O99" s="90">
        <f t="shared" ref="O99" si="104">+SUM(O100:O107)</f>
        <v>971</v>
      </c>
      <c r="P99" s="90">
        <f t="shared" ref="P99" si="105">+SUM(P100:P107)</f>
        <v>966</v>
      </c>
      <c r="Q99" s="90">
        <f t="shared" ref="Q99" si="106">+SUM(Q100:Q107)</f>
        <v>966</v>
      </c>
      <c r="R99" s="91">
        <f t="shared" ref="R99" si="107">+SUM(R100:R107)</f>
        <v>13109</v>
      </c>
      <c r="S99" s="55"/>
      <c r="T99" s="92">
        <f>+SUM(T100:T107)</f>
        <v>548137.09</v>
      </c>
      <c r="U99" s="92">
        <f>+SUM(U100:U107)</f>
        <v>150414.41499999998</v>
      </c>
    </row>
    <row r="100" spans="2:21">
      <c r="B100" s="93" t="s">
        <v>148</v>
      </c>
      <c r="C100" s="67">
        <v>24</v>
      </c>
      <c r="D100" s="68">
        <v>7.4599999999999991</v>
      </c>
      <c r="E100" s="55"/>
      <c r="F100" s="69">
        <v>820</v>
      </c>
      <c r="G100" s="70">
        <v>820</v>
      </c>
      <c r="H100" s="70">
        <v>820</v>
      </c>
      <c r="I100" s="70">
        <v>820</v>
      </c>
      <c r="J100" s="70">
        <v>820</v>
      </c>
      <c r="K100" s="70">
        <v>820</v>
      </c>
      <c r="L100" s="70">
        <v>820</v>
      </c>
      <c r="M100" s="70">
        <v>820</v>
      </c>
      <c r="N100" s="70">
        <v>820</v>
      </c>
      <c r="O100" s="70">
        <v>820</v>
      </c>
      <c r="P100" s="70">
        <v>820</v>
      </c>
      <c r="Q100" s="70">
        <v>820</v>
      </c>
      <c r="R100" s="71">
        <f t="shared" ref="R100:R107" si="108">ROUNDUP(R46*1.15,0)</f>
        <v>11316</v>
      </c>
      <c r="S100" s="55"/>
      <c r="T100" s="72">
        <f t="shared" ref="T100:T107" si="109">+R100*C100</f>
        <v>271584</v>
      </c>
      <c r="U100" s="193">
        <f t="shared" ref="U100:U107" si="110">+R100*D100</f>
        <v>84417.359999999986</v>
      </c>
    </row>
    <row r="101" spans="2:21">
      <c r="B101" s="93" t="s">
        <v>149</v>
      </c>
      <c r="C101" s="67">
        <v>0</v>
      </c>
      <c r="D101" s="68">
        <v>0</v>
      </c>
      <c r="E101" s="55"/>
      <c r="F101" s="69">
        <v>0</v>
      </c>
      <c r="G101" s="70">
        <v>0</v>
      </c>
      <c r="H101" s="70">
        <v>0</v>
      </c>
      <c r="I101" s="70">
        <v>0</v>
      </c>
      <c r="J101" s="70">
        <v>0</v>
      </c>
      <c r="K101" s="70">
        <v>0</v>
      </c>
      <c r="L101" s="70">
        <v>0</v>
      </c>
      <c r="M101" s="70">
        <v>0</v>
      </c>
      <c r="N101" s="70">
        <v>0</v>
      </c>
      <c r="O101" s="70">
        <v>0</v>
      </c>
      <c r="P101" s="70">
        <v>0</v>
      </c>
      <c r="Q101" s="70">
        <v>0</v>
      </c>
      <c r="R101" s="71">
        <f t="shared" si="108"/>
        <v>0</v>
      </c>
      <c r="S101" s="55"/>
      <c r="T101" s="72">
        <f t="shared" si="109"/>
        <v>0</v>
      </c>
      <c r="U101" s="193">
        <f t="shared" si="110"/>
        <v>0</v>
      </c>
    </row>
    <row r="102" spans="2:21">
      <c r="B102" s="93" t="s">
        <v>150</v>
      </c>
      <c r="C102" s="67">
        <v>0</v>
      </c>
      <c r="D102" s="68">
        <v>0</v>
      </c>
      <c r="E102" s="55"/>
      <c r="F102" s="69">
        <v>0</v>
      </c>
      <c r="G102" s="70">
        <v>0</v>
      </c>
      <c r="H102" s="70">
        <v>0</v>
      </c>
      <c r="I102" s="70">
        <v>0</v>
      </c>
      <c r="J102" s="70">
        <v>0</v>
      </c>
      <c r="K102" s="70">
        <v>0</v>
      </c>
      <c r="L102" s="70">
        <v>0</v>
      </c>
      <c r="M102" s="70">
        <v>0</v>
      </c>
      <c r="N102" s="70">
        <v>0</v>
      </c>
      <c r="O102" s="70">
        <v>0</v>
      </c>
      <c r="P102" s="70">
        <v>0</v>
      </c>
      <c r="Q102" s="70">
        <v>0</v>
      </c>
      <c r="R102" s="71">
        <f t="shared" si="108"/>
        <v>0</v>
      </c>
      <c r="S102" s="55"/>
      <c r="T102" s="72">
        <f t="shared" si="109"/>
        <v>0</v>
      </c>
      <c r="U102" s="193">
        <f t="shared" si="110"/>
        <v>0</v>
      </c>
    </row>
    <row r="103" spans="2:21">
      <c r="B103" s="93" t="s">
        <v>151</v>
      </c>
      <c r="C103" s="67">
        <v>0</v>
      </c>
      <c r="D103" s="68">
        <v>0</v>
      </c>
      <c r="E103" s="55"/>
      <c r="F103" s="69">
        <v>0</v>
      </c>
      <c r="G103" s="70">
        <v>0</v>
      </c>
      <c r="H103" s="70">
        <v>0</v>
      </c>
      <c r="I103" s="70">
        <v>0</v>
      </c>
      <c r="J103" s="70">
        <v>0</v>
      </c>
      <c r="K103" s="70">
        <v>0</v>
      </c>
      <c r="L103" s="70">
        <v>0</v>
      </c>
      <c r="M103" s="70">
        <v>0</v>
      </c>
      <c r="N103" s="70">
        <v>0</v>
      </c>
      <c r="O103" s="70">
        <v>0</v>
      </c>
      <c r="P103" s="70">
        <v>0</v>
      </c>
      <c r="Q103" s="70">
        <v>0</v>
      </c>
      <c r="R103" s="71">
        <f t="shared" si="108"/>
        <v>0</v>
      </c>
      <c r="S103" s="55"/>
      <c r="T103" s="72">
        <f t="shared" si="109"/>
        <v>0</v>
      </c>
      <c r="U103" s="193">
        <f t="shared" si="110"/>
        <v>0</v>
      </c>
    </row>
    <row r="104" spans="2:21">
      <c r="B104" s="93" t="s">
        <v>152</v>
      </c>
      <c r="C104" s="67">
        <v>800</v>
      </c>
      <c r="D104" s="68">
        <v>119.87999999999995</v>
      </c>
      <c r="E104" s="55"/>
      <c r="F104" s="69">
        <v>4</v>
      </c>
      <c r="G104" s="70">
        <v>4</v>
      </c>
      <c r="H104" s="70">
        <v>4</v>
      </c>
      <c r="I104" s="70">
        <v>4</v>
      </c>
      <c r="J104" s="70">
        <v>4</v>
      </c>
      <c r="K104" s="70">
        <v>4</v>
      </c>
      <c r="L104" s="70">
        <v>4</v>
      </c>
      <c r="M104" s="70">
        <v>4</v>
      </c>
      <c r="N104" s="70">
        <v>4</v>
      </c>
      <c r="O104" s="70">
        <v>4</v>
      </c>
      <c r="P104" s="70">
        <v>4</v>
      </c>
      <c r="Q104" s="70">
        <v>4</v>
      </c>
      <c r="R104" s="71">
        <f t="shared" si="108"/>
        <v>56</v>
      </c>
      <c r="S104" s="55"/>
      <c r="T104" s="72">
        <f t="shared" si="109"/>
        <v>44800</v>
      </c>
      <c r="U104" s="193">
        <f t="shared" si="110"/>
        <v>6713.279999999997</v>
      </c>
    </row>
    <row r="105" spans="2:21">
      <c r="B105" s="93" t="s">
        <v>153</v>
      </c>
      <c r="C105" s="67">
        <v>2167.4499999999998</v>
      </c>
      <c r="D105" s="68">
        <v>775.30166666666673</v>
      </c>
      <c r="E105" s="55"/>
      <c r="F105" s="69">
        <v>5</v>
      </c>
      <c r="G105" s="70">
        <v>5</v>
      </c>
      <c r="H105" s="70">
        <v>5</v>
      </c>
      <c r="I105" s="70">
        <v>5</v>
      </c>
      <c r="J105" s="70">
        <v>5</v>
      </c>
      <c r="K105" s="70">
        <v>5</v>
      </c>
      <c r="L105" s="70">
        <v>5</v>
      </c>
      <c r="M105" s="70">
        <v>5</v>
      </c>
      <c r="N105" s="70">
        <v>5</v>
      </c>
      <c r="O105" s="70">
        <v>5</v>
      </c>
      <c r="P105" s="70">
        <v>5</v>
      </c>
      <c r="Q105" s="70">
        <v>5</v>
      </c>
      <c r="R105" s="71">
        <f t="shared" si="108"/>
        <v>69</v>
      </c>
      <c r="S105" s="55"/>
      <c r="T105" s="72">
        <f t="shared" si="109"/>
        <v>149554.04999999999</v>
      </c>
      <c r="U105" s="193">
        <f t="shared" si="110"/>
        <v>53495.815000000002</v>
      </c>
    </row>
    <row r="106" spans="2:21">
      <c r="B106" s="93" t="s">
        <v>154</v>
      </c>
      <c r="C106" s="67">
        <v>0</v>
      </c>
      <c r="D106" s="68">
        <v>0</v>
      </c>
      <c r="E106" s="55"/>
      <c r="F106" s="69">
        <v>0</v>
      </c>
      <c r="G106" s="70">
        <v>0</v>
      </c>
      <c r="H106" s="70">
        <v>0</v>
      </c>
      <c r="I106" s="70">
        <v>0</v>
      </c>
      <c r="J106" s="70">
        <v>0</v>
      </c>
      <c r="K106" s="70">
        <v>0</v>
      </c>
      <c r="L106" s="70">
        <v>0</v>
      </c>
      <c r="M106" s="70">
        <v>0</v>
      </c>
      <c r="N106" s="70">
        <v>0</v>
      </c>
      <c r="O106" s="70">
        <v>0</v>
      </c>
      <c r="P106" s="70">
        <v>0</v>
      </c>
      <c r="Q106" s="70">
        <v>0</v>
      </c>
      <c r="R106" s="71">
        <f t="shared" si="108"/>
        <v>0</v>
      </c>
      <c r="S106" s="55"/>
      <c r="T106" s="72">
        <f t="shared" si="109"/>
        <v>0</v>
      </c>
      <c r="U106" s="193">
        <f t="shared" si="110"/>
        <v>0</v>
      </c>
    </row>
    <row r="107" spans="2:21">
      <c r="B107" s="93" t="s">
        <v>155</v>
      </c>
      <c r="C107" s="67">
        <v>49.28</v>
      </c>
      <c r="D107" s="68">
        <v>3.47</v>
      </c>
      <c r="E107" s="55"/>
      <c r="F107" s="69">
        <v>95</v>
      </c>
      <c r="G107" s="70">
        <v>100</v>
      </c>
      <c r="H107" s="70">
        <v>100</v>
      </c>
      <c r="I107" s="70">
        <v>106</v>
      </c>
      <c r="J107" s="70">
        <v>106</v>
      </c>
      <c r="K107" s="70">
        <v>125</v>
      </c>
      <c r="L107" s="70">
        <v>125</v>
      </c>
      <c r="M107" s="70">
        <v>135</v>
      </c>
      <c r="N107" s="70">
        <v>142</v>
      </c>
      <c r="O107" s="70">
        <v>142</v>
      </c>
      <c r="P107" s="70">
        <v>137</v>
      </c>
      <c r="Q107" s="70">
        <v>137</v>
      </c>
      <c r="R107" s="71">
        <f t="shared" si="108"/>
        <v>1668</v>
      </c>
      <c r="S107" s="55"/>
      <c r="T107" s="72">
        <f t="shared" si="109"/>
        <v>82199.040000000008</v>
      </c>
      <c r="U107" s="193">
        <f t="shared" si="110"/>
        <v>5787.96</v>
      </c>
    </row>
    <row r="108" spans="2:21" ht="12" thickBot="1">
      <c r="B108" s="94" t="s">
        <v>156</v>
      </c>
      <c r="C108" s="95"/>
      <c r="D108" s="96"/>
      <c r="E108" s="55"/>
      <c r="F108" s="97">
        <f>+F99+F98</f>
        <v>1023</v>
      </c>
      <c r="G108" s="98">
        <f t="shared" ref="G108:R108" si="111">+G99+G98</f>
        <v>1043</v>
      </c>
      <c r="H108" s="98">
        <f t="shared" si="111"/>
        <v>1037</v>
      </c>
      <c r="I108" s="98">
        <f t="shared" si="111"/>
        <v>1042</v>
      </c>
      <c r="J108" s="98">
        <f t="shared" si="111"/>
        <v>1062</v>
      </c>
      <c r="K108" s="98">
        <f t="shared" si="111"/>
        <v>1069</v>
      </c>
      <c r="L108" s="98">
        <f t="shared" si="111"/>
        <v>1069</v>
      </c>
      <c r="M108" s="98">
        <f t="shared" si="111"/>
        <v>1080</v>
      </c>
      <c r="N108" s="98">
        <f t="shared" si="111"/>
        <v>1087</v>
      </c>
      <c r="O108" s="98">
        <f t="shared" si="111"/>
        <v>1087</v>
      </c>
      <c r="P108" s="98">
        <f t="shared" si="111"/>
        <v>1065</v>
      </c>
      <c r="Q108" s="98">
        <f t="shared" si="111"/>
        <v>1070</v>
      </c>
      <c r="R108" s="99">
        <f t="shared" si="111"/>
        <v>14465</v>
      </c>
      <c r="S108" s="55"/>
      <c r="T108" s="100">
        <f>+T99+T98</f>
        <v>7221237.1447769459</v>
      </c>
      <c r="U108" s="100">
        <f>+U99+U98</f>
        <v>577740.51694594813</v>
      </c>
    </row>
    <row r="110" spans="2:21" ht="12" thickBot="1"/>
    <row r="111" spans="2:21">
      <c r="B111" s="273" t="s">
        <v>211</v>
      </c>
      <c r="C111" s="275" t="s">
        <v>114</v>
      </c>
      <c r="D111" s="277" t="s">
        <v>115</v>
      </c>
      <c r="E111" s="55"/>
      <c r="F111" s="279" t="s">
        <v>116</v>
      </c>
      <c r="G111" s="280"/>
      <c r="H111" s="280"/>
      <c r="I111" s="280"/>
      <c r="J111" s="280"/>
      <c r="K111" s="280"/>
      <c r="L111" s="280"/>
      <c r="M111" s="280"/>
      <c r="N111" s="280"/>
      <c r="O111" s="280"/>
      <c r="P111" s="280"/>
      <c r="Q111" s="281"/>
      <c r="R111" s="275" t="s">
        <v>117</v>
      </c>
      <c r="S111" s="55"/>
      <c r="T111" s="269" t="s">
        <v>118</v>
      </c>
      <c r="U111" s="271" t="s">
        <v>210</v>
      </c>
    </row>
    <row r="112" spans="2:21" ht="12" thickBot="1">
      <c r="B112" s="274"/>
      <c r="C112" s="276"/>
      <c r="D112" s="278"/>
      <c r="E112" s="55"/>
      <c r="F112" s="56" t="s">
        <v>119</v>
      </c>
      <c r="G112" s="57" t="s">
        <v>120</v>
      </c>
      <c r="H112" s="57" t="s">
        <v>121</v>
      </c>
      <c r="I112" s="57" t="s">
        <v>122</v>
      </c>
      <c r="J112" s="57" t="s">
        <v>123</v>
      </c>
      <c r="K112" s="57" t="s">
        <v>124</v>
      </c>
      <c r="L112" s="57" t="s">
        <v>125</v>
      </c>
      <c r="M112" s="57" t="s">
        <v>126</v>
      </c>
      <c r="N112" s="57" t="s">
        <v>127</v>
      </c>
      <c r="O112" s="57" t="s">
        <v>128</v>
      </c>
      <c r="P112" s="57" t="s">
        <v>129</v>
      </c>
      <c r="Q112" s="57" t="s">
        <v>130</v>
      </c>
      <c r="R112" s="276"/>
      <c r="S112" s="55"/>
      <c r="T112" s="270"/>
      <c r="U112" s="272"/>
    </row>
    <row r="113" spans="2:21">
      <c r="B113" s="58" t="s">
        <v>131</v>
      </c>
      <c r="C113" s="59">
        <v>5231.0116822429909</v>
      </c>
      <c r="D113" s="60">
        <v>261.95999999999975</v>
      </c>
      <c r="E113" s="55"/>
      <c r="F113" s="61">
        <f>+SUM(F114:F125)</f>
        <v>51</v>
      </c>
      <c r="G113" s="62">
        <f t="shared" ref="G113" si="112">+SUM(G114:G125)</f>
        <v>63</v>
      </c>
      <c r="H113" s="62">
        <f t="shared" ref="H113" si="113">+SUM(H114:H125)</f>
        <v>58</v>
      </c>
      <c r="I113" s="62">
        <f t="shared" ref="I113" si="114">+SUM(I114:I125)</f>
        <v>58</v>
      </c>
      <c r="J113" s="62">
        <f t="shared" ref="J113" si="115">+SUM(J114:J125)</f>
        <v>71</v>
      </c>
      <c r="K113" s="62">
        <f t="shared" ref="K113" si="116">+SUM(K114:K125)</f>
        <v>62</v>
      </c>
      <c r="L113" s="62">
        <f t="shared" ref="L113" si="117">+SUM(L114:L125)</f>
        <v>59</v>
      </c>
      <c r="M113" s="62">
        <f t="shared" ref="M113" si="118">+SUM(M114:M125)</f>
        <v>59</v>
      </c>
      <c r="N113" s="62">
        <f t="shared" ref="N113" si="119">+SUM(N114:N125)</f>
        <v>59</v>
      </c>
      <c r="O113" s="62">
        <f t="shared" ref="O113" si="120">+SUM(O114:O125)</f>
        <v>59</v>
      </c>
      <c r="P113" s="62">
        <f t="shared" ref="P113" si="121">+SUM(P114:P125)</f>
        <v>50</v>
      </c>
      <c r="Q113" s="62">
        <f t="shared" ref="Q113" si="122">+SUM(Q114:Q125)</f>
        <v>54</v>
      </c>
      <c r="R113" s="63">
        <f t="shared" ref="R113" si="123">+SUM(R114:R125)</f>
        <v>559</v>
      </c>
      <c r="S113" s="55"/>
      <c r="T113" s="64">
        <f>+SUM(T114:T125)</f>
        <v>3221299.9350000001</v>
      </c>
      <c r="U113" s="65">
        <f>+SUM(U114:U125)</f>
        <v>146435.63999999998</v>
      </c>
    </row>
    <row r="114" spans="2:21">
      <c r="B114" s="66" t="s">
        <v>132</v>
      </c>
      <c r="C114" s="67">
        <f>+C60*1.05</f>
        <v>6644.7675000000008</v>
      </c>
      <c r="D114" s="68">
        <v>261.95999999999992</v>
      </c>
      <c r="E114" s="55"/>
      <c r="F114" s="69">
        <f>ROUNDUP(F60*1.15,0)</f>
        <v>5</v>
      </c>
      <c r="G114" s="70">
        <f t="shared" ref="G114:Q114" si="124">ROUNDUP(G60*1.15,0)</f>
        <v>6</v>
      </c>
      <c r="H114" s="70">
        <f t="shared" si="124"/>
        <v>5</v>
      </c>
      <c r="I114" s="70">
        <f t="shared" si="124"/>
        <v>6</v>
      </c>
      <c r="J114" s="70">
        <f t="shared" si="124"/>
        <v>7</v>
      </c>
      <c r="K114" s="70">
        <f t="shared" si="124"/>
        <v>6</v>
      </c>
      <c r="L114" s="70">
        <f t="shared" si="124"/>
        <v>6</v>
      </c>
      <c r="M114" s="70">
        <f t="shared" si="124"/>
        <v>6</v>
      </c>
      <c r="N114" s="70">
        <f t="shared" si="124"/>
        <v>6</v>
      </c>
      <c r="O114" s="70">
        <f t="shared" si="124"/>
        <v>6</v>
      </c>
      <c r="P114" s="70">
        <f t="shared" si="124"/>
        <v>6</v>
      </c>
      <c r="Q114" s="70">
        <f t="shared" si="124"/>
        <v>6</v>
      </c>
      <c r="R114" s="71">
        <f>ROUNDUP(R60*1.15,0)</f>
        <v>61</v>
      </c>
      <c r="S114" s="55"/>
      <c r="T114" s="72">
        <f>+R114*C114</f>
        <v>405330.81750000006</v>
      </c>
      <c r="U114" s="193">
        <f>+R114*D114</f>
        <v>15979.559999999996</v>
      </c>
    </row>
    <row r="115" spans="2:21">
      <c r="B115" s="66" t="s">
        <v>133</v>
      </c>
      <c r="C115" s="67">
        <f t="shared" ref="C115:C125" si="125">+C61*1.05</f>
        <v>6644.7675000000008</v>
      </c>
      <c r="D115" s="68">
        <v>261.95999999999987</v>
      </c>
      <c r="E115" s="55"/>
      <c r="F115" s="69">
        <f t="shared" ref="F115:R115" si="126">ROUNDUP(F61*1.15,0)</f>
        <v>13</v>
      </c>
      <c r="G115" s="70">
        <f t="shared" si="126"/>
        <v>14</v>
      </c>
      <c r="H115" s="70">
        <f t="shared" si="126"/>
        <v>13</v>
      </c>
      <c r="I115" s="70">
        <f t="shared" si="126"/>
        <v>14</v>
      </c>
      <c r="J115" s="70">
        <f t="shared" si="126"/>
        <v>17</v>
      </c>
      <c r="K115" s="70">
        <f t="shared" si="126"/>
        <v>14</v>
      </c>
      <c r="L115" s="70">
        <f t="shared" si="126"/>
        <v>14</v>
      </c>
      <c r="M115" s="70">
        <f t="shared" si="126"/>
        <v>14</v>
      </c>
      <c r="N115" s="70">
        <f t="shared" si="126"/>
        <v>14</v>
      </c>
      <c r="O115" s="70">
        <f t="shared" si="126"/>
        <v>14</v>
      </c>
      <c r="P115" s="70">
        <f t="shared" si="126"/>
        <v>12</v>
      </c>
      <c r="Q115" s="70">
        <f t="shared" si="126"/>
        <v>12</v>
      </c>
      <c r="R115" s="71">
        <f t="shared" si="126"/>
        <v>150</v>
      </c>
      <c r="S115" s="55"/>
      <c r="T115" s="72">
        <f t="shared" ref="T115:T125" si="127">+R115*C115</f>
        <v>996715.12500000012</v>
      </c>
      <c r="U115" s="193">
        <f t="shared" ref="U115:U125" si="128">+R115*D115</f>
        <v>39293.999999999978</v>
      </c>
    </row>
    <row r="116" spans="2:21">
      <c r="B116" s="66" t="s">
        <v>134</v>
      </c>
      <c r="C116" s="67">
        <f t="shared" si="125"/>
        <v>6514.6724999999997</v>
      </c>
      <c r="D116" s="68">
        <v>261.96000000000004</v>
      </c>
      <c r="E116" s="55"/>
      <c r="F116" s="69">
        <f t="shared" ref="F116:R116" si="129">ROUNDUP(F62*1.15,0)</f>
        <v>3</v>
      </c>
      <c r="G116" s="70">
        <f t="shared" si="129"/>
        <v>4</v>
      </c>
      <c r="H116" s="70">
        <f t="shared" si="129"/>
        <v>4</v>
      </c>
      <c r="I116" s="70">
        <f t="shared" si="129"/>
        <v>3</v>
      </c>
      <c r="J116" s="70">
        <f t="shared" si="129"/>
        <v>4</v>
      </c>
      <c r="K116" s="70">
        <f t="shared" si="129"/>
        <v>4</v>
      </c>
      <c r="L116" s="70">
        <f t="shared" si="129"/>
        <v>3</v>
      </c>
      <c r="M116" s="70">
        <f t="shared" si="129"/>
        <v>3</v>
      </c>
      <c r="N116" s="70">
        <f t="shared" si="129"/>
        <v>3</v>
      </c>
      <c r="O116" s="70">
        <f t="shared" si="129"/>
        <v>3</v>
      </c>
      <c r="P116" s="70">
        <f t="shared" si="129"/>
        <v>3</v>
      </c>
      <c r="Q116" s="70">
        <f t="shared" si="129"/>
        <v>3</v>
      </c>
      <c r="R116" s="71">
        <f t="shared" si="129"/>
        <v>21</v>
      </c>
      <c r="S116" s="55"/>
      <c r="T116" s="72">
        <f t="shared" si="127"/>
        <v>136808.1225</v>
      </c>
      <c r="U116" s="193">
        <f t="shared" si="128"/>
        <v>5501.1600000000008</v>
      </c>
    </row>
    <row r="117" spans="2:21">
      <c r="B117" s="66" t="s">
        <v>135</v>
      </c>
      <c r="C117" s="67">
        <f t="shared" si="125"/>
        <v>6514.6724999999997</v>
      </c>
      <c r="D117" s="68">
        <v>261.96000000000004</v>
      </c>
      <c r="E117" s="55"/>
      <c r="F117" s="69">
        <f t="shared" ref="F117:R117" si="130">ROUNDUP(F63*1.15,0)</f>
        <v>4</v>
      </c>
      <c r="G117" s="70">
        <f t="shared" si="130"/>
        <v>4</v>
      </c>
      <c r="H117" s="70">
        <f t="shared" si="130"/>
        <v>4</v>
      </c>
      <c r="I117" s="70">
        <f t="shared" si="130"/>
        <v>4</v>
      </c>
      <c r="J117" s="70">
        <f t="shared" si="130"/>
        <v>5</v>
      </c>
      <c r="K117" s="70">
        <f t="shared" si="130"/>
        <v>5</v>
      </c>
      <c r="L117" s="70">
        <f t="shared" si="130"/>
        <v>5</v>
      </c>
      <c r="M117" s="70">
        <f t="shared" si="130"/>
        <v>5</v>
      </c>
      <c r="N117" s="70">
        <f t="shared" si="130"/>
        <v>5</v>
      </c>
      <c r="O117" s="70">
        <f t="shared" si="130"/>
        <v>5</v>
      </c>
      <c r="P117" s="70">
        <f t="shared" si="130"/>
        <v>5</v>
      </c>
      <c r="Q117" s="70">
        <f t="shared" si="130"/>
        <v>5</v>
      </c>
      <c r="R117" s="71">
        <f t="shared" si="130"/>
        <v>42</v>
      </c>
      <c r="S117" s="55"/>
      <c r="T117" s="72">
        <f t="shared" si="127"/>
        <v>273616.245</v>
      </c>
      <c r="U117" s="193">
        <f t="shared" si="128"/>
        <v>11002.320000000002</v>
      </c>
    </row>
    <row r="118" spans="2:21">
      <c r="B118" s="66" t="s">
        <v>136</v>
      </c>
      <c r="C118" s="67">
        <f t="shared" si="125"/>
        <v>5603.4562500000002</v>
      </c>
      <c r="D118" s="68">
        <v>261.95999999999987</v>
      </c>
      <c r="E118" s="55"/>
      <c r="F118" s="69">
        <f t="shared" ref="F118:R118" si="131">ROUNDUP(F64*1.15,0)</f>
        <v>6</v>
      </c>
      <c r="G118" s="70">
        <f t="shared" si="131"/>
        <v>9</v>
      </c>
      <c r="H118" s="70">
        <f t="shared" si="131"/>
        <v>9</v>
      </c>
      <c r="I118" s="70">
        <f t="shared" si="131"/>
        <v>9</v>
      </c>
      <c r="J118" s="70">
        <f t="shared" si="131"/>
        <v>11</v>
      </c>
      <c r="K118" s="70">
        <f t="shared" si="131"/>
        <v>9</v>
      </c>
      <c r="L118" s="70">
        <f t="shared" si="131"/>
        <v>9</v>
      </c>
      <c r="M118" s="70">
        <f t="shared" si="131"/>
        <v>9</v>
      </c>
      <c r="N118" s="70">
        <f t="shared" si="131"/>
        <v>9</v>
      </c>
      <c r="O118" s="70">
        <f t="shared" si="131"/>
        <v>9</v>
      </c>
      <c r="P118" s="70">
        <f t="shared" si="131"/>
        <v>7</v>
      </c>
      <c r="Q118" s="70">
        <f t="shared" si="131"/>
        <v>7</v>
      </c>
      <c r="R118" s="71">
        <f t="shared" si="131"/>
        <v>90</v>
      </c>
      <c r="S118" s="55"/>
      <c r="T118" s="72">
        <f t="shared" si="127"/>
        <v>504311.0625</v>
      </c>
      <c r="U118" s="193">
        <f t="shared" si="128"/>
        <v>23576.399999999987</v>
      </c>
    </row>
    <row r="119" spans="2:21">
      <c r="B119" s="66" t="s">
        <v>137</v>
      </c>
      <c r="C119" s="67">
        <f t="shared" si="125"/>
        <v>5603.4562500000002</v>
      </c>
      <c r="D119" s="68">
        <v>261.96000000000026</v>
      </c>
      <c r="E119" s="55"/>
      <c r="F119" s="69">
        <f t="shared" ref="F119:R119" si="132">ROUNDUP(F65*1.15,0)</f>
        <v>6</v>
      </c>
      <c r="G119" s="70">
        <f t="shared" si="132"/>
        <v>9</v>
      </c>
      <c r="H119" s="70">
        <f t="shared" si="132"/>
        <v>7</v>
      </c>
      <c r="I119" s="70">
        <f t="shared" si="132"/>
        <v>7</v>
      </c>
      <c r="J119" s="70">
        <f t="shared" si="132"/>
        <v>9</v>
      </c>
      <c r="K119" s="70">
        <f t="shared" si="132"/>
        <v>7</v>
      </c>
      <c r="L119" s="70">
        <f t="shared" si="132"/>
        <v>7</v>
      </c>
      <c r="M119" s="70">
        <f t="shared" si="132"/>
        <v>7</v>
      </c>
      <c r="N119" s="70">
        <f t="shared" si="132"/>
        <v>7</v>
      </c>
      <c r="O119" s="70">
        <f t="shared" si="132"/>
        <v>7</v>
      </c>
      <c r="P119" s="70">
        <f t="shared" si="132"/>
        <v>6</v>
      </c>
      <c r="Q119" s="70">
        <f t="shared" si="132"/>
        <v>6</v>
      </c>
      <c r="R119" s="71">
        <f t="shared" si="132"/>
        <v>78</v>
      </c>
      <c r="S119" s="55"/>
      <c r="T119" s="72">
        <f t="shared" si="127"/>
        <v>437069.58750000002</v>
      </c>
      <c r="U119" s="193">
        <f t="shared" si="128"/>
        <v>20432.880000000019</v>
      </c>
    </row>
    <row r="120" spans="2:21">
      <c r="B120" s="66" t="s">
        <v>138</v>
      </c>
      <c r="C120" s="67">
        <f t="shared" si="125"/>
        <v>4476.1500000000005</v>
      </c>
      <c r="D120" s="68">
        <v>261.95999999999981</v>
      </c>
      <c r="E120" s="55"/>
      <c r="F120" s="69">
        <f t="shared" ref="F120:R120" si="133">ROUNDUP(F66*1.15,0)</f>
        <v>3</v>
      </c>
      <c r="G120" s="70">
        <f t="shared" si="133"/>
        <v>3</v>
      </c>
      <c r="H120" s="70">
        <f t="shared" si="133"/>
        <v>3</v>
      </c>
      <c r="I120" s="70">
        <f t="shared" si="133"/>
        <v>3</v>
      </c>
      <c r="J120" s="70">
        <f t="shared" si="133"/>
        <v>3</v>
      </c>
      <c r="K120" s="70">
        <f t="shared" si="133"/>
        <v>3</v>
      </c>
      <c r="L120" s="70">
        <f t="shared" si="133"/>
        <v>3</v>
      </c>
      <c r="M120" s="70">
        <f t="shared" si="133"/>
        <v>3</v>
      </c>
      <c r="N120" s="70">
        <f t="shared" si="133"/>
        <v>3</v>
      </c>
      <c r="O120" s="70">
        <f t="shared" si="133"/>
        <v>3</v>
      </c>
      <c r="P120" s="70">
        <f t="shared" si="133"/>
        <v>0</v>
      </c>
      <c r="Q120" s="70">
        <f t="shared" si="133"/>
        <v>3</v>
      </c>
      <c r="R120" s="71">
        <f t="shared" si="133"/>
        <v>15</v>
      </c>
      <c r="S120" s="55"/>
      <c r="T120" s="72">
        <f t="shared" si="127"/>
        <v>67142.250000000015</v>
      </c>
      <c r="U120" s="193">
        <f t="shared" si="128"/>
        <v>3929.3999999999969</v>
      </c>
    </row>
    <row r="121" spans="2:21">
      <c r="B121" s="66" t="s">
        <v>139</v>
      </c>
      <c r="C121" s="67">
        <f t="shared" si="125"/>
        <v>4476.1500000000005</v>
      </c>
      <c r="D121" s="68">
        <v>261.96000000000004</v>
      </c>
      <c r="E121" s="55"/>
      <c r="F121" s="69">
        <f t="shared" ref="F121:R121" si="134">ROUNDUP(F67*1.15,0)</f>
        <v>3</v>
      </c>
      <c r="G121" s="70">
        <f t="shared" si="134"/>
        <v>4</v>
      </c>
      <c r="H121" s="70">
        <f t="shared" si="134"/>
        <v>4</v>
      </c>
      <c r="I121" s="70">
        <f t="shared" si="134"/>
        <v>3</v>
      </c>
      <c r="J121" s="70">
        <f t="shared" si="134"/>
        <v>4</v>
      </c>
      <c r="K121" s="70">
        <f t="shared" si="134"/>
        <v>4</v>
      </c>
      <c r="L121" s="70">
        <f t="shared" si="134"/>
        <v>3</v>
      </c>
      <c r="M121" s="70">
        <f t="shared" si="134"/>
        <v>3</v>
      </c>
      <c r="N121" s="70">
        <f t="shared" si="134"/>
        <v>3</v>
      </c>
      <c r="O121" s="70">
        <f t="shared" si="134"/>
        <v>3</v>
      </c>
      <c r="P121" s="70">
        <f t="shared" si="134"/>
        <v>3</v>
      </c>
      <c r="Q121" s="70">
        <f t="shared" si="134"/>
        <v>3</v>
      </c>
      <c r="R121" s="71">
        <f t="shared" si="134"/>
        <v>21</v>
      </c>
      <c r="S121" s="55"/>
      <c r="T121" s="72">
        <f t="shared" si="127"/>
        <v>93999.150000000009</v>
      </c>
      <c r="U121" s="193">
        <f t="shared" si="128"/>
        <v>5501.1600000000008</v>
      </c>
    </row>
    <row r="122" spans="2:21">
      <c r="B122" s="66" t="s">
        <v>140</v>
      </c>
      <c r="C122" s="67">
        <f t="shared" si="125"/>
        <v>3781.5750000000003</v>
      </c>
      <c r="D122" s="68">
        <v>261.96000000000009</v>
      </c>
      <c r="E122" s="55"/>
      <c r="F122" s="69">
        <f t="shared" ref="F122:R122" si="135">ROUNDUP(F68*1.15,0)</f>
        <v>5</v>
      </c>
      <c r="G122" s="70">
        <f t="shared" si="135"/>
        <v>6</v>
      </c>
      <c r="H122" s="70">
        <f t="shared" si="135"/>
        <v>5</v>
      </c>
      <c r="I122" s="70">
        <f t="shared" si="135"/>
        <v>6</v>
      </c>
      <c r="J122" s="70">
        <f t="shared" si="135"/>
        <v>7</v>
      </c>
      <c r="K122" s="70">
        <f t="shared" si="135"/>
        <v>6</v>
      </c>
      <c r="L122" s="70">
        <f t="shared" si="135"/>
        <v>6</v>
      </c>
      <c r="M122" s="70">
        <f t="shared" si="135"/>
        <v>6</v>
      </c>
      <c r="N122" s="70">
        <f t="shared" si="135"/>
        <v>6</v>
      </c>
      <c r="O122" s="70">
        <f t="shared" si="135"/>
        <v>6</v>
      </c>
      <c r="P122" s="70">
        <f t="shared" si="135"/>
        <v>5</v>
      </c>
      <c r="Q122" s="70">
        <f t="shared" si="135"/>
        <v>6</v>
      </c>
      <c r="R122" s="71">
        <f t="shared" si="135"/>
        <v>60</v>
      </c>
      <c r="S122" s="55"/>
      <c r="T122" s="72">
        <f t="shared" si="127"/>
        <v>226894.50000000003</v>
      </c>
      <c r="U122" s="193">
        <f t="shared" si="128"/>
        <v>15717.600000000006</v>
      </c>
    </row>
    <row r="123" spans="2:21">
      <c r="B123" s="66" t="s">
        <v>141</v>
      </c>
      <c r="C123" s="67">
        <f t="shared" si="125"/>
        <v>3781.5750000000003</v>
      </c>
      <c r="D123" s="68">
        <v>261.96000000000004</v>
      </c>
      <c r="E123" s="55"/>
      <c r="F123" s="69">
        <f t="shared" ref="F123:R123" si="136">ROUNDUP(F69*1.15,0)</f>
        <v>3</v>
      </c>
      <c r="G123" s="70">
        <f t="shared" si="136"/>
        <v>4</v>
      </c>
      <c r="H123" s="70">
        <f t="shared" si="136"/>
        <v>4</v>
      </c>
      <c r="I123" s="70">
        <f t="shared" si="136"/>
        <v>3</v>
      </c>
      <c r="J123" s="70">
        <f t="shared" si="136"/>
        <v>4</v>
      </c>
      <c r="K123" s="70">
        <f t="shared" si="136"/>
        <v>4</v>
      </c>
      <c r="L123" s="70">
        <f t="shared" si="136"/>
        <v>3</v>
      </c>
      <c r="M123" s="70">
        <f t="shared" si="136"/>
        <v>3</v>
      </c>
      <c r="N123" s="70">
        <f t="shared" si="136"/>
        <v>3</v>
      </c>
      <c r="O123" s="70">
        <f t="shared" si="136"/>
        <v>3</v>
      </c>
      <c r="P123" s="70">
        <f t="shared" si="136"/>
        <v>3</v>
      </c>
      <c r="Q123" s="70">
        <f t="shared" si="136"/>
        <v>3</v>
      </c>
      <c r="R123" s="71">
        <f t="shared" si="136"/>
        <v>21</v>
      </c>
      <c r="S123" s="55"/>
      <c r="T123" s="72">
        <f t="shared" si="127"/>
        <v>79413.075000000012</v>
      </c>
      <c r="U123" s="193">
        <f t="shared" si="128"/>
        <v>5501.1600000000008</v>
      </c>
    </row>
    <row r="124" spans="2:21">
      <c r="B124" s="66" t="s">
        <v>142</v>
      </c>
      <c r="C124" s="67">
        <f t="shared" si="125"/>
        <v>0</v>
      </c>
      <c r="D124" s="68">
        <v>0</v>
      </c>
      <c r="E124" s="55"/>
      <c r="F124" s="69">
        <f t="shared" ref="F124:R124" si="137">ROUNDUP(F70*1.15,0)</f>
        <v>0</v>
      </c>
      <c r="G124" s="70">
        <f t="shared" si="137"/>
        <v>0</v>
      </c>
      <c r="H124" s="70">
        <f t="shared" si="137"/>
        <v>0</v>
      </c>
      <c r="I124" s="70">
        <f t="shared" si="137"/>
        <v>0</v>
      </c>
      <c r="J124" s="70">
        <f t="shared" si="137"/>
        <v>0</v>
      </c>
      <c r="K124" s="70">
        <f t="shared" si="137"/>
        <v>0</v>
      </c>
      <c r="L124" s="70">
        <f t="shared" si="137"/>
        <v>0</v>
      </c>
      <c r="M124" s="70">
        <f t="shared" si="137"/>
        <v>0</v>
      </c>
      <c r="N124" s="70">
        <f t="shared" si="137"/>
        <v>0</v>
      </c>
      <c r="O124" s="70">
        <f t="shared" si="137"/>
        <v>0</v>
      </c>
      <c r="P124" s="70">
        <f t="shared" si="137"/>
        <v>0</v>
      </c>
      <c r="Q124" s="70">
        <f t="shared" si="137"/>
        <v>0</v>
      </c>
      <c r="R124" s="71">
        <f t="shared" si="137"/>
        <v>0</v>
      </c>
      <c r="S124" s="55"/>
      <c r="T124" s="72">
        <f t="shared" si="127"/>
        <v>0</v>
      </c>
      <c r="U124" s="193">
        <f t="shared" si="128"/>
        <v>0</v>
      </c>
    </row>
    <row r="125" spans="2:21" ht="12" thickBot="1">
      <c r="B125" s="66" t="s">
        <v>143</v>
      </c>
      <c r="C125" s="67">
        <f t="shared" si="125"/>
        <v>0</v>
      </c>
      <c r="D125" s="68">
        <v>0</v>
      </c>
      <c r="E125" s="55"/>
      <c r="F125" s="69">
        <f t="shared" ref="F125:R125" si="138">ROUNDUP(F71*1.15,0)</f>
        <v>0</v>
      </c>
      <c r="G125" s="70">
        <f t="shared" si="138"/>
        <v>0</v>
      </c>
      <c r="H125" s="70">
        <f t="shared" si="138"/>
        <v>0</v>
      </c>
      <c r="I125" s="70">
        <f t="shared" si="138"/>
        <v>0</v>
      </c>
      <c r="J125" s="70">
        <f t="shared" si="138"/>
        <v>0</v>
      </c>
      <c r="K125" s="70">
        <f t="shared" si="138"/>
        <v>0</v>
      </c>
      <c r="L125" s="70">
        <f t="shared" si="138"/>
        <v>0</v>
      </c>
      <c r="M125" s="70">
        <f t="shared" si="138"/>
        <v>0</v>
      </c>
      <c r="N125" s="70">
        <f t="shared" si="138"/>
        <v>0</v>
      </c>
      <c r="O125" s="70">
        <f t="shared" si="138"/>
        <v>0</v>
      </c>
      <c r="P125" s="70">
        <f t="shared" si="138"/>
        <v>0</v>
      </c>
      <c r="Q125" s="70">
        <f t="shared" si="138"/>
        <v>0</v>
      </c>
      <c r="R125" s="71">
        <f t="shared" si="138"/>
        <v>0</v>
      </c>
      <c r="S125" s="55"/>
      <c r="T125" s="72">
        <f t="shared" si="127"/>
        <v>0</v>
      </c>
      <c r="U125" s="193">
        <f t="shared" si="128"/>
        <v>0</v>
      </c>
    </row>
    <row r="126" spans="2:21">
      <c r="B126" s="75" t="s">
        <v>144</v>
      </c>
      <c r="C126" s="76">
        <v>5123.9832402234633</v>
      </c>
      <c r="D126" s="77">
        <v>357.16234636871474</v>
      </c>
      <c r="E126" s="55"/>
      <c r="F126" s="61">
        <f>+SUM(F127:F138)</f>
        <v>15</v>
      </c>
      <c r="G126" s="62">
        <f t="shared" ref="G126" si="139">+SUM(G127:G138)</f>
        <v>16</v>
      </c>
      <c r="H126" s="62">
        <f t="shared" ref="H126" si="140">+SUM(H127:H138)</f>
        <v>15</v>
      </c>
      <c r="I126" s="62">
        <f t="shared" ref="I126" si="141">+SUM(I127:I138)</f>
        <v>15</v>
      </c>
      <c r="J126" s="62">
        <f t="shared" ref="J126" si="142">+SUM(J127:J138)</f>
        <v>17</v>
      </c>
      <c r="K126" s="62">
        <f t="shared" ref="K126" si="143">+SUM(K127:K138)</f>
        <v>15</v>
      </c>
      <c r="L126" s="62">
        <f t="shared" ref="L126" si="144">+SUM(L127:L138)</f>
        <v>15</v>
      </c>
      <c r="M126" s="62">
        <f t="shared" ref="M126" si="145">+SUM(M127:M138)</f>
        <v>15</v>
      </c>
      <c r="N126" s="62">
        <f t="shared" ref="N126" si="146">+SUM(N127:N138)</f>
        <v>15</v>
      </c>
      <c r="O126" s="62">
        <f t="shared" ref="O126" si="147">+SUM(O127:O138)</f>
        <v>15</v>
      </c>
      <c r="P126" s="62">
        <f t="shared" ref="P126" si="148">+SUM(P127:P138)</f>
        <v>13</v>
      </c>
      <c r="Q126" s="62">
        <f t="shared" ref="Q126" si="149">+SUM(Q127:Q138)</f>
        <v>13</v>
      </c>
      <c r="R126" s="63">
        <f t="shared" ref="R126" si="150">+SUM(R127:R138)</f>
        <v>235</v>
      </c>
      <c r="S126" s="55"/>
      <c r="T126" s="64">
        <f>+SUM(T127:T138)</f>
        <v>1325972.6189457832</v>
      </c>
      <c r="U126" s="65">
        <f>+SUM(U127:U138)</f>
        <v>83914.735662650521</v>
      </c>
    </row>
    <row r="127" spans="2:21">
      <c r="B127" s="66" t="s">
        <v>132</v>
      </c>
      <c r="C127" s="67">
        <f>+C73*1.05</f>
        <v>0</v>
      </c>
      <c r="D127" s="68">
        <v>0</v>
      </c>
      <c r="E127" s="55"/>
      <c r="F127" s="69">
        <v>0</v>
      </c>
      <c r="G127" s="70">
        <v>0</v>
      </c>
      <c r="H127" s="70">
        <v>0</v>
      </c>
      <c r="I127" s="70">
        <v>0</v>
      </c>
      <c r="J127" s="70">
        <v>0</v>
      </c>
      <c r="K127" s="70">
        <v>0</v>
      </c>
      <c r="L127" s="70">
        <v>0</v>
      </c>
      <c r="M127" s="70">
        <v>0</v>
      </c>
      <c r="N127" s="70">
        <v>0</v>
      </c>
      <c r="O127" s="70">
        <v>0</v>
      </c>
      <c r="P127" s="70">
        <v>0</v>
      </c>
      <c r="Q127" s="70">
        <v>0</v>
      </c>
      <c r="R127" s="71">
        <f>ROUNDUP(R73*1.15,0)</f>
        <v>0</v>
      </c>
      <c r="S127" s="55"/>
      <c r="T127" s="72">
        <f>+R127*C127</f>
        <v>0</v>
      </c>
      <c r="U127" s="193">
        <f>+R127*D127</f>
        <v>0</v>
      </c>
    </row>
    <row r="128" spans="2:21">
      <c r="B128" s="66" t="s">
        <v>133</v>
      </c>
      <c r="C128" s="67">
        <f t="shared" ref="C128:C138" si="151">+C74*1.05</f>
        <v>5833.7525602409651</v>
      </c>
      <c r="D128" s="68">
        <v>362.18481927710872</v>
      </c>
      <c r="E128" s="55"/>
      <c r="F128" s="69">
        <v>7</v>
      </c>
      <c r="G128" s="70">
        <v>7</v>
      </c>
      <c r="H128" s="70">
        <v>7</v>
      </c>
      <c r="I128" s="70">
        <v>7</v>
      </c>
      <c r="J128" s="70">
        <v>8</v>
      </c>
      <c r="K128" s="70">
        <v>7</v>
      </c>
      <c r="L128" s="70">
        <v>7</v>
      </c>
      <c r="M128" s="70">
        <v>7</v>
      </c>
      <c r="N128" s="70">
        <v>7</v>
      </c>
      <c r="O128" s="70">
        <v>7</v>
      </c>
      <c r="P128" s="70">
        <v>6</v>
      </c>
      <c r="Q128" s="70">
        <v>6</v>
      </c>
      <c r="R128" s="71">
        <f t="shared" ref="R128" si="152">ROUNDUP(R74*1.15,0)</f>
        <v>107</v>
      </c>
      <c r="S128" s="55"/>
      <c r="T128" s="72">
        <f t="shared" ref="T128:T138" si="153">+R128*C128</f>
        <v>624211.52394578326</v>
      </c>
      <c r="U128" s="193">
        <f t="shared" ref="U128:U138" si="154">+R128*D128</f>
        <v>38753.775662650631</v>
      </c>
    </row>
    <row r="129" spans="2:21">
      <c r="B129" s="66" t="s">
        <v>134</v>
      </c>
      <c r="C129" s="67">
        <f t="shared" si="151"/>
        <v>0</v>
      </c>
      <c r="D129" s="68">
        <v>0</v>
      </c>
      <c r="E129" s="55"/>
      <c r="F129" s="69">
        <v>0</v>
      </c>
      <c r="G129" s="70">
        <v>0</v>
      </c>
      <c r="H129" s="70">
        <v>0</v>
      </c>
      <c r="I129" s="70">
        <v>0</v>
      </c>
      <c r="J129" s="70">
        <v>0</v>
      </c>
      <c r="K129" s="70">
        <v>0</v>
      </c>
      <c r="L129" s="70">
        <v>0</v>
      </c>
      <c r="M129" s="70">
        <v>0</v>
      </c>
      <c r="N129" s="70">
        <v>0</v>
      </c>
      <c r="O129" s="70">
        <v>0</v>
      </c>
      <c r="P129" s="70">
        <v>0</v>
      </c>
      <c r="Q129" s="70">
        <v>0</v>
      </c>
      <c r="R129" s="71">
        <f t="shared" ref="R129" si="155">ROUNDUP(R75*1.15,0)</f>
        <v>0</v>
      </c>
      <c r="S129" s="55"/>
      <c r="T129" s="72">
        <f t="shared" si="153"/>
        <v>0</v>
      </c>
      <c r="U129" s="193">
        <f t="shared" si="154"/>
        <v>0</v>
      </c>
    </row>
    <row r="130" spans="2:21">
      <c r="B130" s="66" t="s">
        <v>135</v>
      </c>
      <c r="C130" s="67">
        <f t="shared" si="151"/>
        <v>6514.6724999999997</v>
      </c>
      <c r="D130" s="68">
        <v>352.81999999999971</v>
      </c>
      <c r="E130" s="55"/>
      <c r="F130" s="69">
        <v>1</v>
      </c>
      <c r="G130" s="70">
        <v>1</v>
      </c>
      <c r="H130" s="70">
        <v>1</v>
      </c>
      <c r="I130" s="70">
        <v>1</v>
      </c>
      <c r="J130" s="70">
        <v>1</v>
      </c>
      <c r="K130" s="70">
        <v>1</v>
      </c>
      <c r="L130" s="70">
        <v>1</v>
      </c>
      <c r="M130" s="70">
        <v>1</v>
      </c>
      <c r="N130" s="70">
        <v>1</v>
      </c>
      <c r="O130" s="70">
        <v>1</v>
      </c>
      <c r="P130" s="70">
        <v>1</v>
      </c>
      <c r="Q130" s="70">
        <v>1</v>
      </c>
      <c r="R130" s="71">
        <f t="shared" ref="R130" si="156">ROUNDUP(R76*1.15,0)</f>
        <v>17</v>
      </c>
      <c r="S130" s="55"/>
      <c r="T130" s="72">
        <f t="shared" si="153"/>
        <v>110749.4325</v>
      </c>
      <c r="U130" s="193">
        <f t="shared" si="154"/>
        <v>5997.9399999999951</v>
      </c>
    </row>
    <row r="131" spans="2:21">
      <c r="B131" s="66" t="s">
        <v>136</v>
      </c>
      <c r="C131" s="67">
        <f t="shared" si="151"/>
        <v>0</v>
      </c>
      <c r="D131" s="68">
        <v>0</v>
      </c>
      <c r="E131" s="55"/>
      <c r="F131" s="69">
        <v>0</v>
      </c>
      <c r="G131" s="70">
        <v>0</v>
      </c>
      <c r="H131" s="70">
        <v>0</v>
      </c>
      <c r="I131" s="70">
        <v>0</v>
      </c>
      <c r="J131" s="70">
        <v>0</v>
      </c>
      <c r="K131" s="70">
        <v>0</v>
      </c>
      <c r="L131" s="70">
        <v>0</v>
      </c>
      <c r="M131" s="70">
        <v>0</v>
      </c>
      <c r="N131" s="70">
        <v>0</v>
      </c>
      <c r="O131" s="70">
        <v>0</v>
      </c>
      <c r="P131" s="70">
        <v>0</v>
      </c>
      <c r="Q131" s="70">
        <v>0</v>
      </c>
      <c r="R131" s="71">
        <f t="shared" ref="R131" si="157">ROUNDUP(R77*1.15,0)</f>
        <v>0</v>
      </c>
      <c r="S131" s="55"/>
      <c r="T131" s="72">
        <f t="shared" si="153"/>
        <v>0</v>
      </c>
      <c r="U131" s="193">
        <f t="shared" si="154"/>
        <v>0</v>
      </c>
    </row>
    <row r="132" spans="2:21">
      <c r="B132" s="66" t="s">
        <v>137</v>
      </c>
      <c r="C132" s="67">
        <f t="shared" si="151"/>
        <v>5603.4562500000002</v>
      </c>
      <c r="D132" s="68">
        <v>352.81999999999891</v>
      </c>
      <c r="E132" s="55"/>
      <c r="F132" s="69">
        <v>6</v>
      </c>
      <c r="G132" s="70">
        <v>7</v>
      </c>
      <c r="H132" s="70">
        <v>6</v>
      </c>
      <c r="I132" s="70">
        <v>6</v>
      </c>
      <c r="J132" s="70">
        <v>7</v>
      </c>
      <c r="K132" s="70">
        <v>6</v>
      </c>
      <c r="L132" s="70">
        <v>6</v>
      </c>
      <c r="M132" s="70">
        <v>6</v>
      </c>
      <c r="N132" s="70">
        <v>6</v>
      </c>
      <c r="O132" s="70">
        <v>6</v>
      </c>
      <c r="P132" s="70">
        <v>5</v>
      </c>
      <c r="Q132" s="70">
        <v>5</v>
      </c>
      <c r="R132" s="71">
        <f t="shared" ref="R132" si="158">ROUNDUP(R78*1.15,0)</f>
        <v>94</v>
      </c>
      <c r="S132" s="55"/>
      <c r="T132" s="72">
        <f t="shared" si="153"/>
        <v>526724.88750000007</v>
      </c>
      <c r="U132" s="193">
        <f t="shared" si="154"/>
        <v>33165.0799999999</v>
      </c>
    </row>
    <row r="133" spans="2:21">
      <c r="B133" s="66" t="s">
        <v>138</v>
      </c>
      <c r="C133" s="67">
        <f t="shared" si="151"/>
        <v>0</v>
      </c>
      <c r="D133" s="68">
        <v>0</v>
      </c>
      <c r="E133" s="55"/>
      <c r="F133" s="69">
        <v>0</v>
      </c>
      <c r="G133" s="70">
        <v>0</v>
      </c>
      <c r="H133" s="70">
        <v>0</v>
      </c>
      <c r="I133" s="70">
        <v>0</v>
      </c>
      <c r="J133" s="70">
        <v>0</v>
      </c>
      <c r="K133" s="70">
        <v>0</v>
      </c>
      <c r="L133" s="70">
        <v>0</v>
      </c>
      <c r="M133" s="70">
        <v>0</v>
      </c>
      <c r="N133" s="70">
        <v>0</v>
      </c>
      <c r="O133" s="70">
        <v>0</v>
      </c>
      <c r="P133" s="70">
        <v>0</v>
      </c>
      <c r="Q133" s="70">
        <v>0</v>
      </c>
      <c r="R133" s="71">
        <f t="shared" ref="R133" si="159">ROUNDUP(R79*1.15,0)</f>
        <v>0</v>
      </c>
      <c r="S133" s="55"/>
      <c r="T133" s="72">
        <f t="shared" si="153"/>
        <v>0</v>
      </c>
      <c r="U133" s="193">
        <f t="shared" si="154"/>
        <v>0</v>
      </c>
    </row>
    <row r="134" spans="2:21">
      <c r="B134" s="66" t="s">
        <v>139</v>
      </c>
      <c r="C134" s="67">
        <f t="shared" si="151"/>
        <v>0</v>
      </c>
      <c r="D134" s="68">
        <v>0</v>
      </c>
      <c r="E134" s="55"/>
      <c r="F134" s="69">
        <v>0</v>
      </c>
      <c r="G134" s="70">
        <v>0</v>
      </c>
      <c r="H134" s="70">
        <v>0</v>
      </c>
      <c r="I134" s="70">
        <v>0</v>
      </c>
      <c r="J134" s="70">
        <v>0</v>
      </c>
      <c r="K134" s="70">
        <v>0</v>
      </c>
      <c r="L134" s="70">
        <v>0</v>
      </c>
      <c r="M134" s="70">
        <v>0</v>
      </c>
      <c r="N134" s="70">
        <v>0</v>
      </c>
      <c r="O134" s="70">
        <v>0</v>
      </c>
      <c r="P134" s="70">
        <v>0</v>
      </c>
      <c r="Q134" s="70">
        <v>0</v>
      </c>
      <c r="R134" s="71">
        <f t="shared" ref="R134" si="160">ROUNDUP(R80*1.15,0)</f>
        <v>0</v>
      </c>
      <c r="S134" s="55"/>
      <c r="T134" s="72">
        <f t="shared" si="153"/>
        <v>0</v>
      </c>
      <c r="U134" s="193">
        <f t="shared" si="154"/>
        <v>0</v>
      </c>
    </row>
    <row r="135" spans="2:21">
      <c r="B135" s="66" t="s">
        <v>140</v>
      </c>
      <c r="C135" s="67">
        <f t="shared" si="151"/>
        <v>0</v>
      </c>
      <c r="D135" s="68">
        <v>0</v>
      </c>
      <c r="E135" s="55"/>
      <c r="F135" s="69">
        <v>0</v>
      </c>
      <c r="G135" s="70">
        <v>0</v>
      </c>
      <c r="H135" s="70">
        <v>0</v>
      </c>
      <c r="I135" s="70">
        <v>0</v>
      </c>
      <c r="J135" s="70">
        <v>0</v>
      </c>
      <c r="K135" s="70">
        <v>0</v>
      </c>
      <c r="L135" s="70">
        <v>0</v>
      </c>
      <c r="M135" s="70">
        <v>0</v>
      </c>
      <c r="N135" s="70">
        <v>0</v>
      </c>
      <c r="O135" s="70">
        <v>0</v>
      </c>
      <c r="P135" s="70">
        <v>0</v>
      </c>
      <c r="Q135" s="70">
        <v>0</v>
      </c>
      <c r="R135" s="71">
        <f t="shared" ref="R135" si="161">ROUNDUP(R81*1.15,0)</f>
        <v>0</v>
      </c>
      <c r="S135" s="55"/>
      <c r="T135" s="72">
        <f t="shared" si="153"/>
        <v>0</v>
      </c>
      <c r="U135" s="193">
        <f t="shared" si="154"/>
        <v>0</v>
      </c>
    </row>
    <row r="136" spans="2:21">
      <c r="B136" s="66" t="s">
        <v>141</v>
      </c>
      <c r="C136" s="67">
        <f t="shared" si="151"/>
        <v>3781.5750000000003</v>
      </c>
      <c r="D136" s="68">
        <v>352.82000000000033</v>
      </c>
      <c r="E136" s="55"/>
      <c r="F136" s="69">
        <v>1</v>
      </c>
      <c r="G136" s="70">
        <v>1</v>
      </c>
      <c r="H136" s="70">
        <v>1</v>
      </c>
      <c r="I136" s="70">
        <v>1</v>
      </c>
      <c r="J136" s="70">
        <v>1</v>
      </c>
      <c r="K136" s="70">
        <v>1</v>
      </c>
      <c r="L136" s="70">
        <v>1</v>
      </c>
      <c r="M136" s="70">
        <v>1</v>
      </c>
      <c r="N136" s="70">
        <v>1</v>
      </c>
      <c r="O136" s="70">
        <v>1</v>
      </c>
      <c r="P136" s="70">
        <v>1</v>
      </c>
      <c r="Q136" s="70">
        <v>1</v>
      </c>
      <c r="R136" s="71">
        <f t="shared" ref="R136" si="162">ROUNDUP(R82*1.15,0)</f>
        <v>17</v>
      </c>
      <c r="S136" s="55"/>
      <c r="T136" s="72">
        <f t="shared" si="153"/>
        <v>64286.775000000001</v>
      </c>
      <c r="U136" s="193">
        <f t="shared" si="154"/>
        <v>5997.940000000006</v>
      </c>
    </row>
    <row r="137" spans="2:21">
      <c r="B137" s="66" t="s">
        <v>142</v>
      </c>
      <c r="C137" s="67">
        <f t="shared" si="151"/>
        <v>0</v>
      </c>
      <c r="D137" s="68">
        <v>0</v>
      </c>
      <c r="E137" s="55"/>
      <c r="F137" s="69">
        <v>0</v>
      </c>
      <c r="G137" s="70">
        <v>0</v>
      </c>
      <c r="H137" s="70">
        <v>0</v>
      </c>
      <c r="I137" s="70">
        <v>0</v>
      </c>
      <c r="J137" s="70">
        <v>0</v>
      </c>
      <c r="K137" s="70">
        <v>0</v>
      </c>
      <c r="L137" s="70">
        <v>0</v>
      </c>
      <c r="M137" s="70">
        <v>0</v>
      </c>
      <c r="N137" s="70">
        <v>0</v>
      </c>
      <c r="O137" s="70">
        <v>0</v>
      </c>
      <c r="P137" s="70">
        <v>0</v>
      </c>
      <c r="Q137" s="70">
        <v>0</v>
      </c>
      <c r="R137" s="71">
        <f t="shared" ref="R137" si="163">ROUNDUP(R83*1.15,0)</f>
        <v>0</v>
      </c>
      <c r="S137" s="55"/>
      <c r="T137" s="72">
        <f t="shared" si="153"/>
        <v>0</v>
      </c>
      <c r="U137" s="193">
        <f t="shared" si="154"/>
        <v>0</v>
      </c>
    </row>
    <row r="138" spans="2:21" ht="12" thickBot="1">
      <c r="B138" s="66" t="s">
        <v>143</v>
      </c>
      <c r="C138" s="67">
        <f t="shared" si="151"/>
        <v>0</v>
      </c>
      <c r="D138" s="68">
        <v>0</v>
      </c>
      <c r="E138" s="55"/>
      <c r="F138" s="69">
        <v>0</v>
      </c>
      <c r="G138" s="70">
        <v>0</v>
      </c>
      <c r="H138" s="70">
        <v>0</v>
      </c>
      <c r="I138" s="70">
        <v>0</v>
      </c>
      <c r="J138" s="70">
        <v>0</v>
      </c>
      <c r="K138" s="70">
        <v>0</v>
      </c>
      <c r="L138" s="70">
        <v>0</v>
      </c>
      <c r="M138" s="70">
        <v>0</v>
      </c>
      <c r="N138" s="70">
        <v>0</v>
      </c>
      <c r="O138" s="70">
        <v>0</v>
      </c>
      <c r="P138" s="70">
        <v>0</v>
      </c>
      <c r="Q138" s="70">
        <v>0</v>
      </c>
      <c r="R138" s="71">
        <f t="shared" ref="R138" si="164">ROUNDUP(R84*1.15,0)</f>
        <v>0</v>
      </c>
      <c r="S138" s="55"/>
      <c r="T138" s="72">
        <f t="shared" si="153"/>
        <v>0</v>
      </c>
      <c r="U138" s="193">
        <f t="shared" si="154"/>
        <v>0</v>
      </c>
    </row>
    <row r="139" spans="2:21">
      <c r="B139" s="78" t="s">
        <v>145</v>
      </c>
      <c r="C139" s="76">
        <v>4165.4668006700167</v>
      </c>
      <c r="D139" s="77">
        <v>340.77142378559472</v>
      </c>
      <c r="E139" s="55"/>
      <c r="F139" s="61">
        <f>+SUM(F140:F151)</f>
        <v>44</v>
      </c>
      <c r="G139" s="62">
        <f t="shared" ref="G139" si="165">+SUM(G140:G151)</f>
        <v>48</v>
      </c>
      <c r="H139" s="62">
        <f t="shared" ref="H139" si="166">+SUM(H140:H151)</f>
        <v>47</v>
      </c>
      <c r="I139" s="62">
        <f t="shared" ref="I139" si="167">+SUM(I140:I151)</f>
        <v>46</v>
      </c>
      <c r="J139" s="62">
        <f t="shared" ref="J139" si="168">+SUM(J140:J151)</f>
        <v>53</v>
      </c>
      <c r="K139" s="62">
        <f t="shared" ref="K139" si="169">+SUM(K140:K151)</f>
        <v>50</v>
      </c>
      <c r="L139" s="62">
        <f t="shared" ref="L139" si="170">+SUM(L140:L151)</f>
        <v>53</v>
      </c>
      <c r="M139" s="62">
        <f t="shared" ref="M139" si="171">+SUM(M140:M151)</f>
        <v>54</v>
      </c>
      <c r="N139" s="62">
        <f t="shared" ref="N139" si="172">+SUM(N140:N151)</f>
        <v>54</v>
      </c>
      <c r="O139" s="62">
        <f t="shared" ref="O139" si="173">+SUM(O140:O151)</f>
        <v>54</v>
      </c>
      <c r="P139" s="62">
        <f t="shared" ref="P139" si="174">+SUM(P140:P151)</f>
        <v>46</v>
      </c>
      <c r="Q139" s="62">
        <f t="shared" ref="Q139" si="175">+SUM(Q140:Q151)</f>
        <v>48</v>
      </c>
      <c r="R139" s="63">
        <f t="shared" ref="R139" si="176">+SUM(R140:R151)</f>
        <v>774</v>
      </c>
      <c r="S139" s="55"/>
      <c r="T139" s="64">
        <f>+SUM(T140:T151)</f>
        <v>3554947.3121180586</v>
      </c>
      <c r="U139" s="65">
        <f>+SUM(U140:U151)</f>
        <v>263775.55964953476</v>
      </c>
    </row>
    <row r="140" spans="2:21">
      <c r="B140" s="66" t="s">
        <v>132</v>
      </c>
      <c r="C140" s="67">
        <f>+C86*1.05</f>
        <v>0</v>
      </c>
      <c r="D140" s="68">
        <v>0</v>
      </c>
      <c r="E140" s="55"/>
      <c r="F140" s="69">
        <v>0</v>
      </c>
      <c r="G140" s="70">
        <v>0</v>
      </c>
      <c r="H140" s="70">
        <v>0</v>
      </c>
      <c r="I140" s="70">
        <v>0</v>
      </c>
      <c r="J140" s="70">
        <v>0</v>
      </c>
      <c r="K140" s="70">
        <v>0</v>
      </c>
      <c r="L140" s="70">
        <v>0</v>
      </c>
      <c r="M140" s="70">
        <v>0</v>
      </c>
      <c r="N140" s="70">
        <v>0</v>
      </c>
      <c r="O140" s="70">
        <v>0</v>
      </c>
      <c r="P140" s="70">
        <v>0</v>
      </c>
      <c r="Q140" s="70">
        <v>0</v>
      </c>
      <c r="R140" s="71">
        <f>ROUNDUP(R86*1.15,0)</f>
        <v>0</v>
      </c>
      <c r="S140" s="55"/>
      <c r="T140" s="72">
        <f>+R140*C140</f>
        <v>0</v>
      </c>
      <c r="U140" s="193">
        <f>+R140*D140</f>
        <v>0</v>
      </c>
    </row>
    <row r="141" spans="2:21">
      <c r="B141" s="66" t="s">
        <v>133</v>
      </c>
      <c r="C141" s="67">
        <f t="shared" ref="C141:C151" si="177">+C87*1.05</f>
        <v>6238.3993269230778</v>
      </c>
      <c r="D141" s="68">
        <v>389.63912087912126</v>
      </c>
      <c r="E141" s="55"/>
      <c r="F141" s="69">
        <v>14</v>
      </c>
      <c r="G141" s="70">
        <v>14</v>
      </c>
      <c r="H141" s="70">
        <v>15</v>
      </c>
      <c r="I141" s="70">
        <v>14</v>
      </c>
      <c r="J141" s="70">
        <v>16</v>
      </c>
      <c r="K141" s="70">
        <v>16</v>
      </c>
      <c r="L141" s="70">
        <v>15</v>
      </c>
      <c r="M141" s="70">
        <v>16</v>
      </c>
      <c r="N141" s="70">
        <v>16</v>
      </c>
      <c r="O141" s="70">
        <v>16</v>
      </c>
      <c r="P141" s="70">
        <v>15</v>
      </c>
      <c r="Q141" s="70">
        <v>15</v>
      </c>
      <c r="R141" s="71">
        <f t="shared" ref="R141:R151" si="178">ROUNDUP(R87*1.15,0)</f>
        <v>235</v>
      </c>
      <c r="S141" s="55"/>
      <c r="T141" s="72">
        <f t="shared" ref="T141:T151" si="179">+R141*C141</f>
        <v>1466023.8418269232</v>
      </c>
      <c r="U141" s="193">
        <f t="shared" ref="U141:U151" si="180">+R141*D141</f>
        <v>91565.193406593491</v>
      </c>
    </row>
    <row r="142" spans="2:21">
      <c r="B142" s="66" t="s">
        <v>134</v>
      </c>
      <c r="C142" s="67">
        <f t="shared" si="177"/>
        <v>0</v>
      </c>
      <c r="D142" s="68">
        <v>0</v>
      </c>
      <c r="E142" s="55"/>
      <c r="F142" s="69">
        <v>0</v>
      </c>
      <c r="G142" s="70">
        <v>0</v>
      </c>
      <c r="H142" s="70">
        <v>0</v>
      </c>
      <c r="I142" s="70">
        <v>0</v>
      </c>
      <c r="J142" s="70">
        <v>0</v>
      </c>
      <c r="K142" s="70">
        <v>0</v>
      </c>
      <c r="L142" s="70">
        <v>0</v>
      </c>
      <c r="M142" s="70">
        <v>0</v>
      </c>
      <c r="N142" s="70">
        <v>0</v>
      </c>
      <c r="O142" s="70">
        <v>0</v>
      </c>
      <c r="P142" s="70">
        <v>0</v>
      </c>
      <c r="Q142" s="70">
        <v>0</v>
      </c>
      <c r="R142" s="71">
        <f t="shared" si="178"/>
        <v>0</v>
      </c>
      <c r="S142" s="55"/>
      <c r="T142" s="72">
        <f t="shared" si="179"/>
        <v>0</v>
      </c>
      <c r="U142" s="193">
        <f t="shared" si="180"/>
        <v>0</v>
      </c>
    </row>
    <row r="143" spans="2:21">
      <c r="B143" s="66" t="s">
        <v>135</v>
      </c>
      <c r="C143" s="67">
        <f t="shared" si="177"/>
        <v>6142.4054999999998</v>
      </c>
      <c r="D143" s="68">
        <v>339.33428571428607</v>
      </c>
      <c r="E143" s="55"/>
      <c r="F143" s="69">
        <v>2</v>
      </c>
      <c r="G143" s="70">
        <v>2</v>
      </c>
      <c r="H143" s="70">
        <v>2</v>
      </c>
      <c r="I143" s="70">
        <v>2</v>
      </c>
      <c r="J143" s="70">
        <v>2</v>
      </c>
      <c r="K143" s="70">
        <v>2</v>
      </c>
      <c r="L143" s="70">
        <v>4</v>
      </c>
      <c r="M143" s="70">
        <v>4</v>
      </c>
      <c r="N143" s="70">
        <v>4</v>
      </c>
      <c r="O143" s="70">
        <v>4</v>
      </c>
      <c r="P143" s="70">
        <v>3</v>
      </c>
      <c r="Q143" s="70">
        <v>4</v>
      </c>
      <c r="R143" s="71">
        <f t="shared" si="178"/>
        <v>46</v>
      </c>
      <c r="S143" s="55"/>
      <c r="T143" s="72">
        <f t="shared" si="179"/>
        <v>282550.65299999999</v>
      </c>
      <c r="U143" s="193">
        <f t="shared" si="180"/>
        <v>15609.37714285716</v>
      </c>
    </row>
    <row r="144" spans="2:21">
      <c r="B144" s="66" t="s">
        <v>136</v>
      </c>
      <c r="C144" s="67">
        <f t="shared" si="177"/>
        <v>0</v>
      </c>
      <c r="D144" s="68">
        <v>0</v>
      </c>
      <c r="E144" s="55"/>
      <c r="F144" s="69">
        <v>0</v>
      </c>
      <c r="G144" s="70">
        <v>0</v>
      </c>
      <c r="H144" s="70">
        <v>0</v>
      </c>
      <c r="I144" s="70">
        <v>0</v>
      </c>
      <c r="J144" s="70">
        <v>0</v>
      </c>
      <c r="K144" s="70">
        <v>0</v>
      </c>
      <c r="L144" s="70">
        <v>0</v>
      </c>
      <c r="M144" s="70">
        <v>0</v>
      </c>
      <c r="N144" s="70">
        <v>0</v>
      </c>
      <c r="O144" s="70">
        <v>0</v>
      </c>
      <c r="P144" s="70">
        <v>0</v>
      </c>
      <c r="Q144" s="70">
        <v>0</v>
      </c>
      <c r="R144" s="71">
        <f t="shared" si="178"/>
        <v>0</v>
      </c>
      <c r="S144" s="55"/>
      <c r="T144" s="72">
        <f t="shared" si="179"/>
        <v>0</v>
      </c>
      <c r="U144" s="193">
        <f t="shared" si="180"/>
        <v>0</v>
      </c>
    </row>
    <row r="145" spans="2:21">
      <c r="B145" s="66" t="s">
        <v>137</v>
      </c>
      <c r="C145" s="67">
        <f t="shared" si="177"/>
        <v>5087.2287972413797</v>
      </c>
      <c r="D145" s="68">
        <v>357.43448275862067</v>
      </c>
      <c r="E145" s="55"/>
      <c r="F145" s="69">
        <v>10</v>
      </c>
      <c r="G145" s="70">
        <v>12</v>
      </c>
      <c r="H145" s="70">
        <v>11</v>
      </c>
      <c r="I145" s="70">
        <v>12</v>
      </c>
      <c r="J145" s="70">
        <v>14</v>
      </c>
      <c r="K145" s="70">
        <v>12</v>
      </c>
      <c r="L145" s="70">
        <v>13</v>
      </c>
      <c r="M145" s="70">
        <v>13</v>
      </c>
      <c r="N145" s="70">
        <v>13</v>
      </c>
      <c r="O145" s="70">
        <v>13</v>
      </c>
      <c r="P145" s="70">
        <v>11</v>
      </c>
      <c r="Q145" s="70">
        <v>11</v>
      </c>
      <c r="R145" s="71">
        <f t="shared" si="178"/>
        <v>188</v>
      </c>
      <c r="S145" s="55"/>
      <c r="T145" s="72">
        <f t="shared" si="179"/>
        <v>956399.01388137939</v>
      </c>
      <c r="U145" s="193">
        <f t="shared" si="180"/>
        <v>67197.682758620693</v>
      </c>
    </row>
    <row r="146" spans="2:21">
      <c r="B146" s="66" t="s">
        <v>138</v>
      </c>
      <c r="C146" s="67">
        <f t="shared" si="177"/>
        <v>0</v>
      </c>
      <c r="D146" s="68">
        <v>0</v>
      </c>
      <c r="E146" s="55"/>
      <c r="F146" s="69">
        <v>0</v>
      </c>
      <c r="G146" s="70">
        <v>0</v>
      </c>
      <c r="H146" s="70">
        <v>0</v>
      </c>
      <c r="I146" s="70">
        <v>0</v>
      </c>
      <c r="J146" s="70">
        <v>0</v>
      </c>
      <c r="K146" s="70">
        <v>0</v>
      </c>
      <c r="L146" s="70">
        <v>0</v>
      </c>
      <c r="M146" s="70">
        <v>0</v>
      </c>
      <c r="N146" s="70">
        <v>0</v>
      </c>
      <c r="O146" s="70">
        <v>0</v>
      </c>
      <c r="P146" s="70">
        <v>0</v>
      </c>
      <c r="Q146" s="70">
        <v>0</v>
      </c>
      <c r="R146" s="71">
        <f t="shared" si="178"/>
        <v>0</v>
      </c>
      <c r="S146" s="55"/>
      <c r="T146" s="72">
        <f t="shared" si="179"/>
        <v>0</v>
      </c>
      <c r="U146" s="193">
        <f t="shared" si="180"/>
        <v>0</v>
      </c>
    </row>
    <row r="147" spans="2:21">
      <c r="B147" s="66" t="s">
        <v>139</v>
      </c>
      <c r="C147" s="67">
        <f t="shared" si="177"/>
        <v>4476.1500000000005</v>
      </c>
      <c r="D147" s="68">
        <v>359.90000000000015</v>
      </c>
      <c r="E147" s="55"/>
      <c r="F147" s="69">
        <v>2</v>
      </c>
      <c r="G147" s="70">
        <v>2</v>
      </c>
      <c r="H147" s="70">
        <v>2</v>
      </c>
      <c r="I147" s="70">
        <v>2</v>
      </c>
      <c r="J147" s="70">
        <v>2</v>
      </c>
      <c r="K147" s="70">
        <v>2</v>
      </c>
      <c r="L147" s="70">
        <v>2</v>
      </c>
      <c r="M147" s="70">
        <v>2</v>
      </c>
      <c r="N147" s="70">
        <v>2</v>
      </c>
      <c r="O147" s="70">
        <v>2</v>
      </c>
      <c r="P147" s="70">
        <v>1</v>
      </c>
      <c r="Q147" s="70">
        <v>1</v>
      </c>
      <c r="R147" s="71">
        <f t="shared" si="178"/>
        <v>29</v>
      </c>
      <c r="S147" s="55"/>
      <c r="T147" s="72">
        <f t="shared" si="179"/>
        <v>129808.35000000002</v>
      </c>
      <c r="U147" s="193">
        <f t="shared" si="180"/>
        <v>10437.100000000004</v>
      </c>
    </row>
    <row r="148" spans="2:21">
      <c r="B148" s="66" t="s">
        <v>140</v>
      </c>
      <c r="C148" s="67">
        <f t="shared" si="177"/>
        <v>0</v>
      </c>
      <c r="D148" s="68">
        <v>0</v>
      </c>
      <c r="E148" s="55"/>
      <c r="F148" s="69">
        <v>0</v>
      </c>
      <c r="G148" s="70">
        <v>0</v>
      </c>
      <c r="H148" s="70">
        <v>0</v>
      </c>
      <c r="I148" s="70">
        <v>0</v>
      </c>
      <c r="J148" s="70">
        <v>0</v>
      </c>
      <c r="K148" s="70">
        <v>0</v>
      </c>
      <c r="L148" s="70">
        <v>0</v>
      </c>
      <c r="M148" s="70">
        <v>0</v>
      </c>
      <c r="N148" s="70">
        <v>0</v>
      </c>
      <c r="O148" s="70">
        <v>0</v>
      </c>
      <c r="P148" s="70">
        <v>0</v>
      </c>
      <c r="Q148" s="70">
        <v>0</v>
      </c>
      <c r="R148" s="71">
        <f t="shared" si="178"/>
        <v>0</v>
      </c>
      <c r="S148" s="55"/>
      <c r="T148" s="72">
        <f t="shared" si="179"/>
        <v>0</v>
      </c>
      <c r="U148" s="193">
        <f t="shared" si="180"/>
        <v>0</v>
      </c>
    </row>
    <row r="149" spans="2:21">
      <c r="B149" s="66" t="s">
        <v>141</v>
      </c>
      <c r="C149" s="67">
        <f t="shared" si="177"/>
        <v>3781.5750000000003</v>
      </c>
      <c r="D149" s="68">
        <v>359.9</v>
      </c>
      <c r="E149" s="55"/>
      <c r="F149" s="69">
        <v>7</v>
      </c>
      <c r="G149" s="70">
        <v>8</v>
      </c>
      <c r="H149" s="70">
        <v>7</v>
      </c>
      <c r="I149" s="70">
        <v>7</v>
      </c>
      <c r="J149" s="70">
        <v>8</v>
      </c>
      <c r="K149" s="70">
        <v>8</v>
      </c>
      <c r="L149" s="70">
        <v>8</v>
      </c>
      <c r="M149" s="70">
        <v>8</v>
      </c>
      <c r="N149" s="70">
        <v>8</v>
      </c>
      <c r="O149" s="70">
        <v>8</v>
      </c>
      <c r="P149" s="70">
        <v>6</v>
      </c>
      <c r="Q149" s="70">
        <v>7</v>
      </c>
      <c r="R149" s="71">
        <f t="shared" si="178"/>
        <v>117</v>
      </c>
      <c r="S149" s="55"/>
      <c r="T149" s="72">
        <f t="shared" si="179"/>
        <v>442444.27500000002</v>
      </c>
      <c r="U149" s="193">
        <f t="shared" si="180"/>
        <v>42108.299999999996</v>
      </c>
    </row>
    <row r="150" spans="2:21">
      <c r="B150" s="66" t="s">
        <v>142</v>
      </c>
      <c r="C150" s="67">
        <f t="shared" si="177"/>
        <v>1746.6740780487808</v>
      </c>
      <c r="D150" s="68">
        <v>231.81073170731707</v>
      </c>
      <c r="E150" s="55"/>
      <c r="F150" s="69">
        <v>9</v>
      </c>
      <c r="G150" s="70">
        <v>10</v>
      </c>
      <c r="H150" s="70">
        <v>10</v>
      </c>
      <c r="I150" s="70">
        <v>9</v>
      </c>
      <c r="J150" s="70">
        <v>11</v>
      </c>
      <c r="K150" s="70">
        <v>10</v>
      </c>
      <c r="L150" s="70">
        <v>11</v>
      </c>
      <c r="M150" s="70">
        <v>11</v>
      </c>
      <c r="N150" s="70">
        <v>11</v>
      </c>
      <c r="O150" s="70">
        <v>11</v>
      </c>
      <c r="P150" s="70">
        <v>10</v>
      </c>
      <c r="Q150" s="70">
        <v>10</v>
      </c>
      <c r="R150" s="71">
        <f t="shared" si="178"/>
        <v>159</v>
      </c>
      <c r="S150" s="55"/>
      <c r="T150" s="72">
        <f t="shared" si="179"/>
        <v>277721.17840975616</v>
      </c>
      <c r="U150" s="193">
        <f t="shared" si="180"/>
        <v>36857.906341463415</v>
      </c>
    </row>
    <row r="151" spans="2:21">
      <c r="B151" s="66" t="s">
        <v>143</v>
      </c>
      <c r="C151" s="67">
        <f t="shared" si="177"/>
        <v>0</v>
      </c>
      <c r="D151" s="68">
        <v>0</v>
      </c>
      <c r="E151" s="55"/>
      <c r="F151" s="69">
        <v>0</v>
      </c>
      <c r="G151" s="70">
        <v>0</v>
      </c>
      <c r="H151" s="70">
        <v>0</v>
      </c>
      <c r="I151" s="70">
        <v>0</v>
      </c>
      <c r="J151" s="70">
        <v>0</v>
      </c>
      <c r="K151" s="70">
        <v>0</v>
      </c>
      <c r="L151" s="70">
        <v>0</v>
      </c>
      <c r="M151" s="70">
        <v>0</v>
      </c>
      <c r="N151" s="70">
        <v>0</v>
      </c>
      <c r="O151" s="70">
        <v>0</v>
      </c>
      <c r="P151" s="70">
        <v>0</v>
      </c>
      <c r="Q151" s="70">
        <v>0</v>
      </c>
      <c r="R151" s="71">
        <f t="shared" si="178"/>
        <v>0</v>
      </c>
      <c r="S151" s="55"/>
      <c r="T151" s="72">
        <f t="shared" si="179"/>
        <v>0</v>
      </c>
      <c r="U151" s="193">
        <f t="shared" si="180"/>
        <v>0</v>
      </c>
    </row>
    <row r="152" spans="2:21">
      <c r="B152" s="79" t="s">
        <v>146</v>
      </c>
      <c r="C152" s="80">
        <v>4686.7522259136213</v>
      </c>
      <c r="D152" s="81">
        <v>315.19225913621221</v>
      </c>
      <c r="E152" s="55"/>
      <c r="F152" s="82">
        <f>+F139+F126+F113</f>
        <v>110</v>
      </c>
      <c r="G152" s="83">
        <f t="shared" ref="G152:R152" si="181">+G139+G126+G113</f>
        <v>127</v>
      </c>
      <c r="H152" s="83">
        <f t="shared" si="181"/>
        <v>120</v>
      </c>
      <c r="I152" s="83">
        <f t="shared" si="181"/>
        <v>119</v>
      </c>
      <c r="J152" s="83">
        <f t="shared" si="181"/>
        <v>141</v>
      </c>
      <c r="K152" s="83">
        <f t="shared" si="181"/>
        <v>127</v>
      </c>
      <c r="L152" s="83">
        <f t="shared" si="181"/>
        <v>127</v>
      </c>
      <c r="M152" s="83">
        <f t="shared" si="181"/>
        <v>128</v>
      </c>
      <c r="N152" s="83">
        <f t="shared" si="181"/>
        <v>128</v>
      </c>
      <c r="O152" s="83">
        <f t="shared" si="181"/>
        <v>128</v>
      </c>
      <c r="P152" s="83">
        <f t="shared" si="181"/>
        <v>109</v>
      </c>
      <c r="Q152" s="83">
        <f t="shared" si="181"/>
        <v>115</v>
      </c>
      <c r="R152" s="84">
        <f t="shared" si="181"/>
        <v>1568</v>
      </c>
      <c r="S152" s="55"/>
      <c r="T152" s="85">
        <f>+T139+T126+T113</f>
        <v>8102219.8660638425</v>
      </c>
      <c r="U152" s="85">
        <f>+U139+U126+U113</f>
        <v>494125.93531218532</v>
      </c>
    </row>
    <row r="153" spans="2:21">
      <c r="B153" s="86" t="s">
        <v>147</v>
      </c>
      <c r="C153" s="87">
        <v>41.767239866643273</v>
      </c>
      <c r="D153" s="88">
        <v>11.467822424986839</v>
      </c>
      <c r="E153" s="55"/>
      <c r="F153" s="89">
        <f>+SUM(F154:F161)</f>
        <v>924</v>
      </c>
      <c r="G153" s="90">
        <f t="shared" ref="G153" si="182">+SUM(G154:G161)</f>
        <v>929</v>
      </c>
      <c r="H153" s="90">
        <f t="shared" ref="H153" si="183">+SUM(H154:H161)</f>
        <v>929</v>
      </c>
      <c r="I153" s="90">
        <f t="shared" ref="I153" si="184">+SUM(I154:I161)</f>
        <v>935</v>
      </c>
      <c r="J153" s="90">
        <f t="shared" ref="J153" si="185">+SUM(J154:J161)</f>
        <v>935</v>
      </c>
      <c r="K153" s="90">
        <f t="shared" ref="K153" si="186">+SUM(K154:K161)</f>
        <v>954</v>
      </c>
      <c r="L153" s="90">
        <f t="shared" ref="L153" si="187">+SUM(L154:L161)</f>
        <v>954</v>
      </c>
      <c r="M153" s="90">
        <f t="shared" ref="M153" si="188">+SUM(M154:M161)</f>
        <v>964</v>
      </c>
      <c r="N153" s="90">
        <f t="shared" ref="N153" si="189">+SUM(N154:N161)</f>
        <v>971</v>
      </c>
      <c r="O153" s="90">
        <f t="shared" ref="O153" si="190">+SUM(O154:O161)</f>
        <v>971</v>
      </c>
      <c r="P153" s="90">
        <f t="shared" ref="P153" si="191">+SUM(P154:P161)</f>
        <v>966</v>
      </c>
      <c r="Q153" s="90">
        <f t="shared" ref="Q153" si="192">+SUM(Q154:Q161)</f>
        <v>966</v>
      </c>
      <c r="R153" s="91">
        <f t="shared" ref="R153" si="193">+SUM(R154:R161)</f>
        <v>15078</v>
      </c>
      <c r="S153" s="55"/>
      <c r="T153" s="92">
        <f>+SUM(T154:T161)</f>
        <v>632300.32000000007</v>
      </c>
      <c r="U153" s="92">
        <f>+SUM(U154:U161)</f>
        <v>173559.70333333331</v>
      </c>
    </row>
    <row r="154" spans="2:21">
      <c r="B154" s="93" t="s">
        <v>148</v>
      </c>
      <c r="C154" s="67">
        <v>24</v>
      </c>
      <c r="D154" s="68">
        <v>7.4599999999999991</v>
      </c>
      <c r="E154" s="55"/>
      <c r="F154" s="69">
        <v>820</v>
      </c>
      <c r="G154" s="70">
        <v>820</v>
      </c>
      <c r="H154" s="70">
        <v>820</v>
      </c>
      <c r="I154" s="70">
        <v>820</v>
      </c>
      <c r="J154" s="70">
        <v>820</v>
      </c>
      <c r="K154" s="70">
        <v>820</v>
      </c>
      <c r="L154" s="70">
        <v>820</v>
      </c>
      <c r="M154" s="70">
        <v>820</v>
      </c>
      <c r="N154" s="70">
        <v>820</v>
      </c>
      <c r="O154" s="70">
        <v>820</v>
      </c>
      <c r="P154" s="70">
        <v>820</v>
      </c>
      <c r="Q154" s="70">
        <v>820</v>
      </c>
      <c r="R154" s="71">
        <f t="shared" ref="R154:R161" si="194">ROUNDUP(R100*1.15,0)</f>
        <v>13014</v>
      </c>
      <c r="S154" s="55"/>
      <c r="T154" s="72">
        <f t="shared" ref="T154:T161" si="195">+R154*C154</f>
        <v>312336</v>
      </c>
      <c r="U154" s="193">
        <f t="shared" ref="U154:U161" si="196">+R154*D154</f>
        <v>97084.439999999988</v>
      </c>
    </row>
    <row r="155" spans="2:21">
      <c r="B155" s="93" t="s">
        <v>149</v>
      </c>
      <c r="C155" s="67">
        <v>0</v>
      </c>
      <c r="D155" s="68">
        <v>0</v>
      </c>
      <c r="E155" s="55"/>
      <c r="F155" s="69">
        <v>0</v>
      </c>
      <c r="G155" s="70">
        <v>0</v>
      </c>
      <c r="H155" s="70">
        <v>0</v>
      </c>
      <c r="I155" s="70">
        <v>0</v>
      </c>
      <c r="J155" s="70">
        <v>0</v>
      </c>
      <c r="K155" s="70">
        <v>0</v>
      </c>
      <c r="L155" s="70">
        <v>0</v>
      </c>
      <c r="M155" s="70">
        <v>0</v>
      </c>
      <c r="N155" s="70">
        <v>0</v>
      </c>
      <c r="O155" s="70">
        <v>0</v>
      </c>
      <c r="P155" s="70">
        <v>0</v>
      </c>
      <c r="Q155" s="70">
        <v>0</v>
      </c>
      <c r="R155" s="71">
        <f t="shared" si="194"/>
        <v>0</v>
      </c>
      <c r="S155" s="55"/>
      <c r="T155" s="72">
        <f t="shared" si="195"/>
        <v>0</v>
      </c>
      <c r="U155" s="193">
        <f t="shared" si="196"/>
        <v>0</v>
      </c>
    </row>
    <row r="156" spans="2:21">
      <c r="B156" s="93" t="s">
        <v>150</v>
      </c>
      <c r="C156" s="67">
        <v>0</v>
      </c>
      <c r="D156" s="68">
        <v>0</v>
      </c>
      <c r="E156" s="55"/>
      <c r="F156" s="69">
        <v>0</v>
      </c>
      <c r="G156" s="70">
        <v>0</v>
      </c>
      <c r="H156" s="70">
        <v>0</v>
      </c>
      <c r="I156" s="70">
        <v>0</v>
      </c>
      <c r="J156" s="70">
        <v>0</v>
      </c>
      <c r="K156" s="70">
        <v>0</v>
      </c>
      <c r="L156" s="70">
        <v>0</v>
      </c>
      <c r="M156" s="70">
        <v>0</v>
      </c>
      <c r="N156" s="70">
        <v>0</v>
      </c>
      <c r="O156" s="70">
        <v>0</v>
      </c>
      <c r="P156" s="70">
        <v>0</v>
      </c>
      <c r="Q156" s="70">
        <v>0</v>
      </c>
      <c r="R156" s="71">
        <f t="shared" si="194"/>
        <v>0</v>
      </c>
      <c r="S156" s="55"/>
      <c r="T156" s="72">
        <f t="shared" si="195"/>
        <v>0</v>
      </c>
      <c r="U156" s="193">
        <f t="shared" si="196"/>
        <v>0</v>
      </c>
    </row>
    <row r="157" spans="2:21">
      <c r="B157" s="93" t="s">
        <v>151</v>
      </c>
      <c r="C157" s="67">
        <v>0</v>
      </c>
      <c r="D157" s="68">
        <v>0</v>
      </c>
      <c r="E157" s="55"/>
      <c r="F157" s="69">
        <v>0</v>
      </c>
      <c r="G157" s="70">
        <v>0</v>
      </c>
      <c r="H157" s="70">
        <v>0</v>
      </c>
      <c r="I157" s="70">
        <v>0</v>
      </c>
      <c r="J157" s="70">
        <v>0</v>
      </c>
      <c r="K157" s="70">
        <v>0</v>
      </c>
      <c r="L157" s="70">
        <v>0</v>
      </c>
      <c r="M157" s="70">
        <v>0</v>
      </c>
      <c r="N157" s="70">
        <v>0</v>
      </c>
      <c r="O157" s="70">
        <v>0</v>
      </c>
      <c r="P157" s="70">
        <v>0</v>
      </c>
      <c r="Q157" s="70">
        <v>0</v>
      </c>
      <c r="R157" s="71">
        <f t="shared" si="194"/>
        <v>0</v>
      </c>
      <c r="S157" s="55"/>
      <c r="T157" s="72">
        <f t="shared" si="195"/>
        <v>0</v>
      </c>
      <c r="U157" s="193">
        <f t="shared" si="196"/>
        <v>0</v>
      </c>
    </row>
    <row r="158" spans="2:21">
      <c r="B158" s="93" t="s">
        <v>152</v>
      </c>
      <c r="C158" s="67">
        <v>800</v>
      </c>
      <c r="D158" s="68">
        <v>119.87999999999995</v>
      </c>
      <c r="E158" s="55"/>
      <c r="F158" s="69">
        <v>4</v>
      </c>
      <c r="G158" s="70">
        <v>4</v>
      </c>
      <c r="H158" s="70">
        <v>4</v>
      </c>
      <c r="I158" s="70">
        <v>4</v>
      </c>
      <c r="J158" s="70">
        <v>4</v>
      </c>
      <c r="K158" s="70">
        <v>4</v>
      </c>
      <c r="L158" s="70">
        <v>4</v>
      </c>
      <c r="M158" s="70">
        <v>4</v>
      </c>
      <c r="N158" s="70">
        <v>4</v>
      </c>
      <c r="O158" s="70">
        <v>4</v>
      </c>
      <c r="P158" s="70">
        <v>4</v>
      </c>
      <c r="Q158" s="70">
        <v>4</v>
      </c>
      <c r="R158" s="71">
        <f t="shared" si="194"/>
        <v>65</v>
      </c>
      <c r="S158" s="55"/>
      <c r="T158" s="72">
        <f t="shared" si="195"/>
        <v>52000</v>
      </c>
      <c r="U158" s="193">
        <f t="shared" si="196"/>
        <v>7792.1999999999971</v>
      </c>
    </row>
    <row r="159" spans="2:21">
      <c r="B159" s="93" t="s">
        <v>153</v>
      </c>
      <c r="C159" s="67">
        <v>2167.4499999999998</v>
      </c>
      <c r="D159" s="68">
        <v>775.30166666666673</v>
      </c>
      <c r="E159" s="55"/>
      <c r="F159" s="69">
        <v>5</v>
      </c>
      <c r="G159" s="70">
        <v>5</v>
      </c>
      <c r="H159" s="70">
        <v>5</v>
      </c>
      <c r="I159" s="70">
        <v>5</v>
      </c>
      <c r="J159" s="70">
        <v>5</v>
      </c>
      <c r="K159" s="70">
        <v>5</v>
      </c>
      <c r="L159" s="70">
        <v>5</v>
      </c>
      <c r="M159" s="70">
        <v>5</v>
      </c>
      <c r="N159" s="70">
        <v>5</v>
      </c>
      <c r="O159" s="70">
        <v>5</v>
      </c>
      <c r="P159" s="70">
        <v>5</v>
      </c>
      <c r="Q159" s="70">
        <v>5</v>
      </c>
      <c r="R159" s="71">
        <f t="shared" si="194"/>
        <v>80</v>
      </c>
      <c r="S159" s="55"/>
      <c r="T159" s="72">
        <f t="shared" si="195"/>
        <v>173396</v>
      </c>
      <c r="U159" s="193">
        <f t="shared" si="196"/>
        <v>62024.133333333339</v>
      </c>
    </row>
    <row r="160" spans="2:21">
      <c r="B160" s="93" t="s">
        <v>154</v>
      </c>
      <c r="C160" s="67">
        <v>0</v>
      </c>
      <c r="D160" s="68">
        <v>0</v>
      </c>
      <c r="E160" s="55"/>
      <c r="F160" s="69">
        <v>0</v>
      </c>
      <c r="G160" s="70">
        <v>0</v>
      </c>
      <c r="H160" s="70">
        <v>0</v>
      </c>
      <c r="I160" s="70">
        <v>0</v>
      </c>
      <c r="J160" s="70">
        <v>0</v>
      </c>
      <c r="K160" s="70">
        <v>0</v>
      </c>
      <c r="L160" s="70">
        <v>0</v>
      </c>
      <c r="M160" s="70">
        <v>0</v>
      </c>
      <c r="N160" s="70">
        <v>0</v>
      </c>
      <c r="O160" s="70">
        <v>0</v>
      </c>
      <c r="P160" s="70">
        <v>0</v>
      </c>
      <c r="Q160" s="70">
        <v>0</v>
      </c>
      <c r="R160" s="71">
        <f t="shared" si="194"/>
        <v>0</v>
      </c>
      <c r="S160" s="55"/>
      <c r="T160" s="72">
        <f t="shared" si="195"/>
        <v>0</v>
      </c>
      <c r="U160" s="193">
        <f t="shared" si="196"/>
        <v>0</v>
      </c>
    </row>
    <row r="161" spans="2:21">
      <c r="B161" s="93" t="s">
        <v>155</v>
      </c>
      <c r="C161" s="67">
        <v>49.28</v>
      </c>
      <c r="D161" s="68">
        <v>3.47</v>
      </c>
      <c r="E161" s="55"/>
      <c r="F161" s="69">
        <v>95</v>
      </c>
      <c r="G161" s="70">
        <v>100</v>
      </c>
      <c r="H161" s="70">
        <v>100</v>
      </c>
      <c r="I161" s="70">
        <v>106</v>
      </c>
      <c r="J161" s="70">
        <v>106</v>
      </c>
      <c r="K161" s="70">
        <v>125</v>
      </c>
      <c r="L161" s="70">
        <v>125</v>
      </c>
      <c r="M161" s="70">
        <v>135</v>
      </c>
      <c r="N161" s="70">
        <v>142</v>
      </c>
      <c r="O161" s="70">
        <v>142</v>
      </c>
      <c r="P161" s="70">
        <v>137</v>
      </c>
      <c r="Q161" s="70">
        <v>137</v>
      </c>
      <c r="R161" s="71">
        <f t="shared" si="194"/>
        <v>1919</v>
      </c>
      <c r="S161" s="55"/>
      <c r="T161" s="72">
        <f t="shared" si="195"/>
        <v>94568.320000000007</v>
      </c>
      <c r="U161" s="193">
        <f t="shared" si="196"/>
        <v>6658.93</v>
      </c>
    </row>
    <row r="162" spans="2:21" ht="12" thickBot="1">
      <c r="B162" s="94" t="s">
        <v>156</v>
      </c>
      <c r="C162" s="95"/>
      <c r="D162" s="96"/>
      <c r="E162" s="55"/>
      <c r="F162" s="97">
        <f>+F153+F152</f>
        <v>1034</v>
      </c>
      <c r="G162" s="98">
        <f t="shared" ref="G162:R162" si="197">+G153+G152</f>
        <v>1056</v>
      </c>
      <c r="H162" s="98">
        <f t="shared" si="197"/>
        <v>1049</v>
      </c>
      <c r="I162" s="98">
        <f t="shared" si="197"/>
        <v>1054</v>
      </c>
      <c r="J162" s="98">
        <f t="shared" si="197"/>
        <v>1076</v>
      </c>
      <c r="K162" s="98">
        <f t="shared" si="197"/>
        <v>1081</v>
      </c>
      <c r="L162" s="98">
        <f t="shared" si="197"/>
        <v>1081</v>
      </c>
      <c r="M162" s="98">
        <f t="shared" si="197"/>
        <v>1092</v>
      </c>
      <c r="N162" s="98">
        <f t="shared" si="197"/>
        <v>1099</v>
      </c>
      <c r="O162" s="98">
        <f t="shared" si="197"/>
        <v>1099</v>
      </c>
      <c r="P162" s="98">
        <f t="shared" si="197"/>
        <v>1075</v>
      </c>
      <c r="Q162" s="98">
        <f t="shared" si="197"/>
        <v>1081</v>
      </c>
      <c r="R162" s="99">
        <f t="shared" si="197"/>
        <v>16646</v>
      </c>
      <c r="S162" s="55"/>
      <c r="T162" s="100">
        <f>+T153+T152</f>
        <v>8734520.1860638428</v>
      </c>
      <c r="U162" s="100">
        <f>+U153+U152</f>
        <v>667685.63864551857</v>
      </c>
    </row>
  </sheetData>
  <mergeCells count="22">
    <mergeCell ref="B1:U1"/>
    <mergeCell ref="B3:B4"/>
    <mergeCell ref="C3:C4"/>
    <mergeCell ref="D3:D4"/>
    <mergeCell ref="F3:Q3"/>
    <mergeCell ref="R3:R4"/>
    <mergeCell ref="T3:T4"/>
    <mergeCell ref="U3:U4"/>
    <mergeCell ref="T57:T58"/>
    <mergeCell ref="U57:U58"/>
    <mergeCell ref="U111:U112"/>
    <mergeCell ref="B111:B112"/>
    <mergeCell ref="C111:C112"/>
    <mergeCell ref="D111:D112"/>
    <mergeCell ref="F111:Q111"/>
    <mergeCell ref="R111:R112"/>
    <mergeCell ref="T111:T112"/>
    <mergeCell ref="B57:B58"/>
    <mergeCell ref="C57:C58"/>
    <mergeCell ref="D57:D58"/>
    <mergeCell ref="F57:Q57"/>
    <mergeCell ref="R57:R5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42" zoomScale="130" zoomScaleNormal="130" zoomScalePageLayoutView="130" workbookViewId="0">
      <selection activeCell="C54" sqref="C54"/>
    </sheetView>
  </sheetViews>
  <sheetFormatPr baseColWidth="10" defaultRowHeight="15.75"/>
  <cols>
    <col min="1" max="1" width="3" customWidth="1"/>
    <col min="2" max="2" width="31.875" bestFit="1" customWidth="1"/>
    <col min="3" max="3" width="11.875" customWidth="1"/>
    <col min="4" max="4" width="13.5" customWidth="1"/>
    <col min="5" max="5" width="12" customWidth="1"/>
    <col min="7" max="7" width="11.5" customWidth="1"/>
  </cols>
  <sheetData>
    <row r="1" spans="1:8" ht="27" thickBot="1">
      <c r="B1" t="s">
        <v>266</v>
      </c>
      <c r="C1" s="283">
        <v>2017</v>
      </c>
      <c r="D1" s="284"/>
      <c r="E1" s="283">
        <v>2018</v>
      </c>
      <c r="F1" s="285"/>
      <c r="G1" s="283">
        <v>2019</v>
      </c>
      <c r="H1" s="284"/>
    </row>
    <row r="2" spans="1:8" ht="15.95" customHeight="1">
      <c r="B2" s="286" t="s">
        <v>113</v>
      </c>
      <c r="C2" s="288" t="s">
        <v>213</v>
      </c>
      <c r="D2" s="290" t="s">
        <v>214</v>
      </c>
      <c r="E2" s="288" t="s">
        <v>215</v>
      </c>
      <c r="F2" s="292" t="s">
        <v>214</v>
      </c>
      <c r="G2" s="288" t="s">
        <v>215</v>
      </c>
      <c r="H2" s="293" t="s">
        <v>214</v>
      </c>
    </row>
    <row r="3" spans="1:8" ht="18.95" customHeight="1" thickBot="1">
      <c r="B3" s="287"/>
      <c r="C3" s="289"/>
      <c r="D3" s="291"/>
      <c r="E3" s="289"/>
      <c r="F3" s="292"/>
      <c r="G3" s="289"/>
      <c r="H3" s="293"/>
    </row>
    <row r="4" spans="1:8" ht="16.5" thickBot="1">
      <c r="B4" s="211" t="s">
        <v>118</v>
      </c>
      <c r="C4" s="212">
        <f>+PRESUPUESTOS!T54</f>
        <v>6118912.6799999997</v>
      </c>
      <c r="D4" s="213">
        <v>1</v>
      </c>
      <c r="E4" s="214">
        <f>+PRESUPUESTOS!T108</f>
        <v>7221237.1447769459</v>
      </c>
      <c r="F4" s="213">
        <v>1</v>
      </c>
      <c r="G4" s="214">
        <f>+PRESUPUESTOS!T162</f>
        <v>8734520.1860638428</v>
      </c>
      <c r="H4" s="213">
        <v>1</v>
      </c>
    </row>
    <row r="5" spans="1:8">
      <c r="B5" s="194" t="s">
        <v>216</v>
      </c>
      <c r="C5" s="197">
        <f>-PRESUPUESTOS!U54</f>
        <v>-510201.72000000003</v>
      </c>
      <c r="D5" s="198">
        <f>+C5/C$4</f>
        <v>-8.3381108161197037E-2</v>
      </c>
      <c r="E5" s="197">
        <f>-PRESUPUESTOS!U108</f>
        <v>-577740.51694594813</v>
      </c>
      <c r="F5" s="198">
        <f>+E5/E$4</f>
        <v>-8.0005753219698994E-2</v>
      </c>
      <c r="G5" s="197">
        <f>-PRESUPUESTOS!U162</f>
        <v>-667685.63864551857</v>
      </c>
      <c r="H5" s="198">
        <f>+G5/G$4</f>
        <v>-7.6442165616701946E-2</v>
      </c>
    </row>
    <row r="6" spans="1:8" ht="16.5" thickBot="1">
      <c r="B6" s="194" t="s">
        <v>265</v>
      </c>
      <c r="C6" s="195">
        <v>-291356.71999999997</v>
      </c>
      <c r="D6" s="198">
        <f>+C6/C$4</f>
        <v>-4.761576692413267E-2</v>
      </c>
      <c r="E6" s="195">
        <v>-308332.21950000001</v>
      </c>
      <c r="F6" s="198">
        <f>+E6/E$4</f>
        <v>-4.2697977274297638E-2</v>
      </c>
      <c r="G6" s="195">
        <v>-365170.14</v>
      </c>
      <c r="H6" s="198">
        <f>+G6/G$4</f>
        <v>-4.1807693178457429E-2</v>
      </c>
    </row>
    <row r="7" spans="1:8" ht="16.5" thickBot="1">
      <c r="B7" s="211" t="s">
        <v>183</v>
      </c>
      <c r="C7" s="212">
        <f>+C4+C5+C6</f>
        <v>5317354.24</v>
      </c>
      <c r="D7" s="213">
        <f>+C7/C$4</f>
        <v>0.86900312491467036</v>
      </c>
      <c r="E7" s="212">
        <f>+E4+E5+E6</f>
        <v>6335164.4083309984</v>
      </c>
      <c r="F7" s="213">
        <f>+E7/E$4</f>
        <v>0.87729626950600348</v>
      </c>
      <c r="G7" s="212">
        <f>+G4+G5+G6</f>
        <v>7701664.4074183246</v>
      </c>
      <c r="H7" s="213">
        <f>+G7/G$4</f>
        <v>0.88175014120484063</v>
      </c>
    </row>
    <row r="8" spans="1:8" ht="16.5" thickBot="1">
      <c r="B8" s="194"/>
      <c r="C8" s="199"/>
      <c r="D8" s="200"/>
      <c r="E8" s="201"/>
      <c r="F8" s="200"/>
      <c r="G8" s="201"/>
      <c r="H8" s="200"/>
    </row>
    <row r="9" spans="1:8" ht="16.5" thickBot="1">
      <c r="A9" t="s">
        <v>275</v>
      </c>
      <c r="B9" s="211" t="s">
        <v>217</v>
      </c>
      <c r="C9" s="212">
        <f>SUM(C10:C25)</f>
        <v>-3370331.9361111107</v>
      </c>
      <c r="D9" s="213">
        <f t="shared" ref="D9:F25" si="0">+C9/C$4</f>
        <v>-0.55080569250926303</v>
      </c>
      <c r="E9" s="212">
        <f>SUM(E10:E25)</f>
        <v>-3873406.1834321874</v>
      </c>
      <c r="F9" s="213">
        <f t="shared" si="0"/>
        <v>-0.53639094046839142</v>
      </c>
      <c r="G9" s="212">
        <f>SUM(G10:G25)</f>
        <v>-4126918.9279286098</v>
      </c>
      <c r="H9" s="213">
        <f t="shared" ref="H9" si="1">+G9/G$4</f>
        <v>-0.47248375869726855</v>
      </c>
    </row>
    <row r="10" spans="1:8">
      <c r="B10" s="194" t="s">
        <v>218</v>
      </c>
      <c r="C10" s="195">
        <f>-'Ppto MKT'!C6</f>
        <v>-511432.65</v>
      </c>
      <c r="D10" s="196">
        <f t="shared" si="0"/>
        <v>-8.3582276255002877E-2</v>
      </c>
      <c r="E10" s="195">
        <f>-'Ppto MKT'!D6</f>
        <v>-586826.44900000002</v>
      </c>
      <c r="F10" s="196">
        <f t="shared" si="0"/>
        <v>-8.1263976966113927E-2</v>
      </c>
      <c r="G10" s="195">
        <f>-'Ppto MKT'!E6</f>
        <v>-695991.15300000005</v>
      </c>
      <c r="H10" s="196">
        <f t="shared" ref="H10" si="2">+G10/G$4</f>
        <v>-7.9682814645098909E-2</v>
      </c>
    </row>
    <row r="11" spans="1:8">
      <c r="B11" s="194" t="s">
        <v>219</v>
      </c>
      <c r="C11" s="195">
        <v>-7200</v>
      </c>
      <c r="D11" s="196">
        <f t="shared" si="0"/>
        <v>-1.1766796449855532E-3</v>
      </c>
      <c r="E11" s="195">
        <v>-7500</v>
      </c>
      <c r="F11" s="196">
        <f t="shared" si="0"/>
        <v>-1.0386031990965261E-3</v>
      </c>
      <c r="G11" s="195">
        <v>-7500</v>
      </c>
      <c r="H11" s="196">
        <f t="shared" ref="H11" si="3">+G11/G$4</f>
        <v>-8.5866193451203507E-4</v>
      </c>
    </row>
    <row r="12" spans="1:8">
      <c r="B12" s="194" t="s">
        <v>220</v>
      </c>
      <c r="C12" s="195">
        <v>-8200</v>
      </c>
      <c r="D12" s="196">
        <f t="shared" si="0"/>
        <v>-1.340107373455769E-3</v>
      </c>
      <c r="E12" s="195">
        <v>-7600</v>
      </c>
      <c r="F12" s="196">
        <f t="shared" si="0"/>
        <v>-1.0524512417511465E-3</v>
      </c>
      <c r="G12" s="195">
        <v>-7600</v>
      </c>
      <c r="H12" s="196">
        <f t="shared" ref="H12" si="4">+G12/G$4</f>
        <v>-8.7011076030552893E-4</v>
      </c>
    </row>
    <row r="13" spans="1:8">
      <c r="B13" s="194" t="s">
        <v>221</v>
      </c>
      <c r="C13" s="195">
        <f>-(+Salarios!C26+Salarios!D26)</f>
        <v>-461965</v>
      </c>
      <c r="D13" s="196">
        <f t="shared" si="0"/>
        <v>-7.5497890582743213E-2</v>
      </c>
      <c r="E13" s="195">
        <f>-(Salarios!D54+Salarios!C54)</f>
        <v>-631944</v>
      </c>
      <c r="F13" s="196">
        <f t="shared" si="0"/>
        <v>-8.7511874673314005E-2</v>
      </c>
      <c r="G13" s="195">
        <f>-(Salarios!D82+Salarios!C82)</f>
        <v>-680646.3</v>
      </c>
      <c r="H13" s="196">
        <f t="shared" ref="H13" si="5">+G13/G$4</f>
        <v>-7.7926009156861209E-2</v>
      </c>
    </row>
    <row r="14" spans="1:8">
      <c r="B14" s="194" t="s">
        <v>222</v>
      </c>
      <c r="C14" s="195">
        <v>-32400</v>
      </c>
      <c r="D14" s="196">
        <f t="shared" si="0"/>
        <v>-5.2950584024349899E-3</v>
      </c>
      <c r="E14" s="195">
        <v>-28800</v>
      </c>
      <c r="F14" s="196">
        <f t="shared" si="0"/>
        <v>-3.9882362845306604E-3</v>
      </c>
      <c r="G14" s="195">
        <v>-28800</v>
      </c>
      <c r="H14" s="196">
        <f t="shared" ref="H14" si="6">+G14/G$4</f>
        <v>-3.2972618285262148E-3</v>
      </c>
    </row>
    <row r="15" spans="1:8">
      <c r="B15" s="194" t="s">
        <v>223</v>
      </c>
      <c r="C15" s="195">
        <v>-100800</v>
      </c>
      <c r="D15" s="196">
        <f t="shared" si="0"/>
        <v>-1.6473515029797745E-2</v>
      </c>
      <c r="E15" s="195">
        <v>-34000</v>
      </c>
      <c r="F15" s="196">
        <f t="shared" si="0"/>
        <v>-4.7083345025709187E-3</v>
      </c>
      <c r="G15" s="195">
        <v>-34000</v>
      </c>
      <c r="H15" s="196">
        <f t="shared" ref="H15" si="7">+G15/G$4</f>
        <v>-3.8926007697878923E-3</v>
      </c>
    </row>
    <row r="16" spans="1:8">
      <c r="B16" s="194" t="s">
        <v>224</v>
      </c>
      <c r="C16" s="195">
        <f>-('Ppto RRHH'!C7+'Ppto RRHH'!C8+'Ppto RRHH'!C9+'Ppto RRHH'!C10+'Ppto RRHH'!C15)</f>
        <v>-97500</v>
      </c>
      <c r="D16" s="196">
        <f t="shared" si="0"/>
        <v>-1.5934203525846034E-2</v>
      </c>
      <c r="E16" s="195">
        <f>-('Ppto RRHH'!D7+'Ppto RRHH'!D8+'Ppto RRHH'!D9+'Ppto RRHH'!D10+'Ppto RRHH'!D15)</f>
        <v>-102500</v>
      </c>
      <c r="F16" s="196">
        <f t="shared" si="0"/>
        <v>-1.4194243720985857E-2</v>
      </c>
      <c r="G16" s="195">
        <f>-('Ppto RRHH'!E7+'Ppto RRHH'!E8+'Ppto RRHH'!E9+'Ppto RRHH'!E10+'Ppto RRHH'!E15)</f>
        <v>-107500</v>
      </c>
      <c r="H16" s="196">
        <f t="shared" ref="H16" si="8">+G16/G$4</f>
        <v>-1.2307487728005837E-2</v>
      </c>
    </row>
    <row r="17" spans="2:8">
      <c r="B17" s="194" t="s">
        <v>225</v>
      </c>
      <c r="C17" s="195">
        <v>-57000</v>
      </c>
      <c r="D17" s="196">
        <f t="shared" si="0"/>
        <v>-9.3153805228022961E-3</v>
      </c>
      <c r="E17" s="195">
        <v>-22800</v>
      </c>
      <c r="F17" s="196">
        <f t="shared" si="0"/>
        <v>-3.1573537252534392E-3</v>
      </c>
      <c r="G17" s="195">
        <v>-22800</v>
      </c>
      <c r="H17" s="196">
        <f t="shared" ref="H17" si="9">+G17/G$4</f>
        <v>-2.6103322809165868E-3</v>
      </c>
    </row>
    <row r="18" spans="2:8">
      <c r="B18" s="194" t="s">
        <v>226</v>
      </c>
      <c r="C18" s="195">
        <f>-(Salarios!B26+Salarios!E26+Salarios!F26+Salarios!G26)</f>
        <v>-1081688.486111111</v>
      </c>
      <c r="D18" s="196">
        <f t="shared" si="0"/>
        <v>-0.17677789219752538</v>
      </c>
      <c r="E18" s="195">
        <f>-(Salarios!B54+Salarios!E54+Salarios!F54+Salarios!G54)</f>
        <v>-1367430.7072916667</v>
      </c>
      <c r="F18" s="196">
        <f t="shared" si="0"/>
        <v>-0.18936238761812671</v>
      </c>
      <c r="G18" s="195">
        <f>-(Salarios!B82+Salarios!E82+Salarios!F82+Salarios!G82)</f>
        <v>-1442133.5053645833</v>
      </c>
      <c r="H18" s="196">
        <f t="shared" ref="H18" si="10">+G18/G$4</f>
        <v>-0.16510735273879673</v>
      </c>
    </row>
    <row r="19" spans="2:8">
      <c r="B19" s="194" t="s">
        <v>227</v>
      </c>
      <c r="C19" s="195">
        <v>-10560</v>
      </c>
      <c r="D19" s="196">
        <f t="shared" si="0"/>
        <v>-1.7257968126454782E-3</v>
      </c>
      <c r="E19" s="195">
        <v>-11200</v>
      </c>
      <c r="F19" s="196">
        <f t="shared" si="0"/>
        <v>-1.550980777317479E-3</v>
      </c>
      <c r="G19" s="195">
        <v>-11200</v>
      </c>
      <c r="H19" s="196">
        <f t="shared" ref="H19" si="11">+G19/G$4</f>
        <v>-1.2822684888713057E-3</v>
      </c>
    </row>
    <row r="20" spans="2:8">
      <c r="B20" s="194" t="s">
        <v>228</v>
      </c>
      <c r="C20" s="195">
        <v>-401160</v>
      </c>
      <c r="D20" s="196">
        <f t="shared" si="0"/>
        <v>-6.556066755311174E-2</v>
      </c>
      <c r="E20" s="195">
        <v>-411400</v>
      </c>
      <c r="F20" s="196">
        <f t="shared" si="0"/>
        <v>-5.697084748110811E-2</v>
      </c>
      <c r="G20" s="195">
        <v>-411400</v>
      </c>
      <c r="H20" s="196">
        <f t="shared" ref="H20" si="12">+G20/G$4</f>
        <v>-4.7100469314433499E-2</v>
      </c>
    </row>
    <row r="21" spans="2:8">
      <c r="B21" s="194" t="s">
        <v>229</v>
      </c>
      <c r="C21" s="195">
        <v>-144025.79999999999</v>
      </c>
      <c r="D21" s="196">
        <f t="shared" si="0"/>
        <v>-2.3537809335105596E-2</v>
      </c>
      <c r="E21" s="195">
        <f>+E18*0.1331</f>
        <v>-182005.02714052083</v>
      </c>
      <c r="F21" s="196">
        <f t="shared" si="0"/>
        <v>-2.5204133791972665E-2</v>
      </c>
      <c r="G21" s="195">
        <f>+G18*0.1331</f>
        <v>-191947.96956402605</v>
      </c>
      <c r="H21" s="196">
        <f t="shared" ref="H21" si="13">+G21/G$4</f>
        <v>-2.1975788649533846E-2</v>
      </c>
    </row>
    <row r="22" spans="2:8">
      <c r="B22" s="194" t="s">
        <v>230</v>
      </c>
      <c r="C22" s="195">
        <v>-56400</v>
      </c>
      <c r="D22" s="196">
        <f t="shared" si="0"/>
        <v>-9.2173238857201668E-3</v>
      </c>
      <c r="E22" s="195">
        <v>-56400</v>
      </c>
      <c r="F22" s="196">
        <f t="shared" si="0"/>
        <v>-7.8102960572058759E-3</v>
      </c>
      <c r="G22" s="195">
        <v>-56400</v>
      </c>
      <c r="H22" s="196">
        <f t="shared" ref="H22" si="14">+G22/G$4</f>
        <v>-6.4571377475305036E-3</v>
      </c>
    </row>
    <row r="23" spans="2:8">
      <c r="B23" s="194" t="s">
        <v>231</v>
      </c>
      <c r="C23" s="195">
        <v>-330000</v>
      </c>
      <c r="D23" s="196">
        <f t="shared" si="0"/>
        <v>-5.3931150395171192E-2</v>
      </c>
      <c r="E23" s="195">
        <v>-330000</v>
      </c>
      <c r="F23" s="196">
        <f t="shared" si="0"/>
        <v>-4.5698540760247146E-2</v>
      </c>
      <c r="G23" s="195">
        <v>-330000</v>
      </c>
      <c r="H23" s="196">
        <f t="shared" ref="H23" si="15">+G23/G$4</f>
        <v>-3.7781125118529546E-2</v>
      </c>
    </row>
    <row r="24" spans="2:8">
      <c r="B24" s="194" t="s">
        <v>232</v>
      </c>
      <c r="C24" s="195">
        <v>-20000</v>
      </c>
      <c r="D24" s="196">
        <f t="shared" si="0"/>
        <v>-3.2685545694043148E-3</v>
      </c>
      <c r="E24" s="195">
        <v>-25000</v>
      </c>
      <c r="F24" s="196">
        <f t="shared" si="0"/>
        <v>-3.4620106636550868E-3</v>
      </c>
      <c r="G24" s="195">
        <v>-25000</v>
      </c>
      <c r="H24" s="196">
        <f t="shared" ref="H24" si="16">+G24/G$4</f>
        <v>-2.8622064483734503E-3</v>
      </c>
    </row>
    <row r="25" spans="2:8" ht="16.5" thickBot="1">
      <c r="B25" s="194" t="s">
        <v>233</v>
      </c>
      <c r="C25" s="195">
        <v>-50000</v>
      </c>
      <c r="D25" s="196">
        <f t="shared" si="0"/>
        <v>-8.1713864235107864E-3</v>
      </c>
      <c r="E25" s="195">
        <v>-68000</v>
      </c>
      <c r="F25" s="196">
        <f t="shared" si="0"/>
        <v>-9.4166690051418374E-3</v>
      </c>
      <c r="G25" s="195">
        <v>-74000</v>
      </c>
      <c r="H25" s="196">
        <f t="shared" ref="H25" si="17">+G25/G$4</f>
        <v>-8.4721310871854125E-3</v>
      </c>
    </row>
    <row r="26" spans="2:8" ht="16.5" thickBot="1">
      <c r="B26" s="211" t="s">
        <v>234</v>
      </c>
      <c r="C26" s="212">
        <f>+C7+C9</f>
        <v>1947022.3038888895</v>
      </c>
      <c r="D26" s="213">
        <f t="shared" ref="D26:F26" si="18">+C26/C$4</f>
        <v>0.31819743240540732</v>
      </c>
      <c r="E26" s="212">
        <f>+E7+E9</f>
        <v>2461758.224898811</v>
      </c>
      <c r="F26" s="213">
        <f t="shared" si="18"/>
        <v>0.34090532903761206</v>
      </c>
      <c r="G26" s="212">
        <f>+G7+G9</f>
        <v>3574745.4794897148</v>
      </c>
      <c r="H26" s="213">
        <f t="shared" ref="H26" si="19">+G26/G$4</f>
        <v>0.40926638250757214</v>
      </c>
    </row>
    <row r="28" spans="2:8" ht="16.5" thickBot="1"/>
    <row r="29" spans="2:8" ht="27" thickBot="1">
      <c r="B29" t="s">
        <v>267</v>
      </c>
      <c r="C29" s="283">
        <v>2017</v>
      </c>
      <c r="D29" s="284"/>
      <c r="E29" s="283">
        <v>2018</v>
      </c>
      <c r="F29" s="285"/>
      <c r="G29" s="283">
        <v>2019</v>
      </c>
      <c r="H29" s="284"/>
    </row>
    <row r="30" spans="2:8">
      <c r="B30" s="286" t="s">
        <v>113</v>
      </c>
      <c r="C30" s="288" t="s">
        <v>213</v>
      </c>
      <c r="D30" s="290" t="s">
        <v>214</v>
      </c>
      <c r="E30" s="288" t="s">
        <v>215</v>
      </c>
      <c r="F30" s="292" t="s">
        <v>214</v>
      </c>
      <c r="G30" s="288" t="s">
        <v>215</v>
      </c>
      <c r="H30" s="293" t="s">
        <v>214</v>
      </c>
    </row>
    <row r="31" spans="2:8" ht="16.5" thickBot="1">
      <c r="B31" s="287"/>
      <c r="C31" s="289"/>
      <c r="D31" s="291"/>
      <c r="E31" s="289"/>
      <c r="F31" s="292"/>
      <c r="G31" s="289"/>
      <c r="H31" s="293"/>
    </row>
    <row r="32" spans="2:8" ht="16.5" thickBot="1">
      <c r="B32" s="211" t="s">
        <v>118</v>
      </c>
      <c r="C32" s="212">
        <v>5332010.8420000002</v>
      </c>
      <c r="D32" s="213">
        <v>1</v>
      </c>
      <c r="E32" s="214">
        <f>+C32*1.04</f>
        <v>5545291.27568</v>
      </c>
      <c r="F32" s="213">
        <v>1</v>
      </c>
      <c r="G32" s="214">
        <f>+E32*1.05</f>
        <v>5822555.8394640004</v>
      </c>
      <c r="H32" s="213">
        <v>1</v>
      </c>
    </row>
    <row r="33" spans="2:8">
      <c r="B33" s="194" t="s">
        <v>216</v>
      </c>
      <c r="C33" s="197">
        <f>+(C5/C$4)*C32</f>
        <v>-444588.97273347731</v>
      </c>
      <c r="D33" s="198">
        <f>+C33/C$4</f>
        <v>-7.2658165916738876E-2</v>
      </c>
      <c r="E33" s="197">
        <f>+(E5/E$4)*E32</f>
        <v>-443655.20533340389</v>
      </c>
      <c r="F33" s="198">
        <f>+E33/E$4</f>
        <v>-6.1437562074013262E-2</v>
      </c>
      <c r="G33" s="197">
        <f>+(G5/G$4)*G32</f>
        <v>-445088.77779280214</v>
      </c>
      <c r="H33" s="198">
        <f>+G33/G$4</f>
        <v>-5.095743879588864E-2</v>
      </c>
    </row>
    <row r="34" spans="2:8" ht="16.5" thickBot="1">
      <c r="B34" s="194" t="s">
        <v>265</v>
      </c>
      <c r="C34" s="195">
        <f>+(C6/C$4)*C$32</f>
        <v>-253887.78548962041</v>
      </c>
      <c r="D34" s="198">
        <f>+C34/C$4</f>
        <v>-4.1492304068902065E-2</v>
      </c>
      <c r="E34" s="195">
        <f>+(E6/E$4)*E$32</f>
        <v>-236772.72086834561</v>
      </c>
      <c r="F34" s="198">
        <f>+E34/E$4</f>
        <v>-3.2788387380353674E-2</v>
      </c>
      <c r="G34" s="195">
        <f>+(G6/G$4)*G$32</f>
        <v>-243427.62805074657</v>
      </c>
      <c r="H34" s="198">
        <f>+G34/G$4</f>
        <v>-2.7869605068764024E-2</v>
      </c>
    </row>
    <row r="35" spans="2:8" ht="16.5" thickBot="1">
      <c r="B35" s="211" t="s">
        <v>183</v>
      </c>
      <c r="C35" s="212">
        <f>+C32+C33+C34</f>
        <v>4633534.0837769024</v>
      </c>
      <c r="D35" s="213">
        <f>+C35/C$4</f>
        <v>0.75724795010098145</v>
      </c>
      <c r="E35" s="212">
        <f>+E32+E33+E34</f>
        <v>4864863.3494782504</v>
      </c>
      <c r="F35" s="213">
        <f>+E35/E$4</f>
        <v>0.67368835172474029</v>
      </c>
      <c r="G35" s="212">
        <f>+G32+G33+G34</f>
        <v>5134039.4336204519</v>
      </c>
      <c r="H35" s="213">
        <f>+G35/G$4</f>
        <v>0.58778723092448137</v>
      </c>
    </row>
    <row r="36" spans="2:8" ht="16.5" thickBot="1">
      <c r="B36" s="194"/>
      <c r="C36" s="199"/>
      <c r="D36" s="200"/>
      <c r="E36" s="201"/>
      <c r="F36" s="200"/>
      <c r="G36" s="201"/>
      <c r="H36" s="200"/>
    </row>
    <row r="37" spans="2:8" ht="16.5" thickBot="1">
      <c r="B37" s="211" t="s">
        <v>217</v>
      </c>
      <c r="C37" s="212">
        <f>SUM(C38:C53)</f>
        <v>-3217120.5072916662</v>
      </c>
      <c r="D37" s="213">
        <f t="shared" ref="D37" si="20">+C37/C$4</f>
        <v>-0.52576669672162513</v>
      </c>
      <c r="E37" s="212">
        <f>SUM(E38:E53)</f>
        <v>-3317427.7749286098</v>
      </c>
      <c r="F37" s="213">
        <f t="shared" ref="F37" si="21">+E37/E$4</f>
        <v>-0.4593988133083366</v>
      </c>
      <c r="G37" s="212">
        <f>SUM(G38:G53)</f>
        <v>-1008700</v>
      </c>
      <c r="H37" s="213">
        <f t="shared" ref="H37" si="22">+G37/G$4</f>
        <v>-0.11548430577897198</v>
      </c>
    </row>
    <row r="38" spans="2:8">
      <c r="B38" s="194" t="s">
        <v>218</v>
      </c>
      <c r="C38" s="195">
        <f>-'Ppto MKT'!C34</f>
        <v>0</v>
      </c>
      <c r="D38" s="196">
        <f t="shared" ref="D38" si="23">+C38/C$4</f>
        <v>0</v>
      </c>
      <c r="E38" s="195">
        <f>-'Ppto MKT'!D34</f>
        <v>0</v>
      </c>
      <c r="F38" s="196">
        <f t="shared" ref="F38" si="24">+E38/E$4</f>
        <v>0</v>
      </c>
      <c r="G38" s="195">
        <f>-'Ppto MKT'!E34</f>
        <v>0</v>
      </c>
      <c r="H38" s="196">
        <f t="shared" ref="H38" si="25">+G38/G$4</f>
        <v>0</v>
      </c>
    </row>
    <row r="39" spans="2:8">
      <c r="B39" s="194" t="s">
        <v>219</v>
      </c>
      <c r="C39" s="195">
        <v>-7200</v>
      </c>
      <c r="D39" s="196">
        <f t="shared" ref="D39" si="26">+C39/C$4</f>
        <v>-1.1766796449855532E-3</v>
      </c>
      <c r="E39" s="195">
        <v>-7500</v>
      </c>
      <c r="F39" s="196">
        <f t="shared" ref="F39" si="27">+E39/E$4</f>
        <v>-1.0386031990965261E-3</v>
      </c>
      <c r="G39" s="195">
        <v>-7500</v>
      </c>
      <c r="H39" s="196">
        <f t="shared" ref="H39" si="28">+G39/G$4</f>
        <v>-8.5866193451203507E-4</v>
      </c>
    </row>
    <row r="40" spans="2:8">
      <c r="B40" s="194" t="s">
        <v>220</v>
      </c>
      <c r="C40" s="195">
        <v>-8200</v>
      </c>
      <c r="D40" s="196">
        <f t="shared" ref="D40" si="29">+C40/C$4</f>
        <v>-1.340107373455769E-3</v>
      </c>
      <c r="E40" s="195">
        <v>-7600</v>
      </c>
      <c r="F40" s="196">
        <f t="shared" ref="F40" si="30">+E40/E$4</f>
        <v>-1.0524512417511465E-3</v>
      </c>
      <c r="G40" s="195">
        <v>-7600</v>
      </c>
      <c r="H40" s="196">
        <f t="shared" ref="H40" si="31">+G40/G$4</f>
        <v>-8.7011076030552893E-4</v>
      </c>
    </row>
    <row r="41" spans="2:8">
      <c r="B41" s="194" t="s">
        <v>221</v>
      </c>
      <c r="C41" s="195">
        <f>-(+Salarios!C54+Salarios!D54)</f>
        <v>-631944</v>
      </c>
      <c r="D41" s="196">
        <f t="shared" ref="D41" si="32">+C41/C$4</f>
        <v>-0.10327717244038201</v>
      </c>
      <c r="E41" s="195">
        <f>-(Salarios!D82+Salarios!C82)</f>
        <v>-680646.3</v>
      </c>
      <c r="F41" s="196">
        <f t="shared" ref="F41" si="33">+E41/E$4</f>
        <v>-9.4256189951095179E-2</v>
      </c>
      <c r="G41" s="195">
        <f>-(Salarios!D110+Salarios!C110)</f>
        <v>0</v>
      </c>
      <c r="H41" s="196">
        <f t="shared" ref="H41" si="34">+G41/G$4</f>
        <v>0</v>
      </c>
    </row>
    <row r="42" spans="2:8">
      <c r="B42" s="194" t="s">
        <v>222</v>
      </c>
      <c r="C42" s="195">
        <v>-32400</v>
      </c>
      <c r="D42" s="196">
        <f t="shared" ref="D42" si="35">+C42/C$4</f>
        <v>-5.2950584024349899E-3</v>
      </c>
      <c r="E42" s="195">
        <v>-28800</v>
      </c>
      <c r="F42" s="196">
        <f t="shared" ref="F42" si="36">+E42/E$4</f>
        <v>-3.9882362845306604E-3</v>
      </c>
      <c r="G42" s="195">
        <v>-28800</v>
      </c>
      <c r="H42" s="196">
        <f t="shared" ref="H42" si="37">+G42/G$4</f>
        <v>-3.2972618285262148E-3</v>
      </c>
    </row>
    <row r="43" spans="2:8">
      <c r="B43" s="194" t="s">
        <v>223</v>
      </c>
      <c r="C43" s="195">
        <v>-100800</v>
      </c>
      <c r="D43" s="196">
        <f t="shared" ref="D43" si="38">+C43/C$4</f>
        <v>-1.6473515029797745E-2</v>
      </c>
      <c r="E43" s="195">
        <v>-34000</v>
      </c>
      <c r="F43" s="196">
        <f t="shared" ref="F43" si="39">+E43/E$4</f>
        <v>-4.7083345025709187E-3</v>
      </c>
      <c r="G43" s="195">
        <v>-34000</v>
      </c>
      <c r="H43" s="196">
        <f t="shared" ref="H43" si="40">+G43/G$4</f>
        <v>-3.8926007697878923E-3</v>
      </c>
    </row>
    <row r="44" spans="2:8">
      <c r="B44" s="194" t="s">
        <v>224</v>
      </c>
      <c r="C44" s="195">
        <f>-('Ppto RRHH'!C35+'Ppto RRHH'!C36+'Ppto RRHH'!C37+'Ppto RRHH'!C38+'Ppto RRHH'!C43)</f>
        <v>0</v>
      </c>
      <c r="D44" s="196">
        <f t="shared" ref="D44" si="41">+C44/C$4</f>
        <v>0</v>
      </c>
      <c r="E44" s="195">
        <f>-('Ppto RRHH'!D35+'Ppto RRHH'!D36+'Ppto RRHH'!D37+'Ppto RRHH'!D38+'Ppto RRHH'!D43)</f>
        <v>0</v>
      </c>
      <c r="F44" s="196">
        <f t="shared" ref="F44" si="42">+E44/E$4</f>
        <v>0</v>
      </c>
      <c r="G44" s="195">
        <f>-('Ppto RRHH'!E35+'Ppto RRHH'!E36+'Ppto RRHH'!E37+'Ppto RRHH'!E38+'Ppto RRHH'!E43)</f>
        <v>0</v>
      </c>
      <c r="H44" s="196">
        <f t="shared" ref="H44" si="43">+G44/G$4</f>
        <v>0</v>
      </c>
    </row>
    <row r="45" spans="2:8">
      <c r="B45" s="194" t="s">
        <v>225</v>
      </c>
      <c r="C45" s="195">
        <v>-57000</v>
      </c>
      <c r="D45" s="196">
        <f t="shared" ref="D45" si="44">+C45/C$4</f>
        <v>-9.3153805228022961E-3</v>
      </c>
      <c r="E45" s="195">
        <v>-22800</v>
      </c>
      <c r="F45" s="196">
        <f t="shared" ref="F45" si="45">+E45/E$4</f>
        <v>-3.1573537252534392E-3</v>
      </c>
      <c r="G45" s="195">
        <v>-22800</v>
      </c>
      <c r="H45" s="196">
        <f t="shared" ref="H45" si="46">+G45/G$4</f>
        <v>-2.6103322809165868E-3</v>
      </c>
    </row>
    <row r="46" spans="2:8">
      <c r="B46" s="194" t="s">
        <v>226</v>
      </c>
      <c r="C46" s="195">
        <f>-(Salarios!B54+Salarios!E54+Salarios!F54+Salarios!G54)</f>
        <v>-1367430.7072916667</v>
      </c>
      <c r="D46" s="196">
        <f t="shared" ref="D46" si="47">+C46/C$4</f>
        <v>-0.22347609433309754</v>
      </c>
      <c r="E46" s="195">
        <f>-(Salarios!B82+Salarios!E82+Salarios!F82+Salarios!G82)</f>
        <v>-1442133.5053645833</v>
      </c>
      <c r="F46" s="196">
        <f t="shared" ref="F46" si="48">+E46/E$4</f>
        <v>-0.19970726295945912</v>
      </c>
      <c r="G46" s="195">
        <f>-(Salarios!B110+Salarios!E110+Salarios!F110+Salarios!G110)</f>
        <v>0</v>
      </c>
      <c r="H46" s="196">
        <f t="shared" ref="H46" si="49">+G46/G$4</f>
        <v>0</v>
      </c>
    </row>
    <row r="47" spans="2:8">
      <c r="B47" s="194" t="s">
        <v>227</v>
      </c>
      <c r="C47" s="195">
        <v>-10560</v>
      </c>
      <c r="D47" s="196">
        <f t="shared" ref="D47" si="50">+C47/C$4</f>
        <v>-1.7257968126454782E-3</v>
      </c>
      <c r="E47" s="195">
        <v>-11200</v>
      </c>
      <c r="F47" s="196">
        <f t="shared" ref="F47" si="51">+E47/E$4</f>
        <v>-1.550980777317479E-3</v>
      </c>
      <c r="G47" s="195">
        <v>-11200</v>
      </c>
      <c r="H47" s="196">
        <f t="shared" ref="H47" si="52">+G47/G$4</f>
        <v>-1.2822684888713057E-3</v>
      </c>
    </row>
    <row r="48" spans="2:8">
      <c r="B48" s="194" t="s">
        <v>228</v>
      </c>
      <c r="C48" s="195">
        <v>-401160</v>
      </c>
      <c r="D48" s="196">
        <f t="shared" ref="D48" si="53">+C48/C$4</f>
        <v>-6.556066755311174E-2</v>
      </c>
      <c r="E48" s="195">
        <v>-411400</v>
      </c>
      <c r="F48" s="196">
        <f t="shared" ref="F48" si="54">+E48/E$4</f>
        <v>-5.697084748110811E-2</v>
      </c>
      <c r="G48" s="195">
        <v>-411400</v>
      </c>
      <c r="H48" s="196">
        <f t="shared" ref="H48" si="55">+G48/G$4</f>
        <v>-4.7100469314433499E-2</v>
      </c>
    </row>
    <row r="49" spans="2:8">
      <c r="B49" s="194" t="s">
        <v>229</v>
      </c>
      <c r="C49" s="195">
        <v>-144025.79999999999</v>
      </c>
      <c r="D49" s="196">
        <f t="shared" ref="D49" si="56">+C49/C$4</f>
        <v>-2.3537809335105596E-2</v>
      </c>
      <c r="E49" s="195">
        <f>+E46*0.1331</f>
        <v>-191947.96956402605</v>
      </c>
      <c r="F49" s="196">
        <f t="shared" ref="F49" si="57">+E49/E$4</f>
        <v>-2.6581036699904009E-2</v>
      </c>
      <c r="G49" s="195">
        <f>+G46*0.1331</f>
        <v>0</v>
      </c>
      <c r="H49" s="196">
        <f t="shared" ref="H49" si="58">+G49/G$4</f>
        <v>0</v>
      </c>
    </row>
    <row r="50" spans="2:8">
      <c r="B50" s="194" t="s">
        <v>230</v>
      </c>
      <c r="C50" s="195">
        <v>-56400</v>
      </c>
      <c r="D50" s="196">
        <f t="shared" ref="D50" si="59">+C50/C$4</f>
        <v>-9.2173238857201668E-3</v>
      </c>
      <c r="E50" s="195">
        <v>-56400</v>
      </c>
      <c r="F50" s="196">
        <f t="shared" ref="F50" si="60">+E50/E$4</f>
        <v>-7.8102960572058759E-3</v>
      </c>
      <c r="G50" s="195">
        <v>-56400</v>
      </c>
      <c r="H50" s="196">
        <f t="shared" ref="H50" si="61">+G50/G$4</f>
        <v>-6.4571377475305036E-3</v>
      </c>
    </row>
    <row r="51" spans="2:8">
      <c r="B51" s="194" t="s">
        <v>231</v>
      </c>
      <c r="C51" s="195">
        <v>-330000</v>
      </c>
      <c r="D51" s="196">
        <f t="shared" ref="D51" si="62">+C51/C$4</f>
        <v>-5.3931150395171192E-2</v>
      </c>
      <c r="E51" s="195">
        <v>-330000</v>
      </c>
      <c r="F51" s="196">
        <f t="shared" ref="F51" si="63">+E51/E$4</f>
        <v>-4.5698540760247146E-2</v>
      </c>
      <c r="G51" s="195">
        <v>-330000</v>
      </c>
      <c r="H51" s="196">
        <f t="shared" ref="H51" si="64">+G51/G$4</f>
        <v>-3.7781125118529546E-2</v>
      </c>
    </row>
    <row r="52" spans="2:8">
      <c r="B52" s="194" t="s">
        <v>232</v>
      </c>
      <c r="C52" s="195">
        <v>-20000</v>
      </c>
      <c r="D52" s="196">
        <f t="shared" ref="D52" si="65">+C52/C$4</f>
        <v>-3.2685545694043148E-3</v>
      </c>
      <c r="E52" s="195">
        <v>-25000</v>
      </c>
      <c r="F52" s="196">
        <f t="shared" ref="F52" si="66">+E52/E$4</f>
        <v>-3.4620106636550868E-3</v>
      </c>
      <c r="G52" s="195">
        <v>-25000</v>
      </c>
      <c r="H52" s="196">
        <f t="shared" ref="H52" si="67">+G52/G$4</f>
        <v>-2.8622064483734503E-3</v>
      </c>
    </row>
    <row r="53" spans="2:8" ht="16.5" thickBot="1">
      <c r="B53" s="194" t="s">
        <v>233</v>
      </c>
      <c r="C53" s="195">
        <v>-50000</v>
      </c>
      <c r="D53" s="196">
        <f t="shared" ref="D53" si="68">+C53/C$4</f>
        <v>-8.1713864235107864E-3</v>
      </c>
      <c r="E53" s="195">
        <v>-68000</v>
      </c>
      <c r="F53" s="196">
        <f t="shared" ref="F53" si="69">+E53/E$4</f>
        <v>-9.4166690051418374E-3</v>
      </c>
      <c r="G53" s="195">
        <v>-74000</v>
      </c>
      <c r="H53" s="196">
        <f t="shared" ref="H53" si="70">+G53/G$4</f>
        <v>-8.4721310871854125E-3</v>
      </c>
    </row>
    <row r="54" spans="2:8" ht="16.5" thickBot="1">
      <c r="B54" s="211" t="s">
        <v>234</v>
      </c>
      <c r="C54" s="212">
        <f>+C35+C37</f>
        <v>1416413.5764852362</v>
      </c>
      <c r="D54" s="213">
        <f t="shared" ref="D54" si="71">+C54/C$4</f>
        <v>0.23148125337935632</v>
      </c>
      <c r="E54" s="212">
        <f>+E35+E37</f>
        <v>1547435.5745496405</v>
      </c>
      <c r="F54" s="213">
        <f t="shared" ref="F54" si="72">+E54/E$4</f>
        <v>0.21428953841640366</v>
      </c>
      <c r="G54" s="212">
        <f>+G35+G37</f>
        <v>4125339.4336204519</v>
      </c>
      <c r="H54" s="213">
        <f t="shared" ref="H54" si="73">+G54/G$4</f>
        <v>0.47230292514550937</v>
      </c>
    </row>
  </sheetData>
  <mergeCells count="20">
    <mergeCell ref="C1:D1"/>
    <mergeCell ref="E1:F1"/>
    <mergeCell ref="G1:H1"/>
    <mergeCell ref="B2:B3"/>
    <mergeCell ref="C2:C3"/>
    <mergeCell ref="D2:D3"/>
    <mergeCell ref="E2:E3"/>
    <mergeCell ref="F2:F3"/>
    <mergeCell ref="G2:G3"/>
    <mergeCell ref="H2:H3"/>
    <mergeCell ref="C29:D29"/>
    <mergeCell ref="E29:F29"/>
    <mergeCell ref="G29:H29"/>
    <mergeCell ref="B30:B31"/>
    <mergeCell ref="C30:C31"/>
    <mergeCell ref="D30:D31"/>
    <mergeCell ref="E30:E31"/>
    <mergeCell ref="F30:F31"/>
    <mergeCell ref="G30:G31"/>
    <mergeCell ref="H30:H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2"/>
  <sheetViews>
    <sheetView topLeftCell="A37" zoomScale="120" zoomScaleNormal="120" zoomScalePageLayoutView="120" workbookViewId="0">
      <selection activeCell="F45" sqref="F45"/>
    </sheetView>
  </sheetViews>
  <sheetFormatPr baseColWidth="10" defaultRowHeight="15.75"/>
  <cols>
    <col min="1" max="1" width="28.125" customWidth="1"/>
    <col min="2" max="4" width="13.5" customWidth="1"/>
  </cols>
  <sheetData>
    <row r="3" spans="1:4">
      <c r="A3" s="1" t="s">
        <v>271</v>
      </c>
    </row>
    <row r="4" spans="1:4">
      <c r="A4" s="2"/>
      <c r="B4" s="3">
        <v>2017</v>
      </c>
      <c r="C4" s="3">
        <v>2018</v>
      </c>
      <c r="D4" s="3">
        <v>2019</v>
      </c>
    </row>
    <row r="5" spans="1:4">
      <c r="A5" s="2" t="s">
        <v>0</v>
      </c>
      <c r="B5" s="2"/>
      <c r="C5" s="2"/>
      <c r="D5" s="2"/>
    </row>
    <row r="6" spans="1:4">
      <c r="A6" s="2" t="s">
        <v>1</v>
      </c>
      <c r="B6" s="4">
        <v>2985499.68</v>
      </c>
      <c r="C6" s="4">
        <f>+B18</f>
        <v>4219403.9433638891</v>
      </c>
      <c r="D6" s="4">
        <f>+C18</f>
        <v>6532831.8297808124</v>
      </c>
    </row>
    <row r="7" spans="1:4">
      <c r="A7" s="2" t="s">
        <v>2</v>
      </c>
      <c r="B7" s="4">
        <f>+((('T Estado de resultado proye'!B6)/12)*11)+11709.79</f>
        <v>5620713.0799999991</v>
      </c>
      <c r="C7" s="4">
        <f>+(('T Estado de resultado proye'!B6/12)*1)+(('T Estado de resultado proye'!C6/12)*11)</f>
        <v>7129376.7727122009</v>
      </c>
      <c r="D7" s="4">
        <f>(('T Estado de resultado proye'!D6/12)*1)+(('T Estado de resultado proye'!D6/12)*11)</f>
        <v>8734520.1860638428</v>
      </c>
    </row>
    <row r="8" spans="1:4">
      <c r="A8" s="2" t="s">
        <v>3</v>
      </c>
      <c r="B8" s="4">
        <f>+B7+B6</f>
        <v>8606212.7599999998</v>
      </c>
      <c r="C8" s="4">
        <f>+C7+C6</f>
        <v>11348780.716076091</v>
      </c>
      <c r="D8" s="4">
        <f>+D7+D6</f>
        <v>15267352.015844654</v>
      </c>
    </row>
    <row r="9" spans="1:4">
      <c r="A9" s="2"/>
      <c r="B9" s="4"/>
      <c r="C9" s="4"/>
      <c r="D9" s="4"/>
    </row>
    <row r="10" spans="1:4">
      <c r="A10" s="2" t="s">
        <v>4</v>
      </c>
      <c r="B10" s="4"/>
      <c r="C10" s="4"/>
      <c r="D10" s="4"/>
    </row>
    <row r="11" spans="1:4">
      <c r="A11" s="2" t="s">
        <v>5</v>
      </c>
      <c r="B11" s="4">
        <f>+'T Estado de resultado proye'!B10</f>
        <v>-801558.44</v>
      </c>
      <c r="C11" s="4">
        <f>+'T Estado de resultado proye'!C10</f>
        <v>-886072.73644594813</v>
      </c>
      <c r="D11" s="4">
        <f>+'T Estado de resultado proye'!D10</f>
        <v>-1032855.7786455186</v>
      </c>
    </row>
    <row r="12" spans="1:4">
      <c r="A12" s="2" t="s">
        <v>6</v>
      </c>
      <c r="B12" s="4">
        <f>+'T Estado de resultado proye'!B15</f>
        <v>-3370331.9361111107</v>
      </c>
      <c r="C12" s="4">
        <f>+'T Estado de resultado proye'!C15</f>
        <v>-3873406.1834321874</v>
      </c>
      <c r="D12" s="4">
        <f>+'T Estado de resultado proye'!D15</f>
        <v>-4126918.9279286098</v>
      </c>
    </row>
    <row r="13" spans="1:4">
      <c r="A13" s="2" t="s">
        <v>7</v>
      </c>
      <c r="B13" s="4">
        <f>+B11+B12</f>
        <v>-4171890.3761111107</v>
      </c>
      <c r="C13" s="4">
        <f>+C11+C12</f>
        <v>-4759478.9198781354</v>
      </c>
      <c r="D13" s="4">
        <f>+D11+D12</f>
        <v>-5159774.706574128</v>
      </c>
    </row>
    <row r="14" spans="1:4">
      <c r="A14" s="2"/>
      <c r="B14" s="4"/>
      <c r="C14" s="4"/>
      <c r="D14" s="4"/>
    </row>
    <row r="15" spans="1:4">
      <c r="A15" s="2" t="s">
        <v>8</v>
      </c>
      <c r="B15" s="4">
        <v>-236250</v>
      </c>
      <c r="C15" s="4">
        <v>-83250</v>
      </c>
      <c r="D15" s="4">
        <v>-32500</v>
      </c>
    </row>
    <row r="16" spans="1:4">
      <c r="A16" s="2" t="s">
        <v>9</v>
      </c>
      <c r="B16" s="4">
        <v>21331.559475000002</v>
      </c>
      <c r="C16" s="4">
        <v>26780.033582857141</v>
      </c>
      <c r="D16" s="4">
        <v>32047.14064091834</v>
      </c>
    </row>
    <row r="17" spans="1:4">
      <c r="A17" s="2"/>
      <c r="B17" s="4"/>
      <c r="C17" s="4"/>
      <c r="D17" s="4"/>
    </row>
    <row r="18" spans="1:4">
      <c r="A18" s="2" t="s">
        <v>10</v>
      </c>
      <c r="B18" s="4">
        <f>B8+B13+B15+B16</f>
        <v>4219403.9433638891</v>
      </c>
      <c r="C18" s="4">
        <f>C8+C13+C15+C16</f>
        <v>6532831.8297808124</v>
      </c>
      <c r="D18" s="4">
        <f>D8+D13+D15+D16</f>
        <v>10107124.449911445</v>
      </c>
    </row>
    <row r="19" spans="1:4">
      <c r="A19" s="5"/>
      <c r="B19" s="5"/>
      <c r="C19" s="5"/>
      <c r="D19" s="5"/>
    </row>
    <row r="20" spans="1:4">
      <c r="A20" s="5"/>
      <c r="B20" s="5"/>
      <c r="C20" s="5"/>
      <c r="D20" s="5"/>
    </row>
    <row r="21" spans="1:4">
      <c r="A21" s="6" t="s">
        <v>11</v>
      </c>
      <c r="B21" s="7">
        <f>NPV(B22,B18,C18,D18)</f>
        <v>17344013.483877644</v>
      </c>
      <c r="C21" s="5"/>
      <c r="D21" s="5"/>
    </row>
    <row r="22" spans="1:4">
      <c r="A22" s="6" t="s">
        <v>12</v>
      </c>
      <c r="B22" s="8">
        <v>8.5199999999999998E-2</v>
      </c>
      <c r="C22" s="5"/>
      <c r="D22" s="5"/>
    </row>
    <row r="26" spans="1:4">
      <c r="A26" s="1" t="s">
        <v>270</v>
      </c>
    </row>
    <row r="27" spans="1:4">
      <c r="A27" s="2"/>
      <c r="B27" s="3">
        <v>2017</v>
      </c>
      <c r="C27" s="3">
        <v>2018</v>
      </c>
      <c r="D27" s="3">
        <v>2019</v>
      </c>
    </row>
    <row r="28" spans="1:4">
      <c r="A28" s="2" t="s">
        <v>0</v>
      </c>
      <c r="B28" s="2"/>
      <c r="C28" s="2"/>
      <c r="D28" s="2"/>
    </row>
    <row r="29" spans="1:4">
      <c r="A29" s="2" t="s">
        <v>1</v>
      </c>
      <c r="B29" s="4">
        <f>+B6</f>
        <v>2985499.68</v>
      </c>
      <c r="C29" s="4">
        <f>+B41</f>
        <v>3644702.8118621609</v>
      </c>
      <c r="D29" s="4">
        <f>+C41</f>
        <v>4791678.8209319664</v>
      </c>
    </row>
    <row r="30" spans="1:4">
      <c r="A30" s="2" t="s">
        <v>2</v>
      </c>
      <c r="B30" s="4">
        <f>+(('T Estado de resultado proye'!B32)/12)*11+11709.79</f>
        <v>4259116.0334621612</v>
      </c>
      <c r="C30" s="4">
        <f>+(('T Estado de resultado proye'!B32/12)*1)+(('T Estado de resultado proye'!C32/12)*11)</f>
        <v>4845585.9106698055</v>
      </c>
      <c r="D30" s="4">
        <f>(('T Estado de resultado proye'!D32/12)*1)+(('T Estado de resultado proye'!D32/12)*11)</f>
        <v>5134039.4336204519</v>
      </c>
    </row>
    <row r="31" spans="1:4">
      <c r="A31" s="2" t="s">
        <v>3</v>
      </c>
      <c r="B31" s="4">
        <f>+B30+B29</f>
        <v>7244615.7134621609</v>
      </c>
      <c r="C31" s="4">
        <f>+C30+C29</f>
        <v>8490288.7225319669</v>
      </c>
      <c r="D31" s="4">
        <f>+D30+D29</f>
        <v>9925718.2545524184</v>
      </c>
    </row>
    <row r="32" spans="1:4">
      <c r="A32" s="2"/>
      <c r="B32" s="4"/>
      <c r="C32" s="4"/>
      <c r="D32" s="4"/>
    </row>
    <row r="33" spans="1:4">
      <c r="A33" s="2" t="s">
        <v>4</v>
      </c>
      <c r="B33" s="4"/>
      <c r="C33" s="4"/>
      <c r="D33" s="4"/>
    </row>
    <row r="34" spans="1:4">
      <c r="A34" s="2" t="s">
        <v>5</v>
      </c>
      <c r="B34" s="4">
        <v>-698477</v>
      </c>
      <c r="C34" s="4">
        <v>-680428</v>
      </c>
      <c r="D34" s="4">
        <v>-688516</v>
      </c>
    </row>
    <row r="35" spans="1:4">
      <c r="A35" s="2" t="s">
        <v>6</v>
      </c>
      <c r="B35" s="4">
        <v>-2918650</v>
      </c>
      <c r="C35" s="4">
        <v>-3035396</v>
      </c>
      <c r="D35" s="4">
        <v>-3187165.8000000003</v>
      </c>
    </row>
    <row r="36" spans="1:4">
      <c r="A36" s="2" t="s">
        <v>7</v>
      </c>
      <c r="B36" s="4">
        <f>+B34+B35</f>
        <v>-3617127</v>
      </c>
      <c r="C36" s="4">
        <f>+C34+C35</f>
        <v>-3715824</v>
      </c>
      <c r="D36" s="4">
        <f>+D34+D35</f>
        <v>-3875681.8000000003</v>
      </c>
    </row>
    <row r="37" spans="1:4">
      <c r="A37" s="2"/>
      <c r="B37" s="4"/>
      <c r="C37" s="4"/>
      <c r="D37" s="4"/>
    </row>
    <row r="38" spans="1:4">
      <c r="A38" s="2" t="s">
        <v>8</v>
      </c>
      <c r="B38" s="4"/>
      <c r="C38" s="4"/>
      <c r="D38" s="4"/>
    </row>
    <row r="39" spans="1:4">
      <c r="A39" s="2" t="s">
        <v>9</v>
      </c>
      <c r="B39" s="4">
        <f>95633.88*0.18</f>
        <v>17214.098399999999</v>
      </c>
      <c r="C39" s="4">
        <f>95633.88*0.18</f>
        <v>17214.098399999999</v>
      </c>
      <c r="D39" s="4">
        <f>95633.88*0.18</f>
        <v>17214.098399999999</v>
      </c>
    </row>
    <row r="40" spans="1:4">
      <c r="A40" s="2"/>
      <c r="B40" s="4"/>
      <c r="C40" s="4"/>
      <c r="D40" s="4"/>
    </row>
    <row r="41" spans="1:4">
      <c r="A41" s="2" t="s">
        <v>10</v>
      </c>
      <c r="B41" s="4">
        <f>B31+B36+B38+B39</f>
        <v>3644702.8118621609</v>
      </c>
      <c r="C41" s="4">
        <f>C31+C36+C38+C39</f>
        <v>4791678.8209319664</v>
      </c>
      <c r="D41" s="4">
        <f>D31+D36+D38+D39</f>
        <v>6067250.5529524172</v>
      </c>
    </row>
    <row r="42" spans="1:4">
      <c r="A42" s="5"/>
      <c r="B42" s="5"/>
      <c r="C42" s="5"/>
      <c r="D42" s="5"/>
    </row>
    <row r="43" spans="1:4">
      <c r="A43" s="5"/>
      <c r="B43" s="5"/>
      <c r="C43" s="5"/>
      <c r="D43" s="5"/>
    </row>
    <row r="44" spans="1:4">
      <c r="A44" s="6" t="s">
        <v>11</v>
      </c>
      <c r="B44" s="7">
        <f>NPV(B45,B41,C41,D41)</f>
        <v>12174844.532443428</v>
      </c>
      <c r="C44" s="5"/>
      <c r="D44" s="5"/>
    </row>
    <row r="45" spans="1:4">
      <c r="A45" s="6" t="s">
        <v>12</v>
      </c>
      <c r="B45" s="8">
        <v>8.5199999999999998E-2</v>
      </c>
      <c r="C45" s="5"/>
      <c r="D45" s="5"/>
    </row>
    <row r="47" spans="1:4">
      <c r="B47" s="219">
        <v>2017</v>
      </c>
      <c r="C47" s="219">
        <v>2018</v>
      </c>
      <c r="D47" s="219">
        <v>2019</v>
      </c>
    </row>
    <row r="48" spans="1:4">
      <c r="A48" s="5" t="s">
        <v>272</v>
      </c>
      <c r="B48" s="4">
        <f>+B18</f>
        <v>4219403.9433638891</v>
      </c>
      <c r="C48" s="4">
        <f t="shared" ref="C48:D48" si="0">+C18</f>
        <v>6532831.8297808124</v>
      </c>
      <c r="D48" s="4">
        <f t="shared" si="0"/>
        <v>10107124.449911445</v>
      </c>
    </row>
    <row r="49" spans="1:4">
      <c r="A49" s="5" t="s">
        <v>273</v>
      </c>
      <c r="B49" s="4">
        <f>+B41</f>
        <v>3644702.8118621609</v>
      </c>
      <c r="C49" s="4">
        <f t="shared" ref="C49:D49" si="1">+C41</f>
        <v>4791678.8209319664</v>
      </c>
      <c r="D49" s="4">
        <f t="shared" si="1"/>
        <v>6067250.5529524172</v>
      </c>
    </row>
    <row r="50" spans="1:4">
      <c r="A50" s="5" t="s">
        <v>274</v>
      </c>
      <c r="B50" s="4">
        <f>+B48-B49</f>
        <v>574701.1315017282</v>
      </c>
      <c r="C50" s="4">
        <f t="shared" ref="C50:D50" si="2">+C48-C49</f>
        <v>1741153.008848846</v>
      </c>
      <c r="D50" s="4">
        <f t="shared" si="2"/>
        <v>4039873.8969590282</v>
      </c>
    </row>
    <row r="51" spans="1:4">
      <c r="A51" s="5" t="s">
        <v>11</v>
      </c>
      <c r="B51" s="4">
        <f>NPV(B52,B50,C50,D50)</f>
        <v>5169168.9514342137</v>
      </c>
    </row>
    <row r="52" spans="1:4">
      <c r="A52" s="5" t="s">
        <v>12</v>
      </c>
      <c r="B52" s="220">
        <v>8.5199999999999998E-2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0"/>
  <sheetViews>
    <sheetView tabSelected="1" topLeftCell="A25" zoomScale="140" zoomScaleNormal="140" zoomScalePageLayoutView="110" workbookViewId="0">
      <selection activeCell="D35" sqref="D35"/>
    </sheetView>
  </sheetViews>
  <sheetFormatPr baseColWidth="10" defaultRowHeight="15.75"/>
  <cols>
    <col min="1" max="1" width="33.875" bestFit="1" customWidth="1"/>
    <col min="2" max="4" width="14.375" customWidth="1"/>
  </cols>
  <sheetData>
    <row r="2" spans="1:4" ht="24">
      <c r="A2" s="18" t="s">
        <v>268</v>
      </c>
      <c r="B2" s="19" t="s">
        <v>13</v>
      </c>
      <c r="C2" s="19" t="s">
        <v>14</v>
      </c>
      <c r="D2" s="19" t="s">
        <v>15</v>
      </c>
    </row>
    <row r="3" spans="1:4">
      <c r="A3" s="18"/>
      <c r="B3" s="19"/>
      <c r="C3" s="19"/>
      <c r="D3" s="19"/>
    </row>
    <row r="4" spans="1:4">
      <c r="A4" s="20" t="s">
        <v>16</v>
      </c>
      <c r="B4" s="20">
        <v>1204</v>
      </c>
      <c r="C4" s="20">
        <v>1384</v>
      </c>
      <c r="D4" s="20">
        <v>1592</v>
      </c>
    </row>
    <row r="5" spans="1:4">
      <c r="A5" s="2"/>
      <c r="B5" s="3"/>
      <c r="C5" s="20"/>
      <c r="D5" s="20"/>
    </row>
    <row r="6" spans="1:4">
      <c r="A6" s="21" t="s">
        <v>264</v>
      </c>
      <c r="B6" s="22">
        <f>+Hoja3!C4</f>
        <v>6118912.6799999997</v>
      </c>
      <c r="C6" s="23">
        <f>+Hoja3!E4</f>
        <v>7221237.1447769459</v>
      </c>
      <c r="D6" s="23">
        <f>+Hoja3!G4</f>
        <v>8734520.1860638428</v>
      </c>
    </row>
    <row r="7" spans="1:4">
      <c r="A7" s="2"/>
      <c r="B7" s="2"/>
      <c r="C7" s="2"/>
      <c r="D7" s="2"/>
    </row>
    <row r="8" spans="1:4">
      <c r="A8" s="2" t="s">
        <v>17</v>
      </c>
      <c r="B8" s="4">
        <f>+Hoja3!C5</f>
        <v>-510201.72000000003</v>
      </c>
      <c r="C8" s="4">
        <f>+Hoja3!E5</f>
        <v>-577740.51694594813</v>
      </c>
      <c r="D8" s="4">
        <f>+Hoja3!G5</f>
        <v>-667685.63864551857</v>
      </c>
    </row>
    <row r="9" spans="1:4">
      <c r="A9" s="2" t="s">
        <v>18</v>
      </c>
      <c r="B9" s="4">
        <f>+Hoja3!C6</f>
        <v>-291356.71999999997</v>
      </c>
      <c r="C9" s="4">
        <f>+Hoja3!E6</f>
        <v>-308332.21950000001</v>
      </c>
      <c r="D9" s="4">
        <f>+Hoja3!G6</f>
        <v>-365170.14</v>
      </c>
    </row>
    <row r="10" spans="1:4">
      <c r="A10" s="2" t="s">
        <v>19</v>
      </c>
      <c r="B10" s="4">
        <f>+B8+B9</f>
        <v>-801558.44</v>
      </c>
      <c r="C10" s="4">
        <f t="shared" ref="C10:D10" si="0">+C8+C9</f>
        <v>-886072.73644594813</v>
      </c>
      <c r="D10" s="4">
        <f t="shared" si="0"/>
        <v>-1032855.7786455186</v>
      </c>
    </row>
    <row r="11" spans="1:4">
      <c r="A11" s="2"/>
      <c r="B11" s="2"/>
      <c r="C11" s="2"/>
      <c r="D11" s="2"/>
    </row>
    <row r="12" spans="1:4">
      <c r="A12" s="2" t="s">
        <v>20</v>
      </c>
      <c r="B12" s="4">
        <f>+B6+B10</f>
        <v>5317354.24</v>
      </c>
      <c r="C12" s="4">
        <f t="shared" ref="C12:D12" si="1">+C6+C10</f>
        <v>6335164.4083309975</v>
      </c>
      <c r="D12" s="4">
        <f t="shared" si="1"/>
        <v>7701664.4074183246</v>
      </c>
    </row>
    <row r="13" spans="1:4">
      <c r="A13" s="2" t="s">
        <v>21</v>
      </c>
      <c r="B13" s="24">
        <f>+B12/B6</f>
        <v>0.86900312491467036</v>
      </c>
      <c r="C13" s="24">
        <f>+C12/C6</f>
        <v>0.87729626950600337</v>
      </c>
      <c r="D13" s="24">
        <f>+D12/D6</f>
        <v>0.88175014120484063</v>
      </c>
    </row>
    <row r="14" spans="1:4">
      <c r="A14" s="2"/>
      <c r="B14" s="24"/>
      <c r="C14" s="24"/>
      <c r="D14" s="24"/>
    </row>
    <row r="15" spans="1:4">
      <c r="A15" s="2" t="s">
        <v>22</v>
      </c>
      <c r="B15" s="4">
        <f>+Hoja3!C9</f>
        <v>-3370331.9361111107</v>
      </c>
      <c r="C15" s="4">
        <f>+Hoja3!E9</f>
        <v>-3873406.1834321874</v>
      </c>
      <c r="D15" s="4">
        <f>+Hoja3!G9</f>
        <v>-4126918.9279286098</v>
      </c>
    </row>
    <row r="16" spans="1:4">
      <c r="A16" s="2"/>
      <c r="B16" s="4"/>
      <c r="C16" s="2"/>
      <c r="D16" s="2"/>
    </row>
    <row r="17" spans="1:4">
      <c r="A17" s="2" t="s">
        <v>23</v>
      </c>
      <c r="B17" s="4">
        <f>+B12+B15</f>
        <v>1947022.3038888895</v>
      </c>
      <c r="C17" s="4">
        <f>+C12+C15</f>
        <v>2461758.22489881</v>
      </c>
      <c r="D17" s="4">
        <f>+D12+D15</f>
        <v>3574745.4794897148</v>
      </c>
    </row>
    <row r="18" spans="1:4">
      <c r="A18" s="2" t="s">
        <v>24</v>
      </c>
      <c r="B18" s="25">
        <f>+B17/B6</f>
        <v>0.31819743240540732</v>
      </c>
      <c r="C18" s="25">
        <f>+C17/C6</f>
        <v>0.34090532903761195</v>
      </c>
      <c r="D18" s="25">
        <f>+D17/D6</f>
        <v>0.40926638250757214</v>
      </c>
    </row>
    <row r="20" spans="1:4">
      <c r="B20" s="11"/>
      <c r="C20" s="11"/>
      <c r="D20" s="11"/>
    </row>
    <row r="22" spans="1:4" ht="24">
      <c r="A22" s="18" t="s">
        <v>269</v>
      </c>
      <c r="B22" s="19" t="s">
        <v>13</v>
      </c>
      <c r="C22" s="19" t="s">
        <v>14</v>
      </c>
      <c r="D22" s="19" t="s">
        <v>15</v>
      </c>
    </row>
    <row r="23" spans="1:4">
      <c r="A23" s="18"/>
      <c r="B23" s="19"/>
      <c r="C23" s="19"/>
      <c r="D23" s="19"/>
    </row>
    <row r="24" spans="1:4">
      <c r="A24" s="20" t="s">
        <v>16</v>
      </c>
      <c r="B24" s="20">
        <v>912</v>
      </c>
      <c r="C24" s="20">
        <v>948</v>
      </c>
      <c r="D24" s="20">
        <v>996</v>
      </c>
    </row>
    <row r="25" spans="1:4">
      <c r="A25" s="2"/>
      <c r="B25" s="3"/>
      <c r="C25" s="20"/>
      <c r="D25" s="20"/>
    </row>
    <row r="26" spans="1:4">
      <c r="A26" s="21" t="s">
        <v>264</v>
      </c>
      <c r="B26" s="22">
        <f>+Hoja3!C32</f>
        <v>5332010.8420000002</v>
      </c>
      <c r="C26" s="23">
        <f>+Hoja3!E32</f>
        <v>5545291.27568</v>
      </c>
      <c r="D26" s="23">
        <f>+Hoja3!G32</f>
        <v>5822555.8394640004</v>
      </c>
    </row>
    <row r="27" spans="1:4">
      <c r="A27" s="2"/>
      <c r="B27" s="2"/>
      <c r="C27" s="2"/>
      <c r="D27" s="2"/>
    </row>
    <row r="28" spans="1:4">
      <c r="A28" s="2" t="s">
        <v>17</v>
      </c>
      <c r="B28" s="4">
        <f>+Hoja3!C33</f>
        <v>-444588.97273347731</v>
      </c>
      <c r="C28" s="4">
        <f>+Hoja3!E33</f>
        <v>-443655.20533340389</v>
      </c>
      <c r="D28" s="4">
        <f>+Hoja3!G33</f>
        <v>-445088.77779280214</v>
      </c>
    </row>
    <row r="29" spans="1:4">
      <c r="A29" s="2" t="s">
        <v>18</v>
      </c>
      <c r="B29" s="4">
        <f>+Hoja3!C34</f>
        <v>-253887.78548962041</v>
      </c>
      <c r="C29" s="4">
        <f>+Hoja3!E34</f>
        <v>-236772.72086834561</v>
      </c>
      <c r="D29" s="4">
        <f>+Hoja3!G34</f>
        <v>-243427.62805074657</v>
      </c>
    </row>
    <row r="30" spans="1:4">
      <c r="A30" s="2" t="s">
        <v>19</v>
      </c>
      <c r="B30" s="4">
        <f>+B28+B29</f>
        <v>-698476.75822309777</v>
      </c>
      <c r="C30" s="4">
        <f t="shared" ref="C30" si="2">+C28+C29</f>
        <v>-680427.92620174948</v>
      </c>
      <c r="D30" s="4">
        <f t="shared" ref="D30" si="3">+D28+D29</f>
        <v>-688516.40584354871</v>
      </c>
    </row>
    <row r="31" spans="1:4">
      <c r="A31" s="2"/>
      <c r="B31" s="2"/>
      <c r="C31" s="2"/>
      <c r="D31" s="2"/>
    </row>
    <row r="32" spans="1:4">
      <c r="A32" s="2" t="s">
        <v>20</v>
      </c>
      <c r="B32" s="4">
        <f>+B26+B30</f>
        <v>4633534.0837769024</v>
      </c>
      <c r="C32" s="4">
        <f t="shared" ref="C32:D32" si="4">+C26+C30</f>
        <v>4864863.3494782504</v>
      </c>
      <c r="D32" s="4">
        <f t="shared" si="4"/>
        <v>5134039.4336204519</v>
      </c>
    </row>
    <row r="33" spans="1:4">
      <c r="A33" s="2" t="s">
        <v>21</v>
      </c>
      <c r="B33" s="24">
        <f>+B32/B26</f>
        <v>0.86900312491467024</v>
      </c>
      <c r="C33" s="24">
        <f>+C32/C26</f>
        <v>0.87729626950600337</v>
      </c>
      <c r="D33" s="24">
        <f>+D32/D26</f>
        <v>0.88175014120484063</v>
      </c>
    </row>
    <row r="34" spans="1:4">
      <c r="A34" s="2"/>
      <c r="B34" s="24"/>
      <c r="C34" s="24"/>
      <c r="D34" s="24"/>
    </row>
    <row r="35" spans="1:4">
      <c r="A35" s="2" t="s">
        <v>22</v>
      </c>
      <c r="B35" s="4">
        <f>-2218650-700000</f>
        <v>-2918650</v>
      </c>
      <c r="C35" s="4">
        <f>+B35*1.04</f>
        <v>-3035396</v>
      </c>
      <c r="D35" s="4">
        <f>+C35*1.05</f>
        <v>-3187165.8000000003</v>
      </c>
    </row>
    <row r="36" spans="1:4">
      <c r="A36" s="2"/>
      <c r="B36" s="4"/>
      <c r="C36" s="2"/>
      <c r="D36" s="2"/>
    </row>
    <row r="37" spans="1:4">
      <c r="A37" s="2" t="s">
        <v>23</v>
      </c>
      <c r="B37" s="4">
        <f>+B32+B35</f>
        <v>1714884.0837769024</v>
      </c>
      <c r="C37" s="4">
        <f>+C32+C35</f>
        <v>1829467.3494782504</v>
      </c>
      <c r="D37" s="4">
        <f>+D32+D35</f>
        <v>1946873.6336204517</v>
      </c>
    </row>
    <row r="38" spans="1:4">
      <c r="A38" s="2" t="s">
        <v>24</v>
      </c>
      <c r="B38" s="25">
        <f>+B37/B26</f>
        <v>0.32162051702311645</v>
      </c>
      <c r="C38" s="25">
        <f>+C37/C26</f>
        <v>0.32991366161444946</v>
      </c>
      <c r="D38" s="25">
        <f>+D37/D26</f>
        <v>0.33436753331328678</v>
      </c>
    </row>
    <row r="39" spans="1:4">
      <c r="B39">
        <v>2741399</v>
      </c>
      <c r="C39">
        <v>2686079</v>
      </c>
      <c r="D39">
        <v>2720506</v>
      </c>
    </row>
    <row r="40" spans="1:4">
      <c r="B40" s="11">
        <f>B35+B39</f>
        <v>-177251</v>
      </c>
      <c r="C40" s="11">
        <f t="shared" ref="C40:D40" si="5">C35+C39</f>
        <v>-349317</v>
      </c>
      <c r="D40" s="11">
        <f t="shared" si="5"/>
        <v>-466659.80000000028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3"/>
  <sheetViews>
    <sheetView topLeftCell="A17" zoomScale="150" zoomScaleNormal="150" zoomScalePageLayoutView="150" workbookViewId="0">
      <selection activeCell="D21" sqref="D21"/>
    </sheetView>
  </sheetViews>
  <sheetFormatPr baseColWidth="10" defaultRowHeight="15.75"/>
  <cols>
    <col min="1" max="1" width="28.875" bestFit="1" customWidth="1"/>
    <col min="2" max="9" width="13" customWidth="1"/>
  </cols>
  <sheetData>
    <row r="3" spans="1:9">
      <c r="A3" s="9"/>
      <c r="B3" s="294">
        <v>2016</v>
      </c>
      <c r="C3" s="294"/>
      <c r="D3" s="294">
        <v>2017</v>
      </c>
      <c r="E3" s="294"/>
      <c r="F3" s="294">
        <v>2018</v>
      </c>
      <c r="G3" s="294"/>
      <c r="H3" s="294">
        <v>2019</v>
      </c>
      <c r="I3" s="294"/>
    </row>
    <row r="4" spans="1:9">
      <c r="A4" s="10"/>
      <c r="B4" s="16" t="s">
        <v>25</v>
      </c>
      <c r="C4" s="16" t="s">
        <v>26</v>
      </c>
      <c r="D4" s="16" t="s">
        <v>25</v>
      </c>
      <c r="E4" s="16" t="s">
        <v>26</v>
      </c>
      <c r="F4" s="16" t="s">
        <v>25</v>
      </c>
      <c r="G4" s="16" t="s">
        <v>26</v>
      </c>
      <c r="H4" s="16" t="s">
        <v>25</v>
      </c>
      <c r="I4" s="16" t="s">
        <v>26</v>
      </c>
    </row>
    <row r="5" spans="1:9">
      <c r="A5" s="15" t="s">
        <v>27</v>
      </c>
      <c r="B5" s="13">
        <v>2985499.6749999998</v>
      </c>
      <c r="C5" s="13"/>
      <c r="D5" s="13">
        <v>4128743</v>
      </c>
      <c r="E5" s="13"/>
      <c r="F5" s="13">
        <v>3456545.0559199248</v>
      </c>
      <c r="G5" s="13"/>
      <c r="H5" s="13">
        <v>4361930.5256164223</v>
      </c>
      <c r="I5" s="13"/>
    </row>
    <row r="6" spans="1:9">
      <c r="A6" s="15" t="s">
        <v>28</v>
      </c>
      <c r="B6" s="14">
        <v>11709.79</v>
      </c>
      <c r="C6" s="13"/>
      <c r="D6" s="14">
        <v>457086</v>
      </c>
      <c r="E6" s="13"/>
      <c r="F6" s="14">
        <v>776671.375</v>
      </c>
      <c r="G6" s="13"/>
      <c r="H6" s="14">
        <v>703243.05</v>
      </c>
      <c r="I6" s="13"/>
    </row>
    <row r="7" spans="1:9">
      <c r="A7" s="15" t="s">
        <v>29</v>
      </c>
      <c r="B7" s="14">
        <v>241661.41999999998</v>
      </c>
      <c r="C7" s="13"/>
      <c r="D7" s="14"/>
      <c r="E7" s="13"/>
      <c r="F7" s="14"/>
      <c r="G7" s="13"/>
      <c r="H7" s="14"/>
      <c r="I7" s="13"/>
    </row>
    <row r="8" spans="1:9">
      <c r="A8" s="15" t="s">
        <v>30</v>
      </c>
      <c r="B8" s="13">
        <v>410382.99</v>
      </c>
      <c r="C8" s="13"/>
      <c r="D8" s="13">
        <v>320000</v>
      </c>
      <c r="E8" s="13"/>
      <c r="F8" s="13">
        <v>430000</v>
      </c>
      <c r="G8" s="13"/>
      <c r="H8" s="13">
        <v>530000</v>
      </c>
      <c r="I8" s="13"/>
    </row>
    <row r="9" spans="1:9">
      <c r="A9" s="15" t="s">
        <v>31</v>
      </c>
      <c r="B9" s="13">
        <v>2101.8000000000002</v>
      </c>
      <c r="C9" s="13"/>
      <c r="D9" s="13"/>
      <c r="E9" s="13"/>
      <c r="F9" s="13"/>
      <c r="G9" s="13"/>
      <c r="H9" s="13"/>
      <c r="I9" s="13"/>
    </row>
    <row r="10" spans="1:9">
      <c r="A10" s="15" t="s">
        <v>32</v>
      </c>
      <c r="B10" s="14">
        <v>127200.22</v>
      </c>
      <c r="C10" s="13"/>
      <c r="D10" s="14">
        <v>217894</v>
      </c>
      <c r="E10" s="13"/>
      <c r="F10" s="14">
        <v>307200.21999999997</v>
      </c>
      <c r="G10" s="13"/>
      <c r="H10" s="14">
        <v>362200.22</v>
      </c>
      <c r="I10" s="13"/>
    </row>
    <row r="11" spans="1:9">
      <c r="A11" s="15" t="s">
        <v>33</v>
      </c>
      <c r="B11" s="14">
        <v>812631.22</v>
      </c>
      <c r="C11" s="13"/>
      <c r="D11" s="14">
        <v>914922.22</v>
      </c>
      <c r="E11" s="13"/>
      <c r="F11" s="14">
        <v>1079422.22</v>
      </c>
      <c r="G11" s="13"/>
      <c r="H11" s="14">
        <v>1091422.22</v>
      </c>
      <c r="I11" s="13"/>
    </row>
    <row r="12" spans="1:9">
      <c r="A12" s="15" t="s">
        <v>34</v>
      </c>
      <c r="B12" s="13"/>
      <c r="C12" s="14">
        <v>95623.88</v>
      </c>
      <c r="D12" s="13"/>
      <c r="E12" s="14">
        <v>110092.53666666667</v>
      </c>
      <c r="F12" s="13"/>
      <c r="G12" s="14">
        <v>121766.91472222222</v>
      </c>
      <c r="H12" s="13"/>
      <c r="I12" s="14">
        <v>134664.15761574075</v>
      </c>
    </row>
    <row r="13" spans="1:9">
      <c r="A13" s="15" t="s">
        <v>35</v>
      </c>
      <c r="B13" s="13"/>
      <c r="C13" s="14">
        <v>520103.41</v>
      </c>
      <c r="D13" s="13"/>
      <c r="E13" s="14">
        <v>598350.87777777773</v>
      </c>
      <c r="F13" s="13"/>
      <c r="G13" s="14">
        <v>697734.30864197528</v>
      </c>
      <c r="H13" s="13"/>
      <c r="I13" s="14">
        <v>777660.34293552814</v>
      </c>
    </row>
    <row r="14" spans="1:9">
      <c r="A14" s="15" t="s">
        <v>36</v>
      </c>
      <c r="B14" s="13">
        <v>335643.6</v>
      </c>
      <c r="C14" s="13">
        <v>332342.02</v>
      </c>
      <c r="D14" s="13">
        <v>335643.6</v>
      </c>
      <c r="E14" s="13">
        <v>333002.33600000001</v>
      </c>
      <c r="F14" s="13">
        <v>335643.6</v>
      </c>
      <c r="G14" s="13">
        <v>333530.58880000003</v>
      </c>
      <c r="H14" s="13">
        <v>335643.6</v>
      </c>
      <c r="I14" s="13">
        <v>333953.19104000001</v>
      </c>
    </row>
    <row r="15" spans="1:9">
      <c r="A15" s="15" t="s">
        <v>37</v>
      </c>
      <c r="B15" s="13"/>
      <c r="C15" s="13">
        <v>448528.62</v>
      </c>
      <c r="D15" s="13"/>
      <c r="E15" s="13">
        <v>59387.45</v>
      </c>
      <c r="F15" s="13"/>
      <c r="G15" s="13">
        <v>69663.725999999995</v>
      </c>
      <c r="H15" s="13"/>
      <c r="I15" s="13">
        <v>82583.851899999994</v>
      </c>
    </row>
    <row r="16" spans="1:9">
      <c r="A16" s="15" t="s">
        <v>38</v>
      </c>
      <c r="B16" s="13"/>
      <c r="C16" s="13">
        <v>149388.5</v>
      </c>
      <c r="D16" s="13"/>
      <c r="E16" s="13"/>
      <c r="F16" s="13"/>
      <c r="G16" s="13"/>
      <c r="H16" s="13"/>
      <c r="I16" s="13"/>
    </row>
    <row r="17" spans="1:9">
      <c r="A17" s="15" t="s">
        <v>39</v>
      </c>
      <c r="B17" s="13"/>
      <c r="C17" s="13">
        <v>300000</v>
      </c>
      <c r="D17" s="13"/>
      <c r="E17" s="13">
        <v>300000</v>
      </c>
      <c r="F17" s="13"/>
      <c r="G17" s="13">
        <v>300000</v>
      </c>
      <c r="H17" s="13"/>
      <c r="I17" s="13">
        <v>300000</v>
      </c>
    </row>
    <row r="18" spans="1:9">
      <c r="A18" s="15" t="s">
        <v>40</v>
      </c>
      <c r="B18" s="13"/>
      <c r="C18" s="13">
        <v>1893952.1434408594</v>
      </c>
      <c r="D18" s="13"/>
      <c r="E18" s="13">
        <v>2866669.1264555599</v>
      </c>
      <c r="F18" s="13"/>
      <c r="G18" s="13">
        <v>1097643.8768358007</v>
      </c>
      <c r="H18" s="13"/>
      <c r="I18" s="13">
        <v>1211334.9715087349</v>
      </c>
    </row>
    <row r="19" spans="1:9">
      <c r="A19" s="15" t="s">
        <v>41</v>
      </c>
      <c r="B19" s="14"/>
      <c r="C19" s="14">
        <v>1186892.1415591401</v>
      </c>
      <c r="D19" s="14"/>
      <c r="E19" s="14">
        <v>2106786.4930999996</v>
      </c>
      <c r="F19" s="14"/>
      <c r="G19" s="14">
        <v>3765143.0559199257</v>
      </c>
      <c r="H19" s="14"/>
      <c r="I19" s="14">
        <v>4544243.1006164178</v>
      </c>
    </row>
    <row r="20" spans="1:9">
      <c r="A20" s="9"/>
      <c r="B20" s="17">
        <v>4926830.7149999999</v>
      </c>
      <c r="C20" s="17">
        <v>4926830.7149999999</v>
      </c>
      <c r="D20" s="17">
        <f>+SUM(D5:D19)</f>
        <v>6374288.8199999994</v>
      </c>
      <c r="E20" s="17">
        <f>+SUM(E5:E19)</f>
        <v>6374288.820000004</v>
      </c>
      <c r="F20" s="17">
        <v>6385482.4709199239</v>
      </c>
      <c r="G20" s="17">
        <v>6385482.4709199239</v>
      </c>
      <c r="H20" s="17">
        <v>7384439.6156164212</v>
      </c>
      <c r="I20" s="17">
        <v>7384439.6156164212</v>
      </c>
    </row>
    <row r="22" spans="1:9">
      <c r="E22" s="11"/>
    </row>
    <row r="23" spans="1:9">
      <c r="B23" s="11"/>
      <c r="D23" s="11"/>
      <c r="F23" s="11"/>
    </row>
  </sheetData>
  <mergeCells count="4">
    <mergeCell ref="B3:C3"/>
    <mergeCell ref="D3:E3"/>
    <mergeCell ref="F3:G3"/>
    <mergeCell ref="H3:I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3"/>
  <sheetViews>
    <sheetView topLeftCell="A20" zoomScale="150" zoomScaleNormal="150" zoomScalePageLayoutView="150" workbookViewId="0">
      <selection activeCell="D23" sqref="D23"/>
    </sheetView>
  </sheetViews>
  <sheetFormatPr baseColWidth="10" defaultRowHeight="15.75"/>
  <cols>
    <col min="1" max="1" width="29.625" bestFit="1" customWidth="1"/>
    <col min="2" max="9" width="13" customWidth="1"/>
  </cols>
  <sheetData>
    <row r="3" spans="1:9">
      <c r="A3" s="9"/>
      <c r="B3" s="294">
        <v>2016</v>
      </c>
      <c r="C3" s="294"/>
      <c r="D3" s="294">
        <v>2017</v>
      </c>
      <c r="E3" s="294"/>
      <c r="F3" s="294">
        <v>2018</v>
      </c>
      <c r="G3" s="294"/>
      <c r="H3" s="294">
        <v>2019</v>
      </c>
      <c r="I3" s="294"/>
    </row>
    <row r="4" spans="1:9">
      <c r="A4" s="10"/>
      <c r="B4" s="16" t="s">
        <v>25</v>
      </c>
      <c r="C4" s="16" t="s">
        <v>26</v>
      </c>
      <c r="D4" s="16" t="s">
        <v>25</v>
      </c>
      <c r="E4" s="16" t="s">
        <v>26</v>
      </c>
      <c r="F4" s="16" t="s">
        <v>25</v>
      </c>
      <c r="G4" s="16" t="s">
        <v>26</v>
      </c>
      <c r="H4" s="16" t="s">
        <v>25</v>
      </c>
      <c r="I4" s="16" t="s">
        <v>26</v>
      </c>
    </row>
    <row r="5" spans="1:9">
      <c r="A5" s="15" t="s">
        <v>27</v>
      </c>
      <c r="B5" s="13">
        <v>2985499.6749999998</v>
      </c>
      <c r="C5" s="13"/>
      <c r="D5" s="13">
        <v>2225753.6843333347</v>
      </c>
      <c r="E5" s="13"/>
      <c r="F5" s="13">
        <v>2346651.3480630089</v>
      </c>
      <c r="G5" s="13"/>
      <c r="H5" s="13">
        <v>3556736.9329809844</v>
      </c>
      <c r="I5" s="13"/>
    </row>
    <row r="6" spans="1:9">
      <c r="A6" s="15" t="s">
        <v>28</v>
      </c>
      <c r="B6" s="14">
        <v>11709.79</v>
      </c>
      <c r="C6" s="13"/>
      <c r="D6" s="14">
        <v>457086</v>
      </c>
      <c r="E6" s="13"/>
      <c r="F6" s="14">
        <v>776671.375</v>
      </c>
      <c r="G6" s="13"/>
      <c r="H6" s="14">
        <v>703243.05</v>
      </c>
      <c r="I6" s="13"/>
    </row>
    <row r="7" spans="1:9">
      <c r="A7" s="15" t="s">
        <v>29</v>
      </c>
      <c r="B7" s="14">
        <v>241661.41999999998</v>
      </c>
      <c r="C7" s="13"/>
      <c r="D7" s="14"/>
      <c r="E7" s="13"/>
      <c r="F7" s="14"/>
      <c r="G7" s="13"/>
      <c r="H7" s="14"/>
      <c r="I7" s="13"/>
    </row>
    <row r="8" spans="1:9">
      <c r="A8" s="15" t="s">
        <v>30</v>
      </c>
      <c r="B8" s="13">
        <v>410382.99</v>
      </c>
      <c r="C8" s="13"/>
      <c r="D8" s="13">
        <v>320000</v>
      </c>
      <c r="E8" s="13"/>
      <c r="F8" s="13">
        <v>430000</v>
      </c>
      <c r="G8" s="13"/>
      <c r="H8" s="13">
        <v>530000</v>
      </c>
      <c r="I8" s="13"/>
    </row>
    <row r="9" spans="1:9">
      <c r="A9" s="15" t="s">
        <v>31</v>
      </c>
      <c r="B9" s="13">
        <v>2101.8000000000002</v>
      </c>
      <c r="C9" s="13"/>
      <c r="D9" s="13"/>
      <c r="E9" s="13"/>
      <c r="F9" s="13"/>
      <c r="G9" s="13"/>
      <c r="H9" s="13"/>
      <c r="I9" s="13"/>
    </row>
    <row r="10" spans="1:9">
      <c r="A10" s="15" t="s">
        <v>32</v>
      </c>
      <c r="B10" s="14">
        <v>127200.22</v>
      </c>
      <c r="C10" s="13"/>
      <c r="D10" s="14">
        <v>217894</v>
      </c>
      <c r="E10" s="13"/>
      <c r="F10" s="14">
        <v>307200.21999999997</v>
      </c>
      <c r="G10" s="13"/>
      <c r="H10" s="14">
        <v>362200.22</v>
      </c>
      <c r="I10" s="13"/>
    </row>
    <row r="11" spans="1:9">
      <c r="A11" s="15" t="s">
        <v>33</v>
      </c>
      <c r="B11" s="14">
        <v>812631.22</v>
      </c>
      <c r="C11" s="13"/>
      <c r="D11" s="14">
        <v>914922.22</v>
      </c>
      <c r="E11" s="13"/>
      <c r="F11" s="14">
        <v>1079422.22</v>
      </c>
      <c r="G11" s="13"/>
      <c r="H11" s="14">
        <v>1091422.22</v>
      </c>
      <c r="I11" s="13"/>
    </row>
    <row r="12" spans="1:9">
      <c r="A12" s="15" t="s">
        <v>34</v>
      </c>
      <c r="B12" s="13"/>
      <c r="C12" s="14">
        <v>95623.88</v>
      </c>
      <c r="D12" s="13"/>
      <c r="E12" s="14">
        <v>110092.53666666667</v>
      </c>
      <c r="F12" s="13"/>
      <c r="G12" s="14">
        <v>121766.91472222222</v>
      </c>
      <c r="H12" s="13"/>
      <c r="I12" s="14">
        <v>134664.15761574075</v>
      </c>
    </row>
    <row r="13" spans="1:9">
      <c r="A13" s="15" t="s">
        <v>35</v>
      </c>
      <c r="B13" s="13"/>
      <c r="C13" s="14">
        <v>520103.41</v>
      </c>
      <c r="D13" s="13"/>
      <c r="E13" s="14">
        <v>598350.87777777773</v>
      </c>
      <c r="F13" s="13"/>
      <c r="G13" s="14">
        <v>697734.30864197528</v>
      </c>
      <c r="H13" s="13"/>
      <c r="I13" s="14">
        <v>777660.34293552814</v>
      </c>
    </row>
    <row r="14" spans="1:9">
      <c r="A14" s="15" t="s">
        <v>36</v>
      </c>
      <c r="B14" s="13">
        <v>335643.6</v>
      </c>
      <c r="C14" s="13">
        <v>332342.02</v>
      </c>
      <c r="D14" s="13">
        <v>335643.6</v>
      </c>
      <c r="E14" s="13">
        <v>333002.33600000001</v>
      </c>
      <c r="F14" s="13">
        <v>335643.6</v>
      </c>
      <c r="G14" s="13">
        <v>333530.58880000003</v>
      </c>
      <c r="H14" s="13">
        <v>335643.6</v>
      </c>
      <c r="I14" s="13">
        <v>333953.19104000001</v>
      </c>
    </row>
    <row r="15" spans="1:9">
      <c r="A15" s="15" t="s">
        <v>37</v>
      </c>
      <c r="B15" s="13"/>
      <c r="C15" s="13">
        <v>448528.62</v>
      </c>
      <c r="D15" s="13"/>
      <c r="E15" s="13">
        <v>59387.45</v>
      </c>
      <c r="F15" s="13"/>
      <c r="G15" s="13">
        <v>69663.725999999995</v>
      </c>
      <c r="H15" s="13"/>
      <c r="I15" s="13">
        <v>82583.851899999994</v>
      </c>
    </row>
    <row r="16" spans="1:9">
      <c r="A16" s="15" t="s">
        <v>38</v>
      </c>
      <c r="B16" s="13"/>
      <c r="C16" s="13">
        <v>149388.5</v>
      </c>
      <c r="D16" s="13"/>
      <c r="E16" s="13"/>
      <c r="F16" s="13"/>
      <c r="G16" s="13"/>
      <c r="H16" s="13"/>
      <c r="I16" s="13"/>
    </row>
    <row r="17" spans="1:9">
      <c r="A17" s="15" t="s">
        <v>39</v>
      </c>
      <c r="B17" s="13"/>
      <c r="C17" s="13">
        <v>300000</v>
      </c>
      <c r="D17" s="13"/>
      <c r="E17" s="13">
        <v>300000</v>
      </c>
      <c r="F17" s="13"/>
      <c r="G17" s="13">
        <v>300000</v>
      </c>
      <c r="H17" s="13"/>
      <c r="I17" s="13">
        <v>300000</v>
      </c>
    </row>
    <row r="18" spans="1:9">
      <c r="A18" s="15" t="s">
        <v>40</v>
      </c>
      <c r="B18" s="13"/>
      <c r="C18" s="13">
        <v>1893952.1434408594</v>
      </c>
      <c r="D18" s="13"/>
      <c r="E18" s="13">
        <v>1123444</v>
      </c>
      <c r="F18" s="13"/>
      <c r="G18" s="13">
        <v>1291135</v>
      </c>
      <c r="H18" s="13"/>
      <c r="I18" s="13">
        <v>1375639</v>
      </c>
    </row>
    <row r="19" spans="1:9">
      <c r="A19" s="15" t="s">
        <v>41</v>
      </c>
      <c r="B19" s="14"/>
      <c r="C19" s="14">
        <v>1186892.1415591401</v>
      </c>
      <c r="D19" s="14"/>
      <c r="E19" s="14">
        <f>+'T Estado de resultado proye'!B17</f>
        <v>1947022.3038888895</v>
      </c>
      <c r="F19" s="14"/>
      <c r="G19" s="14">
        <f>+'T Estado de resultado proye'!C17</f>
        <v>2461758.22489881</v>
      </c>
      <c r="H19" s="14"/>
      <c r="I19" s="14">
        <f>+'T Estado de resultado proye'!D17</f>
        <v>3574745.4794897148</v>
      </c>
    </row>
    <row r="20" spans="1:9">
      <c r="A20" s="9"/>
      <c r="B20" s="17">
        <v>4926830.7149999999</v>
      </c>
      <c r="C20" s="17">
        <v>4926830.7149999999</v>
      </c>
      <c r="D20" s="17">
        <f t="shared" ref="D20:I20" si="0">+SUM(D5:D19)</f>
        <v>4471299.504333334</v>
      </c>
      <c r="E20" s="17">
        <f t="shared" si="0"/>
        <v>4471299.504333334</v>
      </c>
      <c r="F20" s="17">
        <f t="shared" si="0"/>
        <v>5275588.763063008</v>
      </c>
      <c r="G20" s="17">
        <f t="shared" si="0"/>
        <v>5275588.763063008</v>
      </c>
      <c r="H20" s="17">
        <f t="shared" si="0"/>
        <v>6579246.0229809834</v>
      </c>
      <c r="I20" s="17">
        <f t="shared" si="0"/>
        <v>6579246.0229809834</v>
      </c>
    </row>
    <row r="21" spans="1:9">
      <c r="D21" s="215"/>
      <c r="F21" s="11"/>
      <c r="H21" s="11"/>
    </row>
    <row r="22" spans="1:9">
      <c r="A22" s="216" t="s">
        <v>45</v>
      </c>
      <c r="C22" s="217">
        <f>+C19/(+SUM(B5:B14))</f>
        <v>0.24090377977582697</v>
      </c>
      <c r="D22" s="218"/>
      <c r="E22" s="217">
        <f>+E19/(+SUM(D5:D14))</f>
        <v>0.43544886715862896</v>
      </c>
      <c r="F22" s="218"/>
      <c r="G22" s="217">
        <f>+G19/(+SUM(F5:F14))</f>
        <v>0.4666319410896449</v>
      </c>
      <c r="H22" s="218"/>
      <c r="I22" s="217">
        <f>+I19/(+SUM(H5:H14))</f>
        <v>0.54333664784738323</v>
      </c>
    </row>
    <row r="23" spans="1:9">
      <c r="A23" s="216" t="s">
        <v>46</v>
      </c>
      <c r="B23" s="11"/>
      <c r="C23" s="217">
        <f>+C19/(C17+C18)</f>
        <v>0.54098360582181682</v>
      </c>
      <c r="D23" s="217"/>
      <c r="E23" s="217">
        <f>+E19/(E17+E18)</f>
        <v>1.3678250102490084</v>
      </c>
      <c r="F23" s="217"/>
      <c r="G23" s="217">
        <f>+G19/(G17+G18)</f>
        <v>1.5471711859137094</v>
      </c>
      <c r="H23" s="217"/>
      <c r="I23" s="217">
        <f>+I19/(I17+I18)</f>
        <v>2.1333625437756671</v>
      </c>
    </row>
  </sheetData>
  <mergeCells count="4">
    <mergeCell ref="B3:C3"/>
    <mergeCell ref="D3:E3"/>
    <mergeCell ref="F3:G3"/>
    <mergeCell ref="H3:I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zoomScale="250" zoomScaleNormal="250" zoomScalePageLayoutView="250" workbookViewId="0">
      <selection activeCell="C11" sqref="C11"/>
    </sheetView>
  </sheetViews>
  <sheetFormatPr baseColWidth="10" defaultRowHeight="15.75"/>
  <cols>
    <col min="1" max="1" width="16.625" bestFit="1" customWidth="1"/>
    <col min="2" max="5" width="12.625" bestFit="1" customWidth="1"/>
  </cols>
  <sheetData>
    <row r="3" spans="1:5">
      <c r="A3" s="26"/>
      <c r="B3" s="27">
        <v>2016</v>
      </c>
      <c r="C3" s="27">
        <v>2017</v>
      </c>
      <c r="D3" s="27">
        <v>2018</v>
      </c>
      <c r="E3" s="27">
        <v>2019</v>
      </c>
    </row>
    <row r="4" spans="1:5">
      <c r="A4" s="12" t="s">
        <v>42</v>
      </c>
      <c r="B4" s="28">
        <v>1186892.1415591401</v>
      </c>
      <c r="C4" s="28">
        <v>2106786.4930999996</v>
      </c>
      <c r="D4" s="28">
        <v>3765143.0559199257</v>
      </c>
      <c r="E4" s="28">
        <v>4544243.1006164178</v>
      </c>
    </row>
    <row r="5" spans="1:5">
      <c r="A5" s="12" t="s">
        <v>43</v>
      </c>
      <c r="B5" s="28">
        <v>4926830.7149999999</v>
      </c>
      <c r="C5" s="28">
        <v>6374288.8199999994</v>
      </c>
      <c r="D5" s="28">
        <v>6385482.4709199239</v>
      </c>
      <c r="E5" s="28">
        <v>7384439.6156164212</v>
      </c>
    </row>
    <row r="6" spans="1:5">
      <c r="A6" s="12" t="s">
        <v>44</v>
      </c>
      <c r="B6" s="28">
        <v>2193952.1434408594</v>
      </c>
      <c r="C6" s="28">
        <v>3166669.1264555557</v>
      </c>
      <c r="D6" s="28">
        <v>1397643.8768358007</v>
      </c>
      <c r="E6" s="28">
        <v>1511334.9715087349</v>
      </c>
    </row>
    <row r="7" spans="1:5">
      <c r="A7" s="12" t="s">
        <v>45</v>
      </c>
      <c r="B7" s="29">
        <f>+B4/B5</f>
        <v>0.24090377977582697</v>
      </c>
      <c r="C7" s="29">
        <f t="shared" ref="C7:E7" si="0">+C4/C5</f>
        <v>0.33051318391625684</v>
      </c>
      <c r="D7" s="29">
        <f t="shared" si="0"/>
        <v>0.58964112313622885</v>
      </c>
      <c r="E7" s="29">
        <f t="shared" si="0"/>
        <v>0.61538090053663252</v>
      </c>
    </row>
    <row r="8" spans="1:5">
      <c r="A8" s="12" t="s">
        <v>46</v>
      </c>
      <c r="B8" s="29">
        <f>+B4/B6</f>
        <v>0.54098360582181682</v>
      </c>
      <c r="C8" s="29">
        <f t="shared" ref="C8:E8" si="1">+C4/C6</f>
        <v>0.66530048103197958</v>
      </c>
      <c r="D8" s="29">
        <f t="shared" si="1"/>
        <v>2.6939216193212467</v>
      </c>
      <c r="E8" s="29">
        <f t="shared" si="1"/>
        <v>3.0067742666471831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70" zoomScaleNormal="70" zoomScalePageLayoutView="70" workbookViewId="0">
      <selection activeCell="C16" sqref="C13:C16"/>
    </sheetView>
  </sheetViews>
  <sheetFormatPr baseColWidth="10" defaultRowHeight="18.75"/>
  <cols>
    <col min="1" max="1" width="26.125" style="30" customWidth="1"/>
    <col min="2" max="2" width="52.625" customWidth="1"/>
    <col min="3" max="5" width="17.125" customWidth="1"/>
  </cols>
  <sheetData>
    <row r="1" spans="1:5">
      <c r="A1" s="31" t="s">
        <v>47</v>
      </c>
      <c r="B1" s="31" t="s">
        <v>70</v>
      </c>
      <c r="C1" s="31">
        <v>2017</v>
      </c>
      <c r="D1" s="31">
        <v>2018</v>
      </c>
      <c r="E1" s="31">
        <v>2019</v>
      </c>
    </row>
    <row r="2" spans="1:5" ht="54.95" customHeight="1">
      <c r="A2" s="34" t="s">
        <v>51</v>
      </c>
      <c r="B2" s="32" t="s">
        <v>48</v>
      </c>
      <c r="C2" s="47">
        <f>1200*0.33*(500*3.35/192)</f>
        <v>3454.6875000000005</v>
      </c>
      <c r="D2" s="47">
        <f>(1200*1.1)*0.33*(500*3.35/192)</f>
        <v>3800.1562500000005</v>
      </c>
      <c r="E2" s="47">
        <f>1320*1.1*0.33*(500*3.35/192)</f>
        <v>4180.1718750000009</v>
      </c>
    </row>
    <row r="3" spans="1:5" ht="56.25">
      <c r="A3" s="34" t="s">
        <v>51</v>
      </c>
      <c r="B3" s="32" t="s">
        <v>49</v>
      </c>
      <c r="C3" s="47">
        <f>840*0.33*(500*3.35/192)</f>
        <v>2418.28125</v>
      </c>
      <c r="D3" s="47">
        <f>840*1.1*0.33*(500*3.35/192)</f>
        <v>2660.1093750000009</v>
      </c>
      <c r="E3" s="47">
        <f>924*1.1*0.33*(500*3.35/192)</f>
        <v>2926.1203125000006</v>
      </c>
    </row>
    <row r="4" spans="1:5">
      <c r="A4" s="34" t="s">
        <v>51</v>
      </c>
      <c r="B4" s="32" t="s">
        <v>50</v>
      </c>
      <c r="C4" s="47">
        <f>(1200/30)*(500*3.35/192)</f>
        <v>348.95833333333337</v>
      </c>
      <c r="D4" s="47">
        <f>(1200*1.1/30)*(500*3.35/192)</f>
        <v>383.85416666666669</v>
      </c>
      <c r="E4" s="47">
        <f>(1320*1.1/30)*(500*3.35/192)</f>
        <v>422.23958333333343</v>
      </c>
    </row>
    <row r="5" spans="1:5" ht="75">
      <c r="A5" s="34" t="s">
        <v>51</v>
      </c>
      <c r="B5" s="32" t="s">
        <v>63</v>
      </c>
      <c r="C5" s="47">
        <v>400</v>
      </c>
      <c r="D5" s="47">
        <v>600</v>
      </c>
      <c r="E5" s="47">
        <v>600</v>
      </c>
    </row>
    <row r="6" spans="1:5" ht="54.95" customHeight="1">
      <c r="A6" s="34" t="s">
        <v>54</v>
      </c>
      <c r="B6" s="33" t="s">
        <v>52</v>
      </c>
      <c r="C6" s="47">
        <f>(10000*3.35/(48*4))*4*12</f>
        <v>8375</v>
      </c>
      <c r="D6" s="47">
        <f>(11000*3.35/(48*4))*4*12</f>
        <v>9212.5</v>
      </c>
      <c r="E6" s="47">
        <f>(12000*3.35/(48*4))*4*12</f>
        <v>10050</v>
      </c>
    </row>
    <row r="7" spans="1:5" ht="37.5">
      <c r="A7" s="34" t="s">
        <v>54</v>
      </c>
      <c r="B7" s="33" t="s">
        <v>53</v>
      </c>
      <c r="C7" s="47">
        <f>(9000*3.35/(48*4))*6*12</f>
        <v>11306.25</v>
      </c>
      <c r="D7" s="47">
        <f>(9300*3.35/(48*4))*6*12</f>
        <v>11683.125</v>
      </c>
      <c r="E7" s="47">
        <f>(9600*3.35/(48*4))*6*12</f>
        <v>12060</v>
      </c>
    </row>
    <row r="8" spans="1:5" ht="56.25">
      <c r="A8" s="34" t="s">
        <v>54</v>
      </c>
      <c r="B8" s="33" t="s">
        <v>55</v>
      </c>
      <c r="C8" s="47">
        <f>(2000*3.35/(48*4))*12*12</f>
        <v>5025</v>
      </c>
      <c r="D8" s="47">
        <f>(2200*3.35/(48*4))*12*12</f>
        <v>5527.5</v>
      </c>
      <c r="E8" s="47">
        <f>(2400*3.35/(48*4))*12*12</f>
        <v>6030</v>
      </c>
    </row>
    <row r="9" spans="1:5" ht="56.25">
      <c r="A9" s="34" t="s">
        <v>58</v>
      </c>
      <c r="B9" s="33" t="s">
        <v>56</v>
      </c>
      <c r="C9" s="47">
        <f>(2000*3.35/(48*4))*14*12</f>
        <v>5862.5</v>
      </c>
      <c r="D9" s="47">
        <f>(2200*3.35/(48*4))*14*12</f>
        <v>6448.7499999999991</v>
      </c>
      <c r="E9" s="47">
        <f>(2400*3.35/(48*4))*14*12</f>
        <v>7035</v>
      </c>
    </row>
    <row r="10" spans="1:5">
      <c r="A10" s="34" t="s">
        <v>54</v>
      </c>
      <c r="B10" s="33" t="s">
        <v>57</v>
      </c>
      <c r="C10" s="47">
        <f>((2000*3.35/(48*4))*6*12)+(1800*6)</f>
        <v>13312.5</v>
      </c>
      <c r="D10" s="47">
        <f>((2200*3.35/(48*4))*6*12)+(1800*6)</f>
        <v>13563.75</v>
      </c>
      <c r="E10" s="47">
        <f>((2400*3.35/(48*4))*6*12)+(1800*6)</f>
        <v>13815</v>
      </c>
    </row>
    <row r="11" spans="1:5" ht="37.5">
      <c r="A11" s="34" t="s">
        <v>60</v>
      </c>
      <c r="B11" s="33" t="s">
        <v>59</v>
      </c>
      <c r="C11" s="47">
        <f>(2000*3.35/(48*4))*22*12</f>
        <v>9212.5</v>
      </c>
      <c r="D11" s="47">
        <f>(2200*3.35/(48*4))*22*12</f>
        <v>10133.75</v>
      </c>
      <c r="E11" s="47">
        <f>(2400*3.35/(48*4))*22*12</f>
        <v>11055</v>
      </c>
    </row>
    <row r="12" spans="1:5" ht="56.25">
      <c r="A12" s="34" t="s">
        <v>60</v>
      </c>
      <c r="B12" s="33" t="s">
        <v>61</v>
      </c>
      <c r="C12" s="47">
        <f>((2000*3.35/(48*4))*4*12)</f>
        <v>1675</v>
      </c>
      <c r="D12" s="47">
        <f>((2200*3.35/(48*4))*4*12)</f>
        <v>1842.5</v>
      </c>
      <c r="E12" s="47">
        <f>((2400*3.35/(48*4))*4*12)</f>
        <v>2010</v>
      </c>
    </row>
    <row r="13" spans="1:5" ht="37.5">
      <c r="A13" s="34" t="s">
        <v>60</v>
      </c>
      <c r="B13" s="33" t="s">
        <v>62</v>
      </c>
      <c r="C13" s="47">
        <f>5000*3.25</f>
        <v>16250</v>
      </c>
      <c r="D13" s="47">
        <f>5000*3.25</f>
        <v>16250</v>
      </c>
      <c r="E13" s="47">
        <f>+D13*2</f>
        <v>32500</v>
      </c>
    </row>
    <row r="14" spans="1:5" ht="56.25">
      <c r="A14" s="35" t="s">
        <v>64</v>
      </c>
      <c r="B14" s="33" t="s">
        <v>65</v>
      </c>
      <c r="C14" s="47">
        <v>125000</v>
      </c>
      <c r="D14" s="47"/>
      <c r="E14" s="47"/>
    </row>
    <row r="15" spans="1:5" ht="37.5">
      <c r="A15" s="35" t="s">
        <v>64</v>
      </c>
      <c r="B15" s="33" t="s">
        <v>66</v>
      </c>
      <c r="C15" s="47">
        <v>28000</v>
      </c>
      <c r="D15" s="47"/>
      <c r="E15" s="47"/>
    </row>
    <row r="16" spans="1:5" ht="37.5">
      <c r="A16" s="35" t="s">
        <v>64</v>
      </c>
      <c r="B16" s="33" t="s">
        <v>67</v>
      </c>
      <c r="C16" s="47">
        <v>67000</v>
      </c>
      <c r="D16" s="47"/>
      <c r="E16" s="47"/>
    </row>
    <row r="17" spans="1:5" ht="37.5">
      <c r="A17" s="35" t="s">
        <v>64</v>
      </c>
      <c r="B17" s="33" t="s">
        <v>68</v>
      </c>
      <c r="C17" s="47"/>
      <c r="D17" s="47">
        <v>67000</v>
      </c>
      <c r="E17" s="47"/>
    </row>
    <row r="18" spans="1:5">
      <c r="A18" s="295" t="s">
        <v>69</v>
      </c>
      <c r="B18" s="295"/>
      <c r="C18" s="48">
        <f>+SUM(C2:C17)</f>
        <v>297640.67708333331</v>
      </c>
      <c r="D18" s="48">
        <f>+SUM(D2:D17)</f>
        <v>149105.99479166669</v>
      </c>
      <c r="E18" s="48">
        <f>+SUM(E2:E17)</f>
        <v>102683.53177083333</v>
      </c>
    </row>
  </sheetData>
  <mergeCells count="1">
    <mergeCell ref="A18:B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RESUMEN</vt:lpstr>
      <vt:lpstr>PRESUPUESTOS</vt:lpstr>
      <vt:lpstr>Hoja3</vt:lpstr>
      <vt:lpstr>Anexo Flujo de caja &amp; VAN T</vt:lpstr>
      <vt:lpstr>T Estado de resultado proye</vt:lpstr>
      <vt:lpstr>Balance proyectado</vt:lpstr>
      <vt:lpstr>T Balance proyectado (2)</vt:lpstr>
      <vt:lpstr>Anexo Roa y ROE</vt:lpstr>
      <vt:lpstr>Ppto Operaciones</vt:lpstr>
      <vt:lpstr>Salarios</vt:lpstr>
      <vt:lpstr>Ppto RRHH</vt:lpstr>
      <vt:lpstr>Ppto MKT</vt:lpstr>
      <vt:lpstr>Ppto 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Daniel Montjoy Pita</cp:lastModifiedBy>
  <dcterms:created xsi:type="dcterms:W3CDTF">2017-03-31T15:46:07Z</dcterms:created>
  <dcterms:modified xsi:type="dcterms:W3CDTF">2017-09-21T02:40:30Z</dcterms:modified>
</cp:coreProperties>
</file>