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6795" yWindow="660" windowWidth="25605" windowHeight="13740" tabRatio="996" firstSheet="2" activeTab="3"/>
  </bookViews>
  <sheets>
    <sheet name="Hoja2" sheetId="21" r:id="rId1"/>
    <sheet name="PROYECCION DE VENTAS" sheetId="9" r:id="rId2"/>
    <sheet name="P&amp;L" sheetId="23" r:id="rId3"/>
    <sheet name="Flujo de caja" sheetId="24" r:id="rId4"/>
    <sheet name="P&amp;L Detallado x años (+ planes)" sheetId="19" r:id="rId5"/>
    <sheet name="Ppto Operaciones" sheetId="5" r:id="rId6"/>
    <sheet name="Ppto MKT" sheetId="7" r:id="rId7"/>
    <sheet name="Ppto RS" sheetId="8" r:id="rId8"/>
    <sheet name="Ppto RRHH" sheetId="6" r:id="rId9"/>
    <sheet name="Salarios" sheetId="12" r:id="rId10"/>
    <sheet name="Capacidad instalada" sheetId="14" r:id="rId11"/>
    <sheet name="P&amp;L Detallado x años" sheetId="11" r:id="rId12"/>
    <sheet name="Flujo de caja &amp; VAN (Inc. IR)" sheetId="1" r:id="rId13"/>
    <sheet name="Estado de resultados" sheetId="2" r:id="rId14"/>
    <sheet name="Balance proyectado" sheetId="13" r:id="rId15"/>
    <sheet name="EERR (2104-2016)" sheetId="16" r:id="rId16"/>
    <sheet name="TAA S.A. 2015-2016" sheetId="17" r:id="rId17"/>
  </sheets>
  <definedNames>
    <definedName name="_ftn1" localSheetId="5">'Ppto Operaciones'!#REF!</definedName>
    <definedName name="_ftnref1" localSheetId="5">'Ppto Operaciones'!#REF!</definedName>
    <definedName name="_xlnm.Print_Area" localSheetId="16">'TAA S.A. 2015-2016'!$6:$99</definedName>
    <definedName name="_xlnm.Print_Titles" localSheetId="16">'TAA S.A. 2015-2016'!$1:$5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3" i="24" l="1"/>
  <c r="E63" i="24"/>
  <c r="C63" i="24"/>
  <c r="D60" i="24"/>
  <c r="E60" i="24"/>
  <c r="C60" i="24"/>
  <c r="D59" i="24"/>
  <c r="E59" i="24"/>
  <c r="C59" i="24"/>
  <c r="E83" i="23"/>
  <c r="G83" i="23"/>
  <c r="I83" i="23"/>
  <c r="C83" i="23"/>
  <c r="C68" i="23"/>
  <c r="J81" i="23"/>
  <c r="H81" i="23"/>
  <c r="F81" i="23"/>
  <c r="C73" i="23"/>
  <c r="C77" i="23"/>
  <c r="C81" i="23"/>
  <c r="D81" i="23"/>
  <c r="I82" i="23"/>
  <c r="G82" i="23"/>
  <c r="E82" i="23"/>
  <c r="C82" i="23"/>
  <c r="E68" i="23"/>
  <c r="E69" i="23"/>
  <c r="E70" i="23"/>
  <c r="E71" i="23"/>
  <c r="E72" i="23"/>
  <c r="E73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18" i="23"/>
  <c r="E45" i="23"/>
  <c r="E48" i="23"/>
  <c r="E17" i="23"/>
  <c r="E22" i="23"/>
  <c r="E23" i="23"/>
  <c r="E24" i="23"/>
  <c r="E25" i="23"/>
  <c r="E26" i="23"/>
  <c r="E27" i="23"/>
  <c r="E77" i="23"/>
  <c r="G68" i="23"/>
  <c r="G69" i="23"/>
  <c r="G70" i="23"/>
  <c r="G71" i="23"/>
  <c r="G72" i="23"/>
  <c r="G73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18" i="23"/>
  <c r="G45" i="23"/>
  <c r="G48" i="23"/>
  <c r="G17" i="23"/>
  <c r="G22" i="23"/>
  <c r="G23" i="23"/>
  <c r="G24" i="23"/>
  <c r="G25" i="23"/>
  <c r="G26" i="23"/>
  <c r="G27" i="23"/>
  <c r="G77" i="23"/>
  <c r="I68" i="23"/>
  <c r="I69" i="23"/>
  <c r="I70" i="23"/>
  <c r="I71" i="23"/>
  <c r="I72" i="23"/>
  <c r="I73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18" i="23"/>
  <c r="I20" i="23"/>
  <c r="I45" i="23"/>
  <c r="I48" i="23"/>
  <c r="I17" i="23"/>
  <c r="I22" i="23"/>
  <c r="I23" i="23"/>
  <c r="I24" i="23"/>
  <c r="I25" i="23"/>
  <c r="I26" i="23"/>
  <c r="I27" i="23"/>
  <c r="I77" i="23"/>
  <c r="E8" i="23"/>
  <c r="E10" i="23"/>
  <c r="E14" i="23"/>
  <c r="E81" i="23"/>
  <c r="F79" i="23"/>
  <c r="F14" i="23"/>
  <c r="G8" i="23"/>
  <c r="G10" i="23"/>
  <c r="G14" i="23"/>
  <c r="G81" i="23"/>
  <c r="H79" i="23"/>
  <c r="H14" i="23"/>
  <c r="I8" i="23"/>
  <c r="I10" i="23"/>
  <c r="I14" i="23"/>
  <c r="I81" i="23"/>
  <c r="J79" i="23"/>
  <c r="J14" i="23"/>
  <c r="C69" i="23"/>
  <c r="C70" i="23"/>
  <c r="C71" i="23"/>
  <c r="C72" i="23"/>
  <c r="C51" i="23"/>
  <c r="C52" i="23"/>
  <c r="C53" i="23"/>
  <c r="C54" i="23"/>
  <c r="C56" i="23"/>
  <c r="C57" i="23"/>
  <c r="C58" i="23"/>
  <c r="C59" i="23"/>
  <c r="C60" i="23"/>
  <c r="C61" i="23"/>
  <c r="C62" i="23"/>
  <c r="C63" i="23"/>
  <c r="C64" i="23"/>
  <c r="C65" i="23"/>
  <c r="C46" i="23"/>
  <c r="C48" i="23"/>
  <c r="C17" i="23"/>
  <c r="C18" i="23"/>
  <c r="C19" i="23"/>
  <c r="C20" i="23"/>
  <c r="C21" i="23"/>
  <c r="C22" i="23"/>
  <c r="C23" i="23"/>
  <c r="C24" i="23"/>
  <c r="C25" i="23"/>
  <c r="C26" i="23"/>
  <c r="C27" i="23"/>
  <c r="C8" i="23"/>
  <c r="C10" i="23"/>
  <c r="C11" i="23"/>
  <c r="C14" i="23"/>
  <c r="J75" i="23"/>
  <c r="H75" i="23"/>
  <c r="F75" i="23"/>
  <c r="D75" i="23"/>
  <c r="D79" i="23"/>
  <c r="F7" i="6"/>
  <c r="E7" i="6"/>
  <c r="D7" i="6"/>
  <c r="J42" i="23"/>
  <c r="J43" i="23"/>
  <c r="J44" i="23"/>
  <c r="J45" i="23"/>
  <c r="J46" i="23"/>
  <c r="J47" i="23"/>
  <c r="H42" i="23"/>
  <c r="H43" i="23"/>
  <c r="H44" i="23"/>
  <c r="H45" i="23"/>
  <c r="H46" i="23"/>
  <c r="H47" i="23"/>
  <c r="F42" i="23"/>
  <c r="F43" i="23"/>
  <c r="F44" i="23"/>
  <c r="F45" i="23"/>
  <c r="F46" i="23"/>
  <c r="F47" i="23"/>
  <c r="D42" i="23"/>
  <c r="D43" i="23"/>
  <c r="D44" i="23"/>
  <c r="D45" i="23"/>
  <c r="D46" i="23"/>
  <c r="D47" i="23"/>
  <c r="D34" i="24"/>
  <c r="E34" i="24"/>
  <c r="C34" i="24"/>
  <c r="D40" i="5"/>
  <c r="E40" i="5"/>
  <c r="F40" i="5"/>
  <c r="C40" i="5"/>
  <c r="E8" i="5"/>
  <c r="I41" i="23"/>
  <c r="J48" i="23"/>
  <c r="H48" i="23"/>
  <c r="D50" i="24"/>
  <c r="E50" i="24"/>
  <c r="C50" i="24"/>
  <c r="F12" i="6"/>
  <c r="E12" i="6"/>
  <c r="D12" i="6"/>
  <c r="C5" i="24"/>
  <c r="D29" i="6"/>
  <c r="D2" i="6"/>
  <c r="D19" i="6"/>
  <c r="D4" i="6"/>
  <c r="D21" i="6"/>
  <c r="D23" i="6"/>
  <c r="D24" i="6"/>
  <c r="D25" i="6"/>
  <c r="D26" i="6"/>
  <c r="D10" i="6"/>
  <c r="D27" i="6"/>
  <c r="D11" i="6"/>
  <c r="D28" i="6"/>
  <c r="D30" i="6"/>
  <c r="D31" i="6"/>
  <c r="D32" i="6"/>
  <c r="D33" i="6"/>
  <c r="E29" i="6"/>
  <c r="E2" i="6"/>
  <c r="E19" i="6"/>
  <c r="E4" i="6"/>
  <c r="E21" i="6"/>
  <c r="E23" i="6"/>
  <c r="E24" i="6"/>
  <c r="E25" i="6"/>
  <c r="E26" i="6"/>
  <c r="E10" i="6"/>
  <c r="E27" i="6"/>
  <c r="E11" i="6"/>
  <c r="E28" i="6"/>
  <c r="E15" i="6"/>
  <c r="E32" i="6"/>
  <c r="E30" i="6"/>
  <c r="E31" i="6"/>
  <c r="E33" i="6"/>
  <c r="F29" i="6"/>
  <c r="F2" i="6"/>
  <c r="F19" i="6"/>
  <c r="F4" i="6"/>
  <c r="F21" i="6"/>
  <c r="F23" i="6"/>
  <c r="F24" i="6"/>
  <c r="F25" i="6"/>
  <c r="F26" i="6"/>
  <c r="F10" i="6"/>
  <c r="F27" i="6"/>
  <c r="F11" i="6"/>
  <c r="F28" i="6"/>
  <c r="F15" i="6"/>
  <c r="F32" i="6"/>
  <c r="F30" i="6"/>
  <c r="F31" i="6"/>
  <c r="F33" i="6"/>
  <c r="C19" i="6"/>
  <c r="C20" i="6"/>
  <c r="C21" i="6"/>
  <c r="C22" i="6"/>
  <c r="C23" i="6"/>
  <c r="C24" i="6"/>
  <c r="C25" i="6"/>
  <c r="C26" i="6"/>
  <c r="C27" i="6"/>
  <c r="C11" i="6"/>
  <c r="C28" i="6"/>
  <c r="C12" i="6"/>
  <c r="C29" i="6"/>
  <c r="C30" i="6"/>
  <c r="C31" i="6"/>
  <c r="C32" i="6"/>
  <c r="C33" i="6"/>
  <c r="A18" i="6"/>
  <c r="B18" i="6"/>
  <c r="C18" i="6"/>
  <c r="D18" i="6"/>
  <c r="E18" i="6"/>
  <c r="F18" i="6"/>
  <c r="A19" i="6"/>
  <c r="B19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C16" i="6"/>
  <c r="C34" i="5"/>
  <c r="C35" i="5"/>
  <c r="C36" i="5"/>
  <c r="C37" i="5"/>
  <c r="C38" i="5"/>
  <c r="C42" i="5"/>
  <c r="E34" i="5"/>
  <c r="E35" i="5"/>
  <c r="E36" i="5"/>
  <c r="E37" i="5"/>
  <c r="E38" i="5"/>
  <c r="E33" i="5"/>
  <c r="E42" i="5"/>
  <c r="F34" i="5"/>
  <c r="F35" i="5"/>
  <c r="F36" i="5"/>
  <c r="F37" i="5"/>
  <c r="F38" i="5"/>
  <c r="F42" i="5"/>
  <c r="D32" i="5"/>
  <c r="D34" i="5"/>
  <c r="D35" i="5"/>
  <c r="D36" i="5"/>
  <c r="D37" i="5"/>
  <c r="D38" i="5"/>
  <c r="D42" i="5"/>
  <c r="G12" i="23"/>
  <c r="E9" i="24"/>
  <c r="E12" i="23"/>
  <c r="D9" i="24"/>
  <c r="C12" i="23"/>
  <c r="C9" i="24"/>
  <c r="I12" i="23"/>
  <c r="J12" i="23"/>
  <c r="H12" i="23"/>
  <c r="F12" i="23"/>
  <c r="D12" i="23"/>
  <c r="D5" i="24"/>
  <c r="D6" i="24"/>
  <c r="E5" i="24"/>
  <c r="E6" i="24"/>
  <c r="C6" i="24"/>
  <c r="D14" i="8"/>
  <c r="E14" i="8"/>
  <c r="F14" i="8"/>
  <c r="C14" i="8"/>
  <c r="C13" i="8"/>
  <c r="D13" i="8"/>
  <c r="E13" i="8"/>
  <c r="F13" i="8"/>
  <c r="C12" i="8"/>
  <c r="D12" i="8"/>
  <c r="E12" i="8"/>
  <c r="F12" i="8"/>
  <c r="C11" i="8"/>
  <c r="D11" i="8"/>
  <c r="E11" i="8"/>
  <c r="F11" i="8"/>
  <c r="C10" i="8"/>
  <c r="D10" i="8"/>
  <c r="E10" i="8"/>
  <c r="F10" i="8"/>
  <c r="B13" i="8"/>
  <c r="B12" i="8"/>
  <c r="B11" i="8"/>
  <c r="A11" i="8"/>
  <c r="B10" i="8"/>
  <c r="A10" i="8"/>
  <c r="D25" i="7"/>
  <c r="D27" i="7"/>
  <c r="E27" i="7"/>
  <c r="F27" i="7"/>
  <c r="C27" i="7"/>
  <c r="A27" i="7"/>
  <c r="A21" i="7"/>
  <c r="A23" i="7"/>
  <c r="A22" i="7"/>
  <c r="A20" i="7"/>
  <c r="A19" i="7"/>
  <c r="C22" i="7"/>
  <c r="D22" i="7"/>
  <c r="E22" i="7"/>
  <c r="F22" i="7"/>
  <c r="C8" i="7"/>
  <c r="C23" i="7"/>
  <c r="D8" i="7"/>
  <c r="D23" i="7"/>
  <c r="E8" i="7"/>
  <c r="E23" i="7"/>
  <c r="F8" i="7"/>
  <c r="F23" i="7"/>
  <c r="C9" i="7"/>
  <c r="C24" i="7"/>
  <c r="D9" i="7"/>
  <c r="D24" i="7"/>
  <c r="E9" i="7"/>
  <c r="E24" i="7"/>
  <c r="F9" i="7"/>
  <c r="F24" i="7"/>
  <c r="C25" i="7"/>
  <c r="E25" i="7"/>
  <c r="F25" i="7"/>
  <c r="C11" i="7"/>
  <c r="C26" i="7"/>
  <c r="D11" i="7"/>
  <c r="D26" i="7"/>
  <c r="E11" i="7"/>
  <c r="E26" i="7"/>
  <c r="F11" i="7"/>
  <c r="F26" i="7"/>
  <c r="C12" i="7"/>
  <c r="D3" i="7"/>
  <c r="D4" i="7"/>
  <c r="D5" i="7"/>
  <c r="D6" i="7"/>
  <c r="D12" i="7"/>
  <c r="E3" i="7"/>
  <c r="E4" i="7"/>
  <c r="E5" i="7"/>
  <c r="E6" i="7"/>
  <c r="E12" i="7"/>
  <c r="F3" i="7"/>
  <c r="F4" i="7"/>
  <c r="F6" i="7"/>
  <c r="F12" i="7"/>
  <c r="B27" i="7"/>
  <c r="B26" i="7"/>
  <c r="B23" i="7"/>
  <c r="B24" i="7"/>
  <c r="B25" i="7"/>
  <c r="B22" i="7"/>
  <c r="C21" i="7"/>
  <c r="D21" i="7"/>
  <c r="E21" i="7"/>
  <c r="F21" i="7"/>
  <c r="B21" i="7"/>
  <c r="C25" i="5"/>
  <c r="D22" i="5"/>
  <c r="D23" i="5"/>
  <c r="D24" i="5"/>
  <c r="D25" i="5"/>
  <c r="E25" i="5"/>
  <c r="F25" i="5"/>
  <c r="G20" i="5"/>
  <c r="E22" i="5"/>
  <c r="E23" i="5"/>
  <c r="E24" i="5"/>
  <c r="F22" i="5"/>
  <c r="F23" i="5"/>
  <c r="F24" i="5"/>
  <c r="C17" i="7"/>
  <c r="G88" i="23"/>
  <c r="I88" i="23"/>
  <c r="I89" i="23"/>
  <c r="I90" i="23"/>
  <c r="I91" i="23"/>
  <c r="G97" i="23"/>
  <c r="I97" i="23"/>
  <c r="G102" i="23"/>
  <c r="I102" i="23"/>
  <c r="I105" i="23"/>
  <c r="I93" i="23"/>
  <c r="I110" i="23"/>
  <c r="J110" i="23"/>
  <c r="G89" i="23"/>
  <c r="G90" i="23"/>
  <c r="G91" i="23"/>
  <c r="G105" i="23"/>
  <c r="G93" i="23"/>
  <c r="G110" i="23"/>
  <c r="H110" i="23"/>
  <c r="E89" i="23"/>
  <c r="E90" i="23"/>
  <c r="E91" i="23"/>
  <c r="E93" i="23"/>
  <c r="E110" i="23"/>
  <c r="F110" i="23"/>
  <c r="J109" i="23"/>
  <c r="H109" i="23"/>
  <c r="F109" i="23"/>
  <c r="J108" i="23"/>
  <c r="H108" i="23"/>
  <c r="F108" i="23"/>
  <c r="J107" i="23"/>
  <c r="H107" i="23"/>
  <c r="F107" i="23"/>
  <c r="J106" i="23"/>
  <c r="H106" i="23"/>
  <c r="F106" i="23"/>
  <c r="J105" i="23"/>
  <c r="H105" i="23"/>
  <c r="F105" i="23"/>
  <c r="J104" i="23"/>
  <c r="H104" i="23"/>
  <c r="F104" i="23"/>
  <c r="J103" i="23"/>
  <c r="H103" i="23"/>
  <c r="F103" i="23"/>
  <c r="J102" i="23"/>
  <c r="H102" i="23"/>
  <c r="F102" i="23"/>
  <c r="J101" i="23"/>
  <c r="H101" i="23"/>
  <c r="F101" i="23"/>
  <c r="J100" i="23"/>
  <c r="H100" i="23"/>
  <c r="F100" i="23"/>
  <c r="J99" i="23"/>
  <c r="H99" i="23"/>
  <c r="F99" i="23"/>
  <c r="J98" i="23"/>
  <c r="H98" i="23"/>
  <c r="F98" i="23"/>
  <c r="J97" i="23"/>
  <c r="H97" i="23"/>
  <c r="F97" i="23"/>
  <c r="J96" i="23"/>
  <c r="H96" i="23"/>
  <c r="F96" i="23"/>
  <c r="J95" i="23"/>
  <c r="H95" i="23"/>
  <c r="F95" i="23"/>
  <c r="J94" i="23"/>
  <c r="H94" i="23"/>
  <c r="F94" i="23"/>
  <c r="J93" i="23"/>
  <c r="H93" i="23"/>
  <c r="F93" i="23"/>
  <c r="J91" i="23"/>
  <c r="H91" i="23"/>
  <c r="F91" i="23"/>
  <c r="J90" i="23"/>
  <c r="H90" i="23"/>
  <c r="F90" i="23"/>
  <c r="J89" i="23"/>
  <c r="H89" i="23"/>
  <c r="F89" i="23"/>
  <c r="F2" i="5"/>
  <c r="F3" i="5"/>
  <c r="F4" i="5"/>
  <c r="F5" i="5"/>
  <c r="F6" i="5"/>
  <c r="F7" i="5"/>
  <c r="F8" i="5"/>
  <c r="F9" i="5"/>
  <c r="F10" i="5"/>
  <c r="F11" i="5"/>
  <c r="F12" i="5"/>
  <c r="F3" i="6"/>
  <c r="F5" i="6"/>
  <c r="E2" i="5"/>
  <c r="E3" i="5"/>
  <c r="E4" i="5"/>
  <c r="E5" i="5"/>
  <c r="E6" i="5"/>
  <c r="E7" i="5"/>
  <c r="E9" i="5"/>
  <c r="E10" i="5"/>
  <c r="E11" i="5"/>
  <c r="E12" i="5"/>
  <c r="E3" i="6"/>
  <c r="E5" i="6"/>
  <c r="D2" i="5"/>
  <c r="D3" i="5"/>
  <c r="D4" i="5"/>
  <c r="D5" i="5"/>
  <c r="D6" i="5"/>
  <c r="D7" i="5"/>
  <c r="D8" i="5"/>
  <c r="D9" i="5"/>
  <c r="D10" i="5"/>
  <c r="D11" i="5"/>
  <c r="D12" i="5"/>
  <c r="D3" i="6"/>
  <c r="D5" i="6"/>
  <c r="C2" i="5"/>
  <c r="C3" i="5"/>
  <c r="C32" i="23"/>
  <c r="C33" i="23"/>
  <c r="C34" i="23"/>
  <c r="C35" i="23"/>
  <c r="C36" i="23"/>
  <c r="C37" i="23"/>
  <c r="C10" i="5"/>
  <c r="C39" i="23"/>
  <c r="C40" i="23"/>
  <c r="C41" i="23"/>
  <c r="J73" i="23"/>
  <c r="H73" i="23"/>
  <c r="F73" i="23"/>
  <c r="D73" i="23"/>
  <c r="J72" i="23"/>
  <c r="H72" i="23"/>
  <c r="F72" i="23"/>
  <c r="D72" i="23"/>
  <c r="J71" i="23"/>
  <c r="H71" i="23"/>
  <c r="F71" i="23"/>
  <c r="D71" i="23"/>
  <c r="J70" i="23"/>
  <c r="H70" i="23"/>
  <c r="F70" i="23"/>
  <c r="D70" i="23"/>
  <c r="J69" i="23"/>
  <c r="H69" i="23"/>
  <c r="F69" i="23"/>
  <c r="D69" i="23"/>
  <c r="J68" i="23"/>
  <c r="H68" i="23"/>
  <c r="F68" i="23"/>
  <c r="D68" i="23"/>
  <c r="J65" i="23"/>
  <c r="H65" i="23"/>
  <c r="F65" i="23"/>
  <c r="D65" i="23"/>
  <c r="J64" i="23"/>
  <c r="H64" i="23"/>
  <c r="F64" i="23"/>
  <c r="D64" i="23"/>
  <c r="J63" i="23"/>
  <c r="H63" i="23"/>
  <c r="F63" i="23"/>
  <c r="D63" i="23"/>
  <c r="J62" i="23"/>
  <c r="H62" i="23"/>
  <c r="F62" i="23"/>
  <c r="D62" i="23"/>
  <c r="J61" i="23"/>
  <c r="H61" i="23"/>
  <c r="F61" i="23"/>
  <c r="D61" i="23"/>
  <c r="J60" i="23"/>
  <c r="H60" i="23"/>
  <c r="F60" i="23"/>
  <c r="D60" i="23"/>
  <c r="J59" i="23"/>
  <c r="H59" i="23"/>
  <c r="F59" i="23"/>
  <c r="D59" i="23"/>
  <c r="J58" i="23"/>
  <c r="H58" i="23"/>
  <c r="F58" i="23"/>
  <c r="D58" i="23"/>
  <c r="J57" i="23"/>
  <c r="H57" i="23"/>
  <c r="F57" i="23"/>
  <c r="D57" i="23"/>
  <c r="J56" i="23"/>
  <c r="H56" i="23"/>
  <c r="F56" i="23"/>
  <c r="D56" i="23"/>
  <c r="J55" i="23"/>
  <c r="H55" i="23"/>
  <c r="F55" i="23"/>
  <c r="D55" i="23"/>
  <c r="J54" i="23"/>
  <c r="H54" i="23"/>
  <c r="F54" i="23"/>
  <c r="D54" i="23"/>
  <c r="J53" i="23"/>
  <c r="H53" i="23"/>
  <c r="F53" i="23"/>
  <c r="D53" i="23"/>
  <c r="J52" i="23"/>
  <c r="H52" i="23"/>
  <c r="F52" i="23"/>
  <c r="D52" i="23"/>
  <c r="J51" i="23"/>
  <c r="H51" i="23"/>
  <c r="F51" i="23"/>
  <c r="D51" i="23"/>
  <c r="F48" i="23"/>
  <c r="D48" i="23"/>
  <c r="J41" i="23"/>
  <c r="H41" i="23"/>
  <c r="F41" i="23"/>
  <c r="D41" i="23"/>
  <c r="J40" i="23"/>
  <c r="H40" i="23"/>
  <c r="F40" i="23"/>
  <c r="D40" i="23"/>
  <c r="J39" i="23"/>
  <c r="H39" i="23"/>
  <c r="F39" i="23"/>
  <c r="D39" i="23"/>
  <c r="J38" i="23"/>
  <c r="H38" i="23"/>
  <c r="F38" i="23"/>
  <c r="D38" i="23"/>
  <c r="J37" i="23"/>
  <c r="H37" i="23"/>
  <c r="F37" i="23"/>
  <c r="D37" i="23"/>
  <c r="J36" i="23"/>
  <c r="H36" i="23"/>
  <c r="F36" i="23"/>
  <c r="D36" i="23"/>
  <c r="J35" i="23"/>
  <c r="H35" i="23"/>
  <c r="F35" i="23"/>
  <c r="D35" i="23"/>
  <c r="J34" i="23"/>
  <c r="H34" i="23"/>
  <c r="F34" i="23"/>
  <c r="D34" i="23"/>
  <c r="J33" i="23"/>
  <c r="H33" i="23"/>
  <c r="F33" i="23"/>
  <c r="D33" i="23"/>
  <c r="J32" i="23"/>
  <c r="H32" i="23"/>
  <c r="F32" i="23"/>
  <c r="D32" i="23"/>
  <c r="J31" i="23"/>
  <c r="H31" i="23"/>
  <c r="F31" i="23"/>
  <c r="D31" i="23"/>
  <c r="J30" i="23"/>
  <c r="H30" i="23"/>
  <c r="F30" i="23"/>
  <c r="D30" i="23"/>
  <c r="J27" i="23"/>
  <c r="H27" i="23"/>
  <c r="F27" i="23"/>
  <c r="D27" i="23"/>
  <c r="J26" i="23"/>
  <c r="H26" i="23"/>
  <c r="F26" i="23"/>
  <c r="D26" i="23"/>
  <c r="J25" i="23"/>
  <c r="H25" i="23"/>
  <c r="F25" i="23"/>
  <c r="D25" i="23"/>
  <c r="J24" i="23"/>
  <c r="H24" i="23"/>
  <c r="F24" i="23"/>
  <c r="D24" i="23"/>
  <c r="J23" i="23"/>
  <c r="H23" i="23"/>
  <c r="F23" i="23"/>
  <c r="D23" i="23"/>
  <c r="J22" i="23"/>
  <c r="H22" i="23"/>
  <c r="F22" i="23"/>
  <c r="D22" i="23"/>
  <c r="J21" i="23"/>
  <c r="H21" i="23"/>
  <c r="F21" i="23"/>
  <c r="D21" i="23"/>
  <c r="J20" i="23"/>
  <c r="H20" i="23"/>
  <c r="F20" i="23"/>
  <c r="D20" i="23"/>
  <c r="J19" i="23"/>
  <c r="H19" i="23"/>
  <c r="F19" i="23"/>
  <c r="D19" i="23"/>
  <c r="J18" i="23"/>
  <c r="H18" i="23"/>
  <c r="F18" i="23"/>
  <c r="D18" i="23"/>
  <c r="J17" i="23"/>
  <c r="H17" i="23"/>
  <c r="F17" i="23"/>
  <c r="D17" i="23"/>
  <c r="D14" i="23"/>
  <c r="J11" i="23"/>
  <c r="H11" i="23"/>
  <c r="F11" i="23"/>
  <c r="D11" i="23"/>
  <c r="J10" i="23"/>
  <c r="H10" i="23"/>
  <c r="F10" i="23"/>
  <c r="D10" i="23"/>
  <c r="I6" i="23"/>
  <c r="G6" i="23"/>
  <c r="E6" i="23"/>
  <c r="C6" i="23"/>
  <c r="I5" i="23"/>
  <c r="G5" i="23"/>
  <c r="E5" i="23"/>
  <c r="C5" i="23"/>
  <c r="J4" i="23"/>
  <c r="H4" i="23"/>
  <c r="F4" i="23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50" i="19"/>
  <c r="I40" i="19"/>
  <c r="I41" i="19"/>
  <c r="I42" i="19"/>
  <c r="I43" i="19"/>
  <c r="I44" i="19"/>
  <c r="I45" i="19"/>
  <c r="I46" i="19"/>
  <c r="I47" i="19"/>
  <c r="I48" i="19"/>
  <c r="I49" i="19"/>
  <c r="I51" i="19"/>
  <c r="I52" i="19"/>
  <c r="I53" i="19"/>
  <c r="I54" i="19"/>
  <c r="I14" i="19"/>
  <c r="I15" i="19"/>
  <c r="I16" i="19"/>
  <c r="I17" i="19"/>
  <c r="I18" i="19"/>
  <c r="I19" i="19"/>
  <c r="I20" i="19"/>
  <c r="I21" i="19"/>
  <c r="I22" i="19"/>
  <c r="I23" i="19"/>
  <c r="I24" i="19"/>
  <c r="I71" i="19"/>
  <c r="I73" i="19"/>
  <c r="I75" i="19"/>
  <c r="I76" i="19"/>
  <c r="I77" i="19"/>
  <c r="J78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50" i="19"/>
  <c r="G40" i="19"/>
  <c r="G41" i="19"/>
  <c r="G42" i="19"/>
  <c r="G43" i="19"/>
  <c r="G44" i="19"/>
  <c r="G45" i="19"/>
  <c r="G46" i="19"/>
  <c r="G47" i="19"/>
  <c r="G48" i="19"/>
  <c r="G49" i="19"/>
  <c r="G51" i="19"/>
  <c r="G52" i="19"/>
  <c r="G53" i="19"/>
  <c r="G54" i="19"/>
  <c r="G14" i="19"/>
  <c r="G15" i="19"/>
  <c r="G16" i="19"/>
  <c r="G17" i="19"/>
  <c r="G18" i="19"/>
  <c r="G19" i="19"/>
  <c r="G20" i="19"/>
  <c r="G21" i="19"/>
  <c r="G22" i="19"/>
  <c r="G23" i="19"/>
  <c r="G24" i="19"/>
  <c r="G71" i="19"/>
  <c r="G75" i="19"/>
  <c r="G76" i="19"/>
  <c r="G77" i="19"/>
  <c r="H78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50" i="19"/>
  <c r="E40" i="19"/>
  <c r="E41" i="19"/>
  <c r="E42" i="19"/>
  <c r="E43" i="19"/>
  <c r="E44" i="19"/>
  <c r="E45" i="19"/>
  <c r="E46" i="19"/>
  <c r="E47" i="19"/>
  <c r="E48" i="19"/>
  <c r="E49" i="19"/>
  <c r="E51" i="19"/>
  <c r="E52" i="19"/>
  <c r="E53" i="19"/>
  <c r="E54" i="19"/>
  <c r="E14" i="19"/>
  <c r="E15" i="19"/>
  <c r="E16" i="19"/>
  <c r="E17" i="19"/>
  <c r="E18" i="19"/>
  <c r="E19" i="19"/>
  <c r="E20" i="19"/>
  <c r="E21" i="19"/>
  <c r="E22" i="19"/>
  <c r="E23" i="19"/>
  <c r="E24" i="19"/>
  <c r="E71" i="19"/>
  <c r="E73" i="19"/>
  <c r="E75" i="19"/>
  <c r="E76" i="19"/>
  <c r="E77" i="19"/>
  <c r="F78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50" i="19"/>
  <c r="C40" i="19"/>
  <c r="C41" i="19"/>
  <c r="C42" i="19"/>
  <c r="C43" i="19"/>
  <c r="C45" i="19"/>
  <c r="C46" i="19"/>
  <c r="C47" i="19"/>
  <c r="C48" i="19"/>
  <c r="C49" i="19"/>
  <c r="C51" i="19"/>
  <c r="C52" i="19"/>
  <c r="C53" i="19"/>
  <c r="C54" i="19"/>
  <c r="C14" i="19"/>
  <c r="C15" i="19"/>
  <c r="C16" i="19"/>
  <c r="C17" i="19"/>
  <c r="C18" i="19"/>
  <c r="C19" i="19"/>
  <c r="C20" i="19"/>
  <c r="C21" i="19"/>
  <c r="C22" i="19"/>
  <c r="C23" i="19"/>
  <c r="C24" i="19"/>
  <c r="C76" i="19"/>
  <c r="C77" i="19"/>
  <c r="D78" i="19"/>
  <c r="I15" i="13"/>
  <c r="E15" i="2"/>
  <c r="E17" i="2"/>
  <c r="I16" i="13"/>
  <c r="I17" i="13"/>
  <c r="G15" i="13"/>
  <c r="D15" i="2"/>
  <c r="D17" i="2"/>
  <c r="G16" i="13"/>
  <c r="G17" i="13"/>
  <c r="E15" i="13"/>
  <c r="C15" i="2"/>
  <c r="C17" i="2"/>
  <c r="E16" i="13"/>
  <c r="E17" i="13"/>
  <c r="D9" i="13"/>
  <c r="D5" i="13"/>
  <c r="D17" i="13"/>
  <c r="E21" i="13"/>
  <c r="I11" i="13"/>
  <c r="I10" i="13"/>
  <c r="G11" i="13"/>
  <c r="G10" i="13"/>
  <c r="G22" i="13"/>
  <c r="F21" i="13"/>
  <c r="E22" i="13"/>
  <c r="D21" i="13"/>
  <c r="C22" i="13"/>
  <c r="B21" i="13"/>
  <c r="B6" i="13"/>
  <c r="B17" i="13"/>
  <c r="C17" i="13"/>
  <c r="F9" i="13"/>
  <c r="H9" i="13"/>
  <c r="D8" i="13"/>
  <c r="F8" i="13"/>
  <c r="H8" i="13"/>
  <c r="E10" i="13"/>
  <c r="E11" i="13"/>
  <c r="B30" i="13"/>
  <c r="B42" i="13"/>
  <c r="B31" i="13"/>
  <c r="B32" i="13"/>
  <c r="B28" i="13"/>
  <c r="B34" i="13"/>
  <c r="B36" i="13"/>
  <c r="B37" i="13"/>
  <c r="B38" i="13"/>
  <c r="B39" i="13"/>
  <c r="T46" i="9"/>
  <c r="T47" i="9"/>
  <c r="T48" i="9"/>
  <c r="T49" i="9"/>
  <c r="T50" i="9"/>
  <c r="T51" i="9"/>
  <c r="T52" i="9"/>
  <c r="T53" i="9"/>
  <c r="T45" i="9"/>
  <c r="T32" i="9"/>
  <c r="T33" i="9"/>
  <c r="T34" i="9"/>
  <c r="T35" i="9"/>
  <c r="T36" i="9"/>
  <c r="T37" i="9"/>
  <c r="T38" i="9"/>
  <c r="T39" i="9"/>
  <c r="T40" i="9"/>
  <c r="T41" i="9"/>
  <c r="T42" i="9"/>
  <c r="T43" i="9"/>
  <c r="T31" i="9"/>
  <c r="T19" i="9"/>
  <c r="T20" i="9"/>
  <c r="T21" i="9"/>
  <c r="T22" i="9"/>
  <c r="T23" i="9"/>
  <c r="T24" i="9"/>
  <c r="T25" i="9"/>
  <c r="T26" i="9"/>
  <c r="T27" i="9"/>
  <c r="T28" i="9"/>
  <c r="T29" i="9"/>
  <c r="T30" i="9"/>
  <c r="T18" i="9"/>
  <c r="T6" i="9"/>
  <c r="T7" i="9"/>
  <c r="T8" i="9"/>
  <c r="T9" i="9"/>
  <c r="T10" i="9"/>
  <c r="T11" i="9"/>
  <c r="T12" i="9"/>
  <c r="T13" i="9"/>
  <c r="T14" i="9"/>
  <c r="T15" i="9"/>
  <c r="T16" i="9"/>
  <c r="T17" i="9"/>
  <c r="T5" i="9"/>
  <c r="T44" i="9"/>
  <c r="T54" i="9"/>
  <c r="E8" i="19"/>
  <c r="C6" i="2"/>
  <c r="U46" i="9"/>
  <c r="U47" i="9"/>
  <c r="U48" i="9"/>
  <c r="U49" i="9"/>
  <c r="U50" i="9"/>
  <c r="U51" i="9"/>
  <c r="U52" i="9"/>
  <c r="U53" i="9"/>
  <c r="U45" i="9"/>
  <c r="U32" i="9"/>
  <c r="U33" i="9"/>
  <c r="U34" i="9"/>
  <c r="U35" i="9"/>
  <c r="U36" i="9"/>
  <c r="U37" i="9"/>
  <c r="U38" i="9"/>
  <c r="U39" i="9"/>
  <c r="U40" i="9"/>
  <c r="U41" i="9"/>
  <c r="U42" i="9"/>
  <c r="U43" i="9"/>
  <c r="U31" i="9"/>
  <c r="U19" i="9"/>
  <c r="U20" i="9"/>
  <c r="U21" i="9"/>
  <c r="U22" i="9"/>
  <c r="U23" i="9"/>
  <c r="U24" i="9"/>
  <c r="U25" i="9"/>
  <c r="U26" i="9"/>
  <c r="U27" i="9"/>
  <c r="U28" i="9"/>
  <c r="U29" i="9"/>
  <c r="U30" i="9"/>
  <c r="U18" i="9"/>
  <c r="U6" i="9"/>
  <c r="U7" i="9"/>
  <c r="U8" i="9"/>
  <c r="U9" i="9"/>
  <c r="U10" i="9"/>
  <c r="U11" i="9"/>
  <c r="U12" i="9"/>
  <c r="U13" i="9"/>
  <c r="U14" i="9"/>
  <c r="U15" i="9"/>
  <c r="U16" i="9"/>
  <c r="U17" i="9"/>
  <c r="U5" i="9"/>
  <c r="U44" i="9"/>
  <c r="U54" i="9"/>
  <c r="E9" i="19"/>
  <c r="C8" i="2"/>
  <c r="C9" i="2"/>
  <c r="C10" i="2"/>
  <c r="C12" i="2"/>
  <c r="E5" i="19"/>
  <c r="E6" i="19"/>
  <c r="E35" i="12"/>
  <c r="F35" i="12"/>
  <c r="G35" i="12"/>
  <c r="E32" i="12"/>
  <c r="F32" i="12"/>
  <c r="G32" i="12"/>
  <c r="E52" i="12"/>
  <c r="F52" i="12"/>
  <c r="G52" i="12"/>
  <c r="D55" i="12"/>
  <c r="E46" i="12"/>
  <c r="F46" i="12"/>
  <c r="G46" i="12"/>
  <c r="E36" i="12"/>
  <c r="F36" i="12"/>
  <c r="G36" i="12"/>
  <c r="E34" i="12"/>
  <c r="F34" i="12"/>
  <c r="G34" i="12"/>
  <c r="E33" i="12"/>
  <c r="F33" i="12"/>
  <c r="G33" i="12"/>
  <c r="C55" i="12"/>
  <c r="B55" i="12"/>
  <c r="E37" i="12"/>
  <c r="E38" i="12"/>
  <c r="E39" i="12"/>
  <c r="E40" i="12"/>
  <c r="E41" i="12"/>
  <c r="E42" i="12"/>
  <c r="E43" i="12"/>
  <c r="E44" i="12"/>
  <c r="E45" i="12"/>
  <c r="E47" i="12"/>
  <c r="E48" i="12"/>
  <c r="E49" i="12"/>
  <c r="E50" i="12"/>
  <c r="E51" i="12"/>
  <c r="E53" i="12"/>
  <c r="E54" i="12"/>
  <c r="E55" i="12"/>
  <c r="F37" i="12"/>
  <c r="F38" i="12"/>
  <c r="F39" i="12"/>
  <c r="F40" i="12"/>
  <c r="F41" i="12"/>
  <c r="F42" i="12"/>
  <c r="F43" i="12"/>
  <c r="F44" i="12"/>
  <c r="F45" i="12"/>
  <c r="F47" i="12"/>
  <c r="F48" i="12"/>
  <c r="F49" i="12"/>
  <c r="F50" i="12"/>
  <c r="F51" i="12"/>
  <c r="F53" i="12"/>
  <c r="F54" i="12"/>
  <c r="F55" i="12"/>
  <c r="G37" i="12"/>
  <c r="G38" i="12"/>
  <c r="G39" i="12"/>
  <c r="G40" i="12"/>
  <c r="G41" i="12"/>
  <c r="G42" i="12"/>
  <c r="G43" i="12"/>
  <c r="G44" i="12"/>
  <c r="G45" i="12"/>
  <c r="G47" i="12"/>
  <c r="G48" i="12"/>
  <c r="G49" i="12"/>
  <c r="G50" i="12"/>
  <c r="G51" i="12"/>
  <c r="G53" i="12"/>
  <c r="G54" i="12"/>
  <c r="G55" i="12"/>
  <c r="D3" i="8"/>
  <c r="D4" i="8"/>
  <c r="D5" i="8"/>
  <c r="E56" i="19"/>
  <c r="E57" i="19"/>
  <c r="E58" i="19"/>
  <c r="E59" i="19"/>
  <c r="E60" i="19"/>
  <c r="E61" i="19"/>
  <c r="E23" i="13"/>
  <c r="B40" i="13"/>
  <c r="B41" i="13"/>
  <c r="B43" i="13"/>
  <c r="E27" i="13"/>
  <c r="C27" i="13"/>
  <c r="E41" i="13"/>
  <c r="J5" i="5"/>
  <c r="J4" i="5"/>
  <c r="J3" i="5"/>
  <c r="J2" i="5"/>
  <c r="K2" i="5"/>
  <c r="E75" i="12"/>
  <c r="F75" i="12"/>
  <c r="G75" i="12"/>
  <c r="E64" i="12"/>
  <c r="F64" i="12"/>
  <c r="G64" i="12"/>
  <c r="E62" i="12"/>
  <c r="F62" i="12"/>
  <c r="G62" i="12"/>
  <c r="B85" i="12"/>
  <c r="E60" i="12"/>
  <c r="E61" i="12"/>
  <c r="E63" i="12"/>
  <c r="E65" i="12"/>
  <c r="E66" i="12"/>
  <c r="E67" i="12"/>
  <c r="E68" i="12"/>
  <c r="E69" i="12"/>
  <c r="E70" i="12"/>
  <c r="E71" i="12"/>
  <c r="E72" i="12"/>
  <c r="E73" i="12"/>
  <c r="E74" i="12"/>
  <c r="E76" i="12"/>
  <c r="E77" i="12"/>
  <c r="E78" i="12"/>
  <c r="E79" i="12"/>
  <c r="E80" i="12"/>
  <c r="E81" i="12"/>
  <c r="E82" i="12"/>
  <c r="E83" i="12"/>
  <c r="E84" i="12"/>
  <c r="E85" i="12"/>
  <c r="F60" i="12"/>
  <c r="F61" i="12"/>
  <c r="F63" i="12"/>
  <c r="F65" i="12"/>
  <c r="F66" i="12"/>
  <c r="F67" i="12"/>
  <c r="F68" i="12"/>
  <c r="F69" i="12"/>
  <c r="F70" i="12"/>
  <c r="F71" i="12"/>
  <c r="F72" i="12"/>
  <c r="F73" i="12"/>
  <c r="F74" i="12"/>
  <c r="F76" i="12"/>
  <c r="F77" i="12"/>
  <c r="F78" i="12"/>
  <c r="F79" i="12"/>
  <c r="F80" i="12"/>
  <c r="F81" i="12"/>
  <c r="F82" i="12"/>
  <c r="F83" i="12"/>
  <c r="F84" i="12"/>
  <c r="F85" i="12"/>
  <c r="G60" i="12"/>
  <c r="G61" i="12"/>
  <c r="G63" i="12"/>
  <c r="G65" i="12"/>
  <c r="G66" i="12"/>
  <c r="G67" i="12"/>
  <c r="G68" i="12"/>
  <c r="G69" i="12"/>
  <c r="G70" i="12"/>
  <c r="G71" i="12"/>
  <c r="G72" i="12"/>
  <c r="G73" i="12"/>
  <c r="G74" i="12"/>
  <c r="G76" i="12"/>
  <c r="G77" i="12"/>
  <c r="G78" i="12"/>
  <c r="G79" i="12"/>
  <c r="G80" i="12"/>
  <c r="G81" i="12"/>
  <c r="G82" i="12"/>
  <c r="G83" i="12"/>
  <c r="G84" i="12"/>
  <c r="G85" i="12"/>
  <c r="E3" i="8"/>
  <c r="E4" i="8"/>
  <c r="E5" i="8"/>
  <c r="E6" i="8"/>
  <c r="C85" i="12"/>
  <c r="R100" i="9"/>
  <c r="U100" i="9"/>
  <c r="R101" i="9"/>
  <c r="U101" i="9"/>
  <c r="R102" i="9"/>
  <c r="U102" i="9"/>
  <c r="R103" i="9"/>
  <c r="U103" i="9"/>
  <c r="R104" i="9"/>
  <c r="U104" i="9"/>
  <c r="R105" i="9"/>
  <c r="U105" i="9"/>
  <c r="R106" i="9"/>
  <c r="U106" i="9"/>
  <c r="R107" i="9"/>
  <c r="U107" i="9"/>
  <c r="U99" i="9"/>
  <c r="R32" i="9"/>
  <c r="R86" i="9"/>
  <c r="U86" i="9"/>
  <c r="R33" i="9"/>
  <c r="R87" i="9"/>
  <c r="U87" i="9"/>
  <c r="R34" i="9"/>
  <c r="R88" i="9"/>
  <c r="U88" i="9"/>
  <c r="R35" i="9"/>
  <c r="R89" i="9"/>
  <c r="U89" i="9"/>
  <c r="R36" i="9"/>
  <c r="R90" i="9"/>
  <c r="U90" i="9"/>
  <c r="R37" i="9"/>
  <c r="R91" i="9"/>
  <c r="U91" i="9"/>
  <c r="R38" i="9"/>
  <c r="R92" i="9"/>
  <c r="U92" i="9"/>
  <c r="R39" i="9"/>
  <c r="R93" i="9"/>
  <c r="U93" i="9"/>
  <c r="R40" i="9"/>
  <c r="R94" i="9"/>
  <c r="U94" i="9"/>
  <c r="R41" i="9"/>
  <c r="R95" i="9"/>
  <c r="U95" i="9"/>
  <c r="R42" i="9"/>
  <c r="R96" i="9"/>
  <c r="U96" i="9"/>
  <c r="R43" i="9"/>
  <c r="R97" i="9"/>
  <c r="U97" i="9"/>
  <c r="U85" i="9"/>
  <c r="R19" i="9"/>
  <c r="R73" i="9"/>
  <c r="U73" i="9"/>
  <c r="R20" i="9"/>
  <c r="R74" i="9"/>
  <c r="U74" i="9"/>
  <c r="R21" i="9"/>
  <c r="R75" i="9"/>
  <c r="U75" i="9"/>
  <c r="R22" i="9"/>
  <c r="R76" i="9"/>
  <c r="U76" i="9"/>
  <c r="R23" i="9"/>
  <c r="R77" i="9"/>
  <c r="U77" i="9"/>
  <c r="R24" i="9"/>
  <c r="R78" i="9"/>
  <c r="U78" i="9"/>
  <c r="R25" i="9"/>
  <c r="R79" i="9"/>
  <c r="U79" i="9"/>
  <c r="R26" i="9"/>
  <c r="R80" i="9"/>
  <c r="U80" i="9"/>
  <c r="R27" i="9"/>
  <c r="R81" i="9"/>
  <c r="U81" i="9"/>
  <c r="R28" i="9"/>
  <c r="R82" i="9"/>
  <c r="U82" i="9"/>
  <c r="R29" i="9"/>
  <c r="R83" i="9"/>
  <c r="U83" i="9"/>
  <c r="R30" i="9"/>
  <c r="R84" i="9"/>
  <c r="U84" i="9"/>
  <c r="U72" i="9"/>
  <c r="R6" i="9"/>
  <c r="R60" i="9"/>
  <c r="U60" i="9"/>
  <c r="R7" i="9"/>
  <c r="R61" i="9"/>
  <c r="U61" i="9"/>
  <c r="R8" i="9"/>
  <c r="R62" i="9"/>
  <c r="U62" i="9"/>
  <c r="R9" i="9"/>
  <c r="R63" i="9"/>
  <c r="U63" i="9"/>
  <c r="R10" i="9"/>
  <c r="R64" i="9"/>
  <c r="U64" i="9"/>
  <c r="R11" i="9"/>
  <c r="R65" i="9"/>
  <c r="U65" i="9"/>
  <c r="R12" i="9"/>
  <c r="R66" i="9"/>
  <c r="U66" i="9"/>
  <c r="R13" i="9"/>
  <c r="R67" i="9"/>
  <c r="U67" i="9"/>
  <c r="R14" i="9"/>
  <c r="R68" i="9"/>
  <c r="U68" i="9"/>
  <c r="R15" i="9"/>
  <c r="R69" i="9"/>
  <c r="U69" i="9"/>
  <c r="R16" i="9"/>
  <c r="R70" i="9"/>
  <c r="U70" i="9"/>
  <c r="R17" i="9"/>
  <c r="R71" i="9"/>
  <c r="U71" i="9"/>
  <c r="U59" i="9"/>
  <c r="U98" i="9"/>
  <c r="U108" i="9"/>
  <c r="G9" i="19"/>
  <c r="G5" i="19"/>
  <c r="G6" i="19"/>
  <c r="T100" i="9"/>
  <c r="T101" i="9"/>
  <c r="T102" i="9"/>
  <c r="T103" i="9"/>
  <c r="T104" i="9"/>
  <c r="T105" i="9"/>
  <c r="T106" i="9"/>
  <c r="T107" i="9"/>
  <c r="T99" i="9"/>
  <c r="C86" i="9"/>
  <c r="T86" i="9"/>
  <c r="C87" i="9"/>
  <c r="T87" i="9"/>
  <c r="C88" i="9"/>
  <c r="T88" i="9"/>
  <c r="C89" i="9"/>
  <c r="T89" i="9"/>
  <c r="C90" i="9"/>
  <c r="T90" i="9"/>
  <c r="C91" i="9"/>
  <c r="T91" i="9"/>
  <c r="C92" i="9"/>
  <c r="T92" i="9"/>
  <c r="C93" i="9"/>
  <c r="T93" i="9"/>
  <c r="C94" i="9"/>
  <c r="T94" i="9"/>
  <c r="C95" i="9"/>
  <c r="T95" i="9"/>
  <c r="C96" i="9"/>
  <c r="T96" i="9"/>
  <c r="C97" i="9"/>
  <c r="T97" i="9"/>
  <c r="T85" i="9"/>
  <c r="C73" i="9"/>
  <c r="T73" i="9"/>
  <c r="C74" i="9"/>
  <c r="T74" i="9"/>
  <c r="C75" i="9"/>
  <c r="T75" i="9"/>
  <c r="C76" i="9"/>
  <c r="T76" i="9"/>
  <c r="C77" i="9"/>
  <c r="T77" i="9"/>
  <c r="C78" i="9"/>
  <c r="T78" i="9"/>
  <c r="C79" i="9"/>
  <c r="T79" i="9"/>
  <c r="C80" i="9"/>
  <c r="T80" i="9"/>
  <c r="C81" i="9"/>
  <c r="T81" i="9"/>
  <c r="C82" i="9"/>
  <c r="T82" i="9"/>
  <c r="C83" i="9"/>
  <c r="T83" i="9"/>
  <c r="C84" i="9"/>
  <c r="T84" i="9"/>
  <c r="T72" i="9"/>
  <c r="C60" i="9"/>
  <c r="T60" i="9"/>
  <c r="C61" i="9"/>
  <c r="T61" i="9"/>
  <c r="C62" i="9"/>
  <c r="T62" i="9"/>
  <c r="C63" i="9"/>
  <c r="T63" i="9"/>
  <c r="C64" i="9"/>
  <c r="T64" i="9"/>
  <c r="C65" i="9"/>
  <c r="T65" i="9"/>
  <c r="C66" i="9"/>
  <c r="T66" i="9"/>
  <c r="C67" i="9"/>
  <c r="T67" i="9"/>
  <c r="C68" i="9"/>
  <c r="T68" i="9"/>
  <c r="C69" i="9"/>
  <c r="T69" i="9"/>
  <c r="C70" i="9"/>
  <c r="T70" i="9"/>
  <c r="C71" i="9"/>
  <c r="T71" i="9"/>
  <c r="T59" i="9"/>
  <c r="T98" i="9"/>
  <c r="T108" i="9"/>
  <c r="G8" i="19"/>
  <c r="D85" i="12"/>
  <c r="G56" i="19"/>
  <c r="G57" i="19"/>
  <c r="G58" i="19"/>
  <c r="G59" i="19"/>
  <c r="G60" i="19"/>
  <c r="G61" i="19"/>
  <c r="C11" i="1"/>
  <c r="D8" i="2"/>
  <c r="D9" i="2"/>
  <c r="D10" i="2"/>
  <c r="C10" i="1"/>
  <c r="C12" i="1"/>
  <c r="D6" i="2"/>
  <c r="D12" i="2"/>
  <c r="D20" i="2"/>
  <c r="C16" i="1"/>
  <c r="D24" i="13"/>
  <c r="E24" i="13"/>
  <c r="D25" i="13"/>
  <c r="F24" i="13"/>
  <c r="G24" i="13"/>
  <c r="F25" i="13"/>
  <c r="F26" i="13"/>
  <c r="C17" i="1"/>
  <c r="C6" i="1"/>
  <c r="C7" i="1"/>
  <c r="C15" i="1"/>
  <c r="C18" i="1"/>
  <c r="E105" i="12"/>
  <c r="F105" i="12"/>
  <c r="G105" i="12"/>
  <c r="E94" i="12"/>
  <c r="F94" i="12"/>
  <c r="G94" i="12"/>
  <c r="E92" i="12"/>
  <c r="F92" i="12"/>
  <c r="G92" i="12"/>
  <c r="B115" i="12"/>
  <c r="E90" i="12"/>
  <c r="E91" i="12"/>
  <c r="E93" i="12"/>
  <c r="E95" i="12"/>
  <c r="E96" i="12"/>
  <c r="E97" i="12"/>
  <c r="E98" i="12"/>
  <c r="E99" i="12"/>
  <c r="E100" i="12"/>
  <c r="E101" i="12"/>
  <c r="E102" i="12"/>
  <c r="E103" i="12"/>
  <c r="E104" i="12"/>
  <c r="E106" i="12"/>
  <c r="E107" i="12"/>
  <c r="E108" i="12"/>
  <c r="E109" i="12"/>
  <c r="E110" i="12"/>
  <c r="E111" i="12"/>
  <c r="E112" i="12"/>
  <c r="E113" i="12"/>
  <c r="E114" i="12"/>
  <c r="E115" i="12"/>
  <c r="F90" i="12"/>
  <c r="F91" i="12"/>
  <c r="F93" i="12"/>
  <c r="F95" i="12"/>
  <c r="F96" i="12"/>
  <c r="F97" i="12"/>
  <c r="F98" i="12"/>
  <c r="F99" i="12"/>
  <c r="F100" i="12"/>
  <c r="F101" i="12"/>
  <c r="F102" i="12"/>
  <c r="F103" i="12"/>
  <c r="F104" i="12"/>
  <c r="F106" i="12"/>
  <c r="F107" i="12"/>
  <c r="F108" i="12"/>
  <c r="F109" i="12"/>
  <c r="F110" i="12"/>
  <c r="F111" i="12"/>
  <c r="F112" i="12"/>
  <c r="F113" i="12"/>
  <c r="F114" i="12"/>
  <c r="F115" i="12"/>
  <c r="G90" i="12"/>
  <c r="G91" i="12"/>
  <c r="G93" i="12"/>
  <c r="G95" i="12"/>
  <c r="G96" i="12"/>
  <c r="G97" i="12"/>
  <c r="G98" i="12"/>
  <c r="G99" i="12"/>
  <c r="G100" i="12"/>
  <c r="G101" i="12"/>
  <c r="G102" i="12"/>
  <c r="G103" i="12"/>
  <c r="G104" i="12"/>
  <c r="G106" i="12"/>
  <c r="G107" i="12"/>
  <c r="G108" i="12"/>
  <c r="G109" i="12"/>
  <c r="G110" i="12"/>
  <c r="G111" i="12"/>
  <c r="G112" i="12"/>
  <c r="G113" i="12"/>
  <c r="G114" i="12"/>
  <c r="G115" i="12"/>
  <c r="F3" i="8"/>
  <c r="F4" i="8"/>
  <c r="F5" i="8"/>
  <c r="F6" i="8"/>
  <c r="C115" i="12"/>
  <c r="R154" i="9"/>
  <c r="U154" i="9"/>
  <c r="R155" i="9"/>
  <c r="U155" i="9"/>
  <c r="R156" i="9"/>
  <c r="U156" i="9"/>
  <c r="R157" i="9"/>
  <c r="U157" i="9"/>
  <c r="R158" i="9"/>
  <c r="U158" i="9"/>
  <c r="R159" i="9"/>
  <c r="U159" i="9"/>
  <c r="R160" i="9"/>
  <c r="U160" i="9"/>
  <c r="R161" i="9"/>
  <c r="U161" i="9"/>
  <c r="U153" i="9"/>
  <c r="R140" i="9"/>
  <c r="U140" i="9"/>
  <c r="R141" i="9"/>
  <c r="U141" i="9"/>
  <c r="R142" i="9"/>
  <c r="U142" i="9"/>
  <c r="R143" i="9"/>
  <c r="U143" i="9"/>
  <c r="R144" i="9"/>
  <c r="U144" i="9"/>
  <c r="R145" i="9"/>
  <c r="U145" i="9"/>
  <c r="R146" i="9"/>
  <c r="U146" i="9"/>
  <c r="R147" i="9"/>
  <c r="U147" i="9"/>
  <c r="R148" i="9"/>
  <c r="U148" i="9"/>
  <c r="R149" i="9"/>
  <c r="U149" i="9"/>
  <c r="R150" i="9"/>
  <c r="U150" i="9"/>
  <c r="R151" i="9"/>
  <c r="U151" i="9"/>
  <c r="U139" i="9"/>
  <c r="R127" i="9"/>
  <c r="U127" i="9"/>
  <c r="R128" i="9"/>
  <c r="U128" i="9"/>
  <c r="R129" i="9"/>
  <c r="U129" i="9"/>
  <c r="R130" i="9"/>
  <c r="U130" i="9"/>
  <c r="R131" i="9"/>
  <c r="U131" i="9"/>
  <c r="R132" i="9"/>
  <c r="U132" i="9"/>
  <c r="R133" i="9"/>
  <c r="U133" i="9"/>
  <c r="R134" i="9"/>
  <c r="U134" i="9"/>
  <c r="R135" i="9"/>
  <c r="U135" i="9"/>
  <c r="R136" i="9"/>
  <c r="U136" i="9"/>
  <c r="R137" i="9"/>
  <c r="U137" i="9"/>
  <c r="R138" i="9"/>
  <c r="U138" i="9"/>
  <c r="U126" i="9"/>
  <c r="R114" i="9"/>
  <c r="U114" i="9"/>
  <c r="R115" i="9"/>
  <c r="U115" i="9"/>
  <c r="R116" i="9"/>
  <c r="U116" i="9"/>
  <c r="R117" i="9"/>
  <c r="U117" i="9"/>
  <c r="R118" i="9"/>
  <c r="U118" i="9"/>
  <c r="R119" i="9"/>
  <c r="U119" i="9"/>
  <c r="R120" i="9"/>
  <c r="U120" i="9"/>
  <c r="R121" i="9"/>
  <c r="U121" i="9"/>
  <c r="R122" i="9"/>
  <c r="U122" i="9"/>
  <c r="R123" i="9"/>
  <c r="U123" i="9"/>
  <c r="R124" i="9"/>
  <c r="U124" i="9"/>
  <c r="R125" i="9"/>
  <c r="U125" i="9"/>
  <c r="U113" i="9"/>
  <c r="U152" i="9"/>
  <c r="U162" i="9"/>
  <c r="I9" i="19"/>
  <c r="I5" i="19"/>
  <c r="I6" i="19"/>
  <c r="T154" i="9"/>
  <c r="T155" i="9"/>
  <c r="T156" i="9"/>
  <c r="T157" i="9"/>
  <c r="T158" i="9"/>
  <c r="T159" i="9"/>
  <c r="T160" i="9"/>
  <c r="T161" i="9"/>
  <c r="T153" i="9"/>
  <c r="C140" i="9"/>
  <c r="T140" i="9"/>
  <c r="C141" i="9"/>
  <c r="T141" i="9"/>
  <c r="C142" i="9"/>
  <c r="T142" i="9"/>
  <c r="C143" i="9"/>
  <c r="T143" i="9"/>
  <c r="C144" i="9"/>
  <c r="T144" i="9"/>
  <c r="C145" i="9"/>
  <c r="T145" i="9"/>
  <c r="C146" i="9"/>
  <c r="T146" i="9"/>
  <c r="C147" i="9"/>
  <c r="T147" i="9"/>
  <c r="C148" i="9"/>
  <c r="T148" i="9"/>
  <c r="C149" i="9"/>
  <c r="T149" i="9"/>
  <c r="C150" i="9"/>
  <c r="T150" i="9"/>
  <c r="C151" i="9"/>
  <c r="T151" i="9"/>
  <c r="T139" i="9"/>
  <c r="C127" i="9"/>
  <c r="T127" i="9"/>
  <c r="C128" i="9"/>
  <c r="T128" i="9"/>
  <c r="C129" i="9"/>
  <c r="T129" i="9"/>
  <c r="C130" i="9"/>
  <c r="T130" i="9"/>
  <c r="C131" i="9"/>
  <c r="T131" i="9"/>
  <c r="C132" i="9"/>
  <c r="T132" i="9"/>
  <c r="C133" i="9"/>
  <c r="T133" i="9"/>
  <c r="C134" i="9"/>
  <c r="T134" i="9"/>
  <c r="C135" i="9"/>
  <c r="T135" i="9"/>
  <c r="C136" i="9"/>
  <c r="T136" i="9"/>
  <c r="C137" i="9"/>
  <c r="T137" i="9"/>
  <c r="C138" i="9"/>
  <c r="T138" i="9"/>
  <c r="T126" i="9"/>
  <c r="C114" i="9"/>
  <c r="T114" i="9"/>
  <c r="C115" i="9"/>
  <c r="T115" i="9"/>
  <c r="C116" i="9"/>
  <c r="T116" i="9"/>
  <c r="C117" i="9"/>
  <c r="T117" i="9"/>
  <c r="C118" i="9"/>
  <c r="T118" i="9"/>
  <c r="C119" i="9"/>
  <c r="T119" i="9"/>
  <c r="C120" i="9"/>
  <c r="T120" i="9"/>
  <c r="C121" i="9"/>
  <c r="T121" i="9"/>
  <c r="C122" i="9"/>
  <c r="T122" i="9"/>
  <c r="C123" i="9"/>
  <c r="T123" i="9"/>
  <c r="C124" i="9"/>
  <c r="T124" i="9"/>
  <c r="C125" i="9"/>
  <c r="T125" i="9"/>
  <c r="T113" i="9"/>
  <c r="T152" i="9"/>
  <c r="T162" i="9"/>
  <c r="I8" i="19"/>
  <c r="D115" i="12"/>
  <c r="I56" i="19"/>
  <c r="I57" i="19"/>
  <c r="I58" i="19"/>
  <c r="I59" i="19"/>
  <c r="I60" i="19"/>
  <c r="I61" i="19"/>
  <c r="D11" i="1"/>
  <c r="E8" i="2"/>
  <c r="E9" i="2"/>
  <c r="E10" i="2"/>
  <c r="D10" i="1"/>
  <c r="D12" i="1"/>
  <c r="E6" i="2"/>
  <c r="E12" i="2"/>
  <c r="E20" i="2"/>
  <c r="D16" i="1"/>
  <c r="H24" i="13"/>
  <c r="I24" i="13"/>
  <c r="H25" i="13"/>
  <c r="H26" i="13"/>
  <c r="D17" i="1"/>
  <c r="D6" i="1"/>
  <c r="D7" i="1"/>
  <c r="D15" i="1"/>
  <c r="D18" i="1"/>
  <c r="B11" i="1"/>
  <c r="B10" i="1"/>
  <c r="B12" i="1"/>
  <c r="C20" i="2"/>
  <c r="B16" i="1"/>
  <c r="B24" i="13"/>
  <c r="C24" i="13"/>
  <c r="B25" i="13"/>
  <c r="D26" i="13"/>
  <c r="B17" i="1"/>
  <c r="B6" i="1"/>
  <c r="B7" i="1"/>
  <c r="B15" i="1"/>
  <c r="B18" i="1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C8" i="19"/>
  <c r="B6" i="2"/>
  <c r="N27" i="17"/>
  <c r="N26" i="17"/>
  <c r="C9" i="19"/>
  <c r="B8" i="2"/>
  <c r="C10" i="19"/>
  <c r="B9" i="2"/>
  <c r="B10" i="2"/>
  <c r="B12" i="2"/>
  <c r="D27" i="12"/>
  <c r="E18" i="12"/>
  <c r="F18" i="12"/>
  <c r="G18" i="12"/>
  <c r="E5" i="12"/>
  <c r="F5" i="12"/>
  <c r="G5" i="12"/>
  <c r="C27" i="12"/>
  <c r="B27" i="12"/>
  <c r="E3" i="12"/>
  <c r="E4" i="12"/>
  <c r="E6" i="12"/>
  <c r="E7" i="12"/>
  <c r="E8" i="12"/>
  <c r="E9" i="12"/>
  <c r="E10" i="12"/>
  <c r="E13" i="12"/>
  <c r="E14" i="12"/>
  <c r="E15" i="12"/>
  <c r="E16" i="12"/>
  <c r="E19" i="12"/>
  <c r="E20" i="12"/>
  <c r="E21" i="12"/>
  <c r="E24" i="12"/>
  <c r="E25" i="12"/>
  <c r="E27" i="12"/>
  <c r="F3" i="12"/>
  <c r="F4" i="12"/>
  <c r="F6" i="12"/>
  <c r="F7" i="12"/>
  <c r="F8" i="12"/>
  <c r="F9" i="12"/>
  <c r="F10" i="12"/>
  <c r="F13" i="12"/>
  <c r="F14" i="12"/>
  <c r="F15" i="12"/>
  <c r="F16" i="12"/>
  <c r="F19" i="12"/>
  <c r="F20" i="12"/>
  <c r="F21" i="12"/>
  <c r="F24" i="12"/>
  <c r="F25" i="12"/>
  <c r="F27" i="12"/>
  <c r="G3" i="12"/>
  <c r="G4" i="12"/>
  <c r="G6" i="12"/>
  <c r="G7" i="12"/>
  <c r="G8" i="12"/>
  <c r="G9" i="12"/>
  <c r="G10" i="12"/>
  <c r="G13" i="12"/>
  <c r="G14" i="12"/>
  <c r="G15" i="12"/>
  <c r="G16" i="12"/>
  <c r="G19" i="12"/>
  <c r="G20" i="12"/>
  <c r="G21" i="12"/>
  <c r="G24" i="12"/>
  <c r="G25" i="12"/>
  <c r="G27" i="12"/>
  <c r="C56" i="19"/>
  <c r="C57" i="19"/>
  <c r="C58" i="19"/>
  <c r="C59" i="19"/>
  <c r="C60" i="19"/>
  <c r="C61" i="19"/>
  <c r="C70" i="19"/>
  <c r="C72" i="19"/>
  <c r="C75" i="19"/>
  <c r="B15" i="2"/>
  <c r="B17" i="2"/>
  <c r="B39" i="2"/>
  <c r="B28" i="2"/>
  <c r="B40" i="2"/>
  <c r="B20" i="2"/>
  <c r="B22" i="2"/>
  <c r="B44" i="2"/>
  <c r="B42" i="2"/>
  <c r="B37" i="2"/>
  <c r="B13" i="2"/>
  <c r="B35" i="2"/>
  <c r="B34" i="2"/>
  <c r="B32" i="2"/>
  <c r="B31" i="2"/>
  <c r="B30" i="2"/>
  <c r="B4" i="2"/>
  <c r="B26" i="2"/>
  <c r="G38" i="11"/>
  <c r="I38" i="11"/>
  <c r="E28" i="2"/>
  <c r="I9" i="11"/>
  <c r="I8" i="11"/>
  <c r="I39" i="11"/>
  <c r="E30" i="2"/>
  <c r="I40" i="11"/>
  <c r="E31" i="2"/>
  <c r="E32" i="2"/>
  <c r="E34" i="2"/>
  <c r="D28" i="1"/>
  <c r="D29" i="1"/>
  <c r="C28" i="2"/>
  <c r="E9" i="11"/>
  <c r="E8" i="11"/>
  <c r="E39" i="11"/>
  <c r="C30" i="2"/>
  <c r="E40" i="11"/>
  <c r="C31" i="2"/>
  <c r="C32" i="2"/>
  <c r="C34" i="2"/>
  <c r="D28" i="2"/>
  <c r="G9" i="11"/>
  <c r="G8" i="11"/>
  <c r="G39" i="11"/>
  <c r="D30" i="2"/>
  <c r="G40" i="11"/>
  <c r="D31" i="2"/>
  <c r="D32" i="2"/>
  <c r="D34" i="2"/>
  <c r="C28" i="1"/>
  <c r="C29" i="1"/>
  <c r="B28" i="1"/>
  <c r="B29" i="1"/>
  <c r="B18" i="2"/>
  <c r="D75" i="19"/>
  <c r="F75" i="19"/>
  <c r="H75" i="19"/>
  <c r="J75" i="19"/>
  <c r="J60" i="19"/>
  <c r="H60" i="19"/>
  <c r="F60" i="19"/>
  <c r="D60" i="19"/>
  <c r="I11" i="19"/>
  <c r="J77" i="19"/>
  <c r="J76" i="19"/>
  <c r="J74" i="19"/>
  <c r="J73" i="19"/>
  <c r="J72" i="19"/>
  <c r="J71" i="19"/>
  <c r="J70" i="19"/>
  <c r="J69" i="19"/>
  <c r="J68" i="19"/>
  <c r="J67" i="19"/>
  <c r="J66" i="19"/>
  <c r="J65" i="19"/>
  <c r="J64" i="19"/>
  <c r="J63" i="19"/>
  <c r="J61" i="19"/>
  <c r="J59" i="19"/>
  <c r="J58" i="19"/>
  <c r="J57" i="19"/>
  <c r="J56" i="19"/>
  <c r="J54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4" i="19"/>
  <c r="J23" i="19"/>
  <c r="J22" i="19"/>
  <c r="J21" i="19"/>
  <c r="J20" i="19"/>
  <c r="J19" i="19"/>
  <c r="J18" i="19"/>
  <c r="J17" i="19"/>
  <c r="J16" i="19"/>
  <c r="J15" i="19"/>
  <c r="J14" i="19"/>
  <c r="G11" i="19"/>
  <c r="H77" i="19"/>
  <c r="H76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1" i="19"/>
  <c r="H59" i="19"/>
  <c r="H58" i="19"/>
  <c r="H57" i="19"/>
  <c r="H56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4" i="19"/>
  <c r="H23" i="19"/>
  <c r="H22" i="19"/>
  <c r="H21" i="19"/>
  <c r="H20" i="19"/>
  <c r="H19" i="19"/>
  <c r="H18" i="19"/>
  <c r="H17" i="19"/>
  <c r="H16" i="19"/>
  <c r="H15" i="19"/>
  <c r="H14" i="19"/>
  <c r="C11" i="19"/>
  <c r="D77" i="19"/>
  <c r="D76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1" i="19"/>
  <c r="D59" i="19"/>
  <c r="D58" i="19"/>
  <c r="D57" i="19"/>
  <c r="D56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4" i="19"/>
  <c r="D23" i="19"/>
  <c r="D22" i="19"/>
  <c r="D21" i="19"/>
  <c r="D20" i="19"/>
  <c r="D19" i="19"/>
  <c r="D18" i="19"/>
  <c r="D17" i="19"/>
  <c r="D16" i="19"/>
  <c r="D15" i="19"/>
  <c r="D14" i="19"/>
  <c r="F23" i="19"/>
  <c r="E11" i="19"/>
  <c r="F35" i="19"/>
  <c r="F34" i="19"/>
  <c r="F33" i="19"/>
  <c r="F32" i="19"/>
  <c r="F31" i="19"/>
  <c r="F30" i="19"/>
  <c r="F29" i="19"/>
  <c r="F28" i="19"/>
  <c r="F27" i="19"/>
  <c r="F26" i="19"/>
  <c r="C7" i="8"/>
  <c r="F7" i="8"/>
  <c r="E7" i="8"/>
  <c r="D7" i="8"/>
  <c r="F16" i="6"/>
  <c r="E16" i="6"/>
  <c r="D16" i="6"/>
  <c r="H111" i="12"/>
  <c r="H101" i="12"/>
  <c r="H81" i="12"/>
  <c r="H71" i="12"/>
  <c r="C19" i="5"/>
  <c r="F19" i="5"/>
  <c r="E19" i="5"/>
  <c r="D19" i="5"/>
  <c r="F76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1" i="19"/>
  <c r="F59" i="19"/>
  <c r="F58" i="19"/>
  <c r="F57" i="19"/>
  <c r="F56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8" i="19"/>
  <c r="F37" i="19"/>
  <c r="F36" i="19"/>
  <c r="F24" i="19"/>
  <c r="F22" i="19"/>
  <c r="F21" i="19"/>
  <c r="F20" i="19"/>
  <c r="F19" i="19"/>
  <c r="F18" i="19"/>
  <c r="F17" i="19"/>
  <c r="F16" i="19"/>
  <c r="F15" i="19"/>
  <c r="H4" i="12"/>
  <c r="H3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C13" i="11"/>
  <c r="C8" i="11"/>
  <c r="C9" i="11"/>
  <c r="C10" i="11"/>
  <c r="C11" i="11"/>
  <c r="C32" i="11"/>
  <c r="I18" i="11"/>
  <c r="I23" i="11"/>
  <c r="I13" i="11"/>
  <c r="I11" i="11"/>
  <c r="I32" i="11"/>
  <c r="G18" i="11"/>
  <c r="G23" i="11"/>
  <c r="G13" i="11"/>
  <c r="G11" i="11"/>
  <c r="G32" i="11"/>
  <c r="E18" i="11"/>
  <c r="E23" i="11"/>
  <c r="E13" i="11"/>
  <c r="E11" i="11"/>
  <c r="E32" i="11"/>
  <c r="G83" i="19"/>
  <c r="I83" i="19"/>
  <c r="I84" i="19"/>
  <c r="I85" i="19"/>
  <c r="I86" i="19"/>
  <c r="G92" i="19"/>
  <c r="I92" i="19"/>
  <c r="G97" i="19"/>
  <c r="I97" i="19"/>
  <c r="I100" i="19"/>
  <c r="I88" i="19"/>
  <c r="I105" i="19"/>
  <c r="J105" i="19"/>
  <c r="G84" i="19"/>
  <c r="G85" i="19"/>
  <c r="G86" i="19"/>
  <c r="G100" i="19"/>
  <c r="G88" i="19"/>
  <c r="G105" i="19"/>
  <c r="H105" i="19"/>
  <c r="E84" i="19"/>
  <c r="E85" i="19"/>
  <c r="E86" i="19"/>
  <c r="E88" i="19"/>
  <c r="E105" i="19"/>
  <c r="F105" i="19"/>
  <c r="J104" i="19"/>
  <c r="H104" i="19"/>
  <c r="F104" i="19"/>
  <c r="J103" i="19"/>
  <c r="H103" i="19"/>
  <c r="F103" i="19"/>
  <c r="J102" i="19"/>
  <c r="H102" i="19"/>
  <c r="F102" i="19"/>
  <c r="J101" i="19"/>
  <c r="H101" i="19"/>
  <c r="F101" i="19"/>
  <c r="J100" i="19"/>
  <c r="H100" i="19"/>
  <c r="F100" i="19"/>
  <c r="J99" i="19"/>
  <c r="H99" i="19"/>
  <c r="F99" i="19"/>
  <c r="J98" i="19"/>
  <c r="H98" i="19"/>
  <c r="F98" i="19"/>
  <c r="J97" i="19"/>
  <c r="H97" i="19"/>
  <c r="F97" i="19"/>
  <c r="J96" i="19"/>
  <c r="H96" i="19"/>
  <c r="F96" i="19"/>
  <c r="J95" i="19"/>
  <c r="H95" i="19"/>
  <c r="F95" i="19"/>
  <c r="J94" i="19"/>
  <c r="H94" i="19"/>
  <c r="F94" i="19"/>
  <c r="J93" i="19"/>
  <c r="H93" i="19"/>
  <c r="F93" i="19"/>
  <c r="J92" i="19"/>
  <c r="H92" i="19"/>
  <c r="F92" i="19"/>
  <c r="J91" i="19"/>
  <c r="H91" i="19"/>
  <c r="F91" i="19"/>
  <c r="J90" i="19"/>
  <c r="H90" i="19"/>
  <c r="F90" i="19"/>
  <c r="J89" i="19"/>
  <c r="H89" i="19"/>
  <c r="F89" i="19"/>
  <c r="J88" i="19"/>
  <c r="H88" i="19"/>
  <c r="F88" i="19"/>
  <c r="J86" i="19"/>
  <c r="H86" i="19"/>
  <c r="F86" i="19"/>
  <c r="J85" i="19"/>
  <c r="H85" i="19"/>
  <c r="F85" i="19"/>
  <c r="J84" i="19"/>
  <c r="H84" i="19"/>
  <c r="F84" i="19"/>
  <c r="F77" i="19"/>
  <c r="F14" i="19"/>
  <c r="J11" i="19"/>
  <c r="H11" i="19"/>
  <c r="F11" i="19"/>
  <c r="D11" i="19"/>
  <c r="J10" i="19"/>
  <c r="H10" i="19"/>
  <c r="F10" i="19"/>
  <c r="D10" i="19"/>
  <c r="J9" i="19"/>
  <c r="H9" i="19"/>
  <c r="F9" i="19"/>
  <c r="D9" i="19"/>
  <c r="C6" i="19"/>
  <c r="C5" i="19"/>
  <c r="J4" i="19"/>
  <c r="H4" i="19"/>
  <c r="F4" i="19"/>
  <c r="I6" i="11"/>
  <c r="G6" i="11"/>
  <c r="E6" i="11"/>
  <c r="C6" i="11"/>
  <c r="I5" i="11"/>
  <c r="G5" i="11"/>
  <c r="E5" i="11"/>
  <c r="C5" i="11"/>
  <c r="J4" i="11"/>
  <c r="H4" i="11"/>
  <c r="F4" i="11"/>
  <c r="D31" i="11"/>
  <c r="N29" i="17"/>
  <c r="N107" i="17"/>
  <c r="N108" i="17"/>
  <c r="N110" i="17"/>
  <c r="N96" i="17"/>
  <c r="N95" i="17"/>
  <c r="N94" i="17"/>
  <c r="N93" i="17"/>
  <c r="N92" i="17"/>
  <c r="N9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8" i="17"/>
  <c r="N100" i="17"/>
  <c r="M24" i="17"/>
  <c r="M29" i="17"/>
  <c r="M98" i="17"/>
  <c r="M100" i="17"/>
  <c r="L24" i="17"/>
  <c r="L29" i="17"/>
  <c r="L98" i="17"/>
  <c r="L100" i="17"/>
  <c r="K24" i="17"/>
  <c r="K29" i="17"/>
  <c r="K98" i="17"/>
  <c r="K100" i="17"/>
  <c r="J24" i="17"/>
  <c r="J29" i="17"/>
  <c r="J98" i="17"/>
  <c r="J100" i="17"/>
  <c r="I24" i="17"/>
  <c r="I29" i="17"/>
  <c r="I98" i="17"/>
  <c r="I100" i="17"/>
  <c r="H24" i="17"/>
  <c r="H29" i="17"/>
  <c r="H98" i="17"/>
  <c r="H100" i="17"/>
  <c r="G24" i="17"/>
  <c r="G29" i="17"/>
  <c r="G98" i="17"/>
  <c r="G100" i="17"/>
  <c r="F24" i="17"/>
  <c r="F29" i="17"/>
  <c r="F98" i="17"/>
  <c r="F100" i="17"/>
  <c r="E24" i="17"/>
  <c r="E29" i="17"/>
  <c r="E98" i="17"/>
  <c r="E100" i="17"/>
  <c r="D24" i="17"/>
  <c r="D29" i="17"/>
  <c r="D98" i="17"/>
  <c r="D100" i="17"/>
  <c r="C24" i="17"/>
  <c r="C29" i="17"/>
  <c r="C98" i="17"/>
  <c r="C100" i="17"/>
  <c r="B24" i="17"/>
  <c r="B29" i="17"/>
  <c r="B98" i="17"/>
  <c r="B100" i="17"/>
  <c r="N99" i="17"/>
  <c r="J33" i="11"/>
  <c r="C37" i="16"/>
  <c r="C34" i="16"/>
  <c r="M29" i="16"/>
  <c r="N29" i="16"/>
  <c r="K29" i="16"/>
  <c r="L29" i="16"/>
  <c r="I29" i="16"/>
  <c r="F29" i="16"/>
  <c r="J29" i="16"/>
  <c r="D29" i="16"/>
  <c r="G29" i="16"/>
  <c r="M27" i="16"/>
  <c r="N27" i="16"/>
  <c r="K27" i="16"/>
  <c r="L27" i="16"/>
  <c r="I27" i="16"/>
  <c r="F27" i="16"/>
  <c r="J27" i="16"/>
  <c r="D27" i="16"/>
  <c r="G27" i="16"/>
  <c r="M25" i="16"/>
  <c r="N25" i="16"/>
  <c r="K25" i="16"/>
  <c r="L25" i="16"/>
  <c r="I25" i="16"/>
  <c r="F25" i="16"/>
  <c r="J25" i="16"/>
  <c r="D25" i="16"/>
  <c r="G25" i="16"/>
  <c r="M24" i="16"/>
  <c r="N24" i="16"/>
  <c r="K24" i="16"/>
  <c r="L24" i="16"/>
  <c r="I24" i="16"/>
  <c r="F24" i="16"/>
  <c r="J24" i="16"/>
  <c r="D24" i="16"/>
  <c r="G24" i="16"/>
  <c r="M23" i="16"/>
  <c r="N23" i="16"/>
  <c r="K23" i="16"/>
  <c r="L23" i="16"/>
  <c r="I23" i="16"/>
  <c r="F23" i="16"/>
  <c r="J23" i="16"/>
  <c r="D23" i="16"/>
  <c r="G23" i="16"/>
  <c r="M22" i="16"/>
  <c r="N22" i="16"/>
  <c r="K22" i="16"/>
  <c r="L22" i="16"/>
  <c r="I22" i="16"/>
  <c r="F22" i="16"/>
  <c r="J22" i="16"/>
  <c r="D22" i="16"/>
  <c r="G22" i="16"/>
  <c r="M21" i="16"/>
  <c r="N21" i="16"/>
  <c r="K21" i="16"/>
  <c r="L21" i="16"/>
  <c r="I21" i="16"/>
  <c r="F21" i="16"/>
  <c r="J21" i="16"/>
  <c r="D21" i="16"/>
  <c r="G21" i="16"/>
  <c r="M20" i="16"/>
  <c r="N20" i="16"/>
  <c r="K20" i="16"/>
  <c r="L20" i="16"/>
  <c r="I20" i="16"/>
  <c r="F20" i="16"/>
  <c r="J20" i="16"/>
  <c r="D20" i="16"/>
  <c r="G20" i="16"/>
  <c r="M16" i="16"/>
  <c r="N16" i="16"/>
  <c r="K16" i="16"/>
  <c r="L16" i="16"/>
  <c r="I16" i="16"/>
  <c r="F16" i="16"/>
  <c r="J16" i="16"/>
  <c r="D16" i="16"/>
  <c r="G16" i="16"/>
  <c r="M14" i="16"/>
  <c r="N14" i="16"/>
  <c r="K14" i="16"/>
  <c r="L14" i="16"/>
  <c r="I14" i="16"/>
  <c r="F14" i="16"/>
  <c r="J14" i="16"/>
  <c r="D14" i="16"/>
  <c r="G14" i="16"/>
  <c r="M12" i="16"/>
  <c r="N12" i="16"/>
  <c r="K12" i="16"/>
  <c r="L12" i="16"/>
  <c r="I12" i="16"/>
  <c r="F12" i="16"/>
  <c r="D12" i="16"/>
  <c r="M10" i="16"/>
  <c r="K10" i="16"/>
  <c r="I10" i="16"/>
  <c r="F10" i="16"/>
  <c r="J10" i="16"/>
  <c r="D10" i="16"/>
  <c r="G10" i="16"/>
  <c r="M9" i="16"/>
  <c r="N9" i="16"/>
  <c r="K9" i="16"/>
  <c r="L9" i="16"/>
  <c r="I9" i="16"/>
  <c r="F9" i="16"/>
  <c r="J9" i="16"/>
  <c r="D9" i="16"/>
  <c r="G9" i="16"/>
  <c r="M8" i="16"/>
  <c r="N8" i="16"/>
  <c r="K8" i="16"/>
  <c r="L8" i="16"/>
  <c r="I8" i="16"/>
  <c r="F8" i="16"/>
  <c r="J8" i="16"/>
  <c r="D8" i="16"/>
  <c r="G8" i="16"/>
  <c r="M7" i="16"/>
  <c r="N7" i="16"/>
  <c r="K7" i="16"/>
  <c r="L7" i="16"/>
  <c r="I7" i="16"/>
  <c r="F7" i="16"/>
  <c r="J7" i="16"/>
  <c r="D7" i="16"/>
  <c r="G7" i="16"/>
  <c r="M6" i="16"/>
  <c r="N6" i="16"/>
  <c r="K6" i="16"/>
  <c r="L6" i="16"/>
  <c r="I6" i="16"/>
  <c r="F6" i="16"/>
  <c r="J6" i="16"/>
  <c r="D6" i="16"/>
  <c r="G6" i="16"/>
  <c r="M5" i="16"/>
  <c r="N5" i="16"/>
  <c r="K5" i="16"/>
  <c r="L5" i="16"/>
  <c r="I5" i="16"/>
  <c r="F5" i="16"/>
  <c r="J5" i="16"/>
  <c r="D5" i="16"/>
  <c r="G5" i="16"/>
  <c r="M4" i="16"/>
  <c r="N4" i="16"/>
  <c r="K4" i="16"/>
  <c r="L4" i="16"/>
  <c r="I4" i="16"/>
  <c r="F4" i="16"/>
  <c r="J4" i="16"/>
  <c r="D4" i="16"/>
  <c r="G4" i="16"/>
  <c r="M3" i="16"/>
  <c r="N3" i="16"/>
  <c r="K3" i="16"/>
  <c r="L3" i="16"/>
  <c r="I3" i="16"/>
  <c r="F3" i="16"/>
  <c r="J3" i="16"/>
  <c r="D3" i="16"/>
  <c r="G3" i="16"/>
  <c r="D32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3" i="11"/>
  <c r="D11" i="11"/>
  <c r="D10" i="11"/>
  <c r="D9" i="11"/>
  <c r="C37" i="2"/>
  <c r="D37" i="2"/>
  <c r="E37" i="2"/>
  <c r="E39" i="2"/>
  <c r="E42" i="2"/>
  <c r="D38" i="1"/>
  <c r="D39" i="2"/>
  <c r="D42" i="2"/>
  <c r="C38" i="1"/>
  <c r="C39" i="2"/>
  <c r="C42" i="2"/>
  <c r="B38" i="1"/>
  <c r="B34" i="1"/>
  <c r="B37" i="1"/>
  <c r="B40" i="1"/>
  <c r="C34" i="1"/>
  <c r="C37" i="1"/>
  <c r="C40" i="1"/>
  <c r="D34" i="1"/>
  <c r="D37" i="1"/>
  <c r="D40" i="1"/>
  <c r="E44" i="2"/>
  <c r="D44" i="2"/>
  <c r="C44" i="2"/>
  <c r="E22" i="2"/>
  <c r="D22" i="2"/>
  <c r="G47" i="11"/>
  <c r="I47" i="11"/>
  <c r="G52" i="11"/>
  <c r="I52" i="11"/>
  <c r="C9" i="14"/>
  <c r="D9" i="14"/>
  <c r="D7" i="14"/>
  <c r="D16" i="14"/>
  <c r="D15" i="14"/>
  <c r="D14" i="14"/>
  <c r="D13" i="14"/>
  <c r="D23" i="14"/>
  <c r="D22" i="14"/>
  <c r="D21" i="14"/>
  <c r="D20" i="14"/>
  <c r="D24" i="14"/>
  <c r="E20" i="14"/>
  <c r="E21" i="14"/>
  <c r="E22" i="14"/>
  <c r="E23" i="14"/>
  <c r="E24" i="14"/>
  <c r="F24" i="14"/>
  <c r="F23" i="14"/>
  <c r="F22" i="14"/>
  <c r="F21" i="14"/>
  <c r="F20" i="14"/>
  <c r="E16" i="14"/>
  <c r="F16" i="14"/>
  <c r="D17" i="14"/>
  <c r="E13" i="14"/>
  <c r="E14" i="14"/>
  <c r="E15" i="14"/>
  <c r="E17" i="14"/>
  <c r="F17" i="14"/>
  <c r="F15" i="14"/>
  <c r="F14" i="14"/>
  <c r="F13" i="14"/>
  <c r="E9" i="14"/>
  <c r="E8" i="14"/>
  <c r="E7" i="14"/>
  <c r="E6" i="14"/>
  <c r="D10" i="14"/>
  <c r="E10" i="14"/>
  <c r="F10" i="14"/>
  <c r="F8" i="14"/>
  <c r="F7" i="14"/>
  <c r="F6" i="14"/>
  <c r="C29" i="14"/>
  <c r="C30" i="14"/>
  <c r="C31" i="14"/>
  <c r="C24" i="14"/>
  <c r="C43" i="14"/>
  <c r="C17" i="14"/>
  <c r="C37" i="14"/>
  <c r="C10" i="14"/>
  <c r="B10" i="14"/>
  <c r="B43" i="14"/>
  <c r="B37" i="14"/>
  <c r="B31" i="14"/>
  <c r="B24" i="14"/>
  <c r="B17" i="14"/>
  <c r="B47" i="1"/>
  <c r="C47" i="1"/>
  <c r="D47" i="1"/>
  <c r="B42" i="1"/>
  <c r="E40" i="2"/>
  <c r="D40" i="2"/>
  <c r="C40" i="2"/>
  <c r="E35" i="2"/>
  <c r="D35" i="2"/>
  <c r="C35" i="2"/>
  <c r="I41" i="11"/>
  <c r="I55" i="11"/>
  <c r="I43" i="11"/>
  <c r="I60" i="11"/>
  <c r="J60" i="11"/>
  <c r="G41" i="11"/>
  <c r="G55" i="11"/>
  <c r="G43" i="11"/>
  <c r="G60" i="11"/>
  <c r="H60" i="11"/>
  <c r="E41" i="11"/>
  <c r="E43" i="11"/>
  <c r="E60" i="11"/>
  <c r="F60" i="11"/>
  <c r="J59" i="11"/>
  <c r="H59" i="11"/>
  <c r="F59" i="11"/>
  <c r="J58" i="11"/>
  <c r="H58" i="11"/>
  <c r="F58" i="11"/>
  <c r="J57" i="11"/>
  <c r="H57" i="11"/>
  <c r="F57" i="11"/>
  <c r="J56" i="11"/>
  <c r="H56" i="11"/>
  <c r="F56" i="11"/>
  <c r="J55" i="11"/>
  <c r="H55" i="11"/>
  <c r="F55" i="11"/>
  <c r="J54" i="11"/>
  <c r="H54" i="11"/>
  <c r="F54" i="11"/>
  <c r="J53" i="11"/>
  <c r="H53" i="11"/>
  <c r="F53" i="11"/>
  <c r="J52" i="11"/>
  <c r="H52" i="11"/>
  <c r="F52" i="11"/>
  <c r="J51" i="11"/>
  <c r="H51" i="11"/>
  <c r="F51" i="11"/>
  <c r="J50" i="11"/>
  <c r="H50" i="11"/>
  <c r="F50" i="11"/>
  <c r="J49" i="11"/>
  <c r="H49" i="11"/>
  <c r="F49" i="11"/>
  <c r="J48" i="11"/>
  <c r="H48" i="11"/>
  <c r="F48" i="11"/>
  <c r="J47" i="11"/>
  <c r="H47" i="11"/>
  <c r="F47" i="11"/>
  <c r="J46" i="11"/>
  <c r="H46" i="11"/>
  <c r="F46" i="11"/>
  <c r="J45" i="11"/>
  <c r="H45" i="11"/>
  <c r="F45" i="11"/>
  <c r="J44" i="11"/>
  <c r="H44" i="11"/>
  <c r="F44" i="11"/>
  <c r="J43" i="11"/>
  <c r="H43" i="11"/>
  <c r="F43" i="11"/>
  <c r="J41" i="11"/>
  <c r="H41" i="11"/>
  <c r="F41" i="11"/>
  <c r="J40" i="11"/>
  <c r="H40" i="11"/>
  <c r="F40" i="11"/>
  <c r="J39" i="11"/>
  <c r="H39" i="11"/>
  <c r="F39" i="11"/>
  <c r="H17" i="13"/>
  <c r="F17" i="13"/>
  <c r="H19" i="13"/>
  <c r="F19" i="13"/>
  <c r="B19" i="13"/>
  <c r="E18" i="2"/>
  <c r="D18" i="2"/>
  <c r="E13" i="2"/>
  <c r="D13" i="2"/>
  <c r="C13" i="2"/>
  <c r="J10" i="11"/>
  <c r="H10" i="11"/>
  <c r="F10" i="11"/>
  <c r="J32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3" i="11"/>
  <c r="J11" i="11"/>
  <c r="J9" i="11"/>
  <c r="H32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3" i="11"/>
  <c r="H11" i="11"/>
  <c r="H9" i="11"/>
  <c r="F30" i="11"/>
  <c r="F29" i="11"/>
  <c r="F28" i="11"/>
  <c r="F27" i="11"/>
  <c r="F26" i="11"/>
  <c r="F25" i="11"/>
  <c r="F24" i="11"/>
  <c r="F23" i="11"/>
  <c r="F22" i="11"/>
  <c r="F20" i="11"/>
  <c r="F19" i="11"/>
  <c r="F18" i="11"/>
  <c r="F17" i="11"/>
  <c r="F16" i="11"/>
  <c r="F15" i="11"/>
  <c r="F11" i="11"/>
  <c r="F9" i="11"/>
  <c r="H90" i="12"/>
  <c r="H91" i="12"/>
  <c r="H92" i="12"/>
  <c r="H93" i="12"/>
  <c r="H94" i="12"/>
  <c r="H95" i="12"/>
  <c r="H96" i="12"/>
  <c r="H97" i="12"/>
  <c r="H98" i="12"/>
  <c r="H99" i="12"/>
  <c r="H100" i="12"/>
  <c r="H102" i="12"/>
  <c r="H103" i="12"/>
  <c r="H104" i="12"/>
  <c r="H105" i="12"/>
  <c r="H106" i="12"/>
  <c r="H107" i="12"/>
  <c r="H108" i="12"/>
  <c r="H109" i="12"/>
  <c r="H110" i="12"/>
  <c r="H112" i="12"/>
  <c r="H113" i="12"/>
  <c r="H114" i="12"/>
  <c r="H115" i="12"/>
  <c r="H60" i="12"/>
  <c r="H61" i="12"/>
  <c r="H62" i="12"/>
  <c r="H63" i="12"/>
  <c r="H64" i="12"/>
  <c r="H65" i="12"/>
  <c r="H66" i="12"/>
  <c r="H67" i="12"/>
  <c r="H68" i="12"/>
  <c r="H69" i="12"/>
  <c r="H70" i="12"/>
  <c r="H72" i="12"/>
  <c r="H73" i="12"/>
  <c r="H74" i="12"/>
  <c r="H75" i="12"/>
  <c r="H76" i="12"/>
  <c r="H77" i="12"/>
  <c r="H78" i="12"/>
  <c r="H79" i="12"/>
  <c r="H80" i="12"/>
  <c r="H82" i="12"/>
  <c r="H83" i="12"/>
  <c r="H84" i="12"/>
  <c r="H85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R153" i="9"/>
  <c r="R139" i="9"/>
  <c r="R126" i="9"/>
  <c r="R113" i="9"/>
  <c r="R152" i="9"/>
  <c r="R162" i="9"/>
  <c r="Q153" i="9"/>
  <c r="Q139" i="9"/>
  <c r="Q126" i="9"/>
  <c r="Q60" i="9"/>
  <c r="Q114" i="9"/>
  <c r="Q61" i="9"/>
  <c r="Q115" i="9"/>
  <c r="Q62" i="9"/>
  <c r="Q116" i="9"/>
  <c r="Q63" i="9"/>
  <c r="Q117" i="9"/>
  <c r="Q64" i="9"/>
  <c r="Q118" i="9"/>
  <c r="Q65" i="9"/>
  <c r="Q119" i="9"/>
  <c r="Q66" i="9"/>
  <c r="Q120" i="9"/>
  <c r="Q67" i="9"/>
  <c r="Q121" i="9"/>
  <c r="Q68" i="9"/>
  <c r="Q122" i="9"/>
  <c r="Q69" i="9"/>
  <c r="Q123" i="9"/>
  <c r="Q70" i="9"/>
  <c r="Q124" i="9"/>
  <c r="Q71" i="9"/>
  <c r="Q125" i="9"/>
  <c r="Q113" i="9"/>
  <c r="Q152" i="9"/>
  <c r="Q162" i="9"/>
  <c r="P153" i="9"/>
  <c r="P139" i="9"/>
  <c r="P126" i="9"/>
  <c r="P60" i="9"/>
  <c r="P114" i="9"/>
  <c r="P61" i="9"/>
  <c r="P115" i="9"/>
  <c r="P62" i="9"/>
  <c r="P116" i="9"/>
  <c r="P63" i="9"/>
  <c r="P117" i="9"/>
  <c r="P64" i="9"/>
  <c r="P118" i="9"/>
  <c r="P65" i="9"/>
  <c r="P119" i="9"/>
  <c r="P66" i="9"/>
  <c r="P120" i="9"/>
  <c r="P67" i="9"/>
  <c r="P121" i="9"/>
  <c r="P68" i="9"/>
  <c r="P122" i="9"/>
  <c r="P69" i="9"/>
  <c r="P123" i="9"/>
  <c r="P70" i="9"/>
  <c r="P124" i="9"/>
  <c r="P71" i="9"/>
  <c r="P125" i="9"/>
  <c r="P113" i="9"/>
  <c r="P152" i="9"/>
  <c r="P162" i="9"/>
  <c r="O153" i="9"/>
  <c r="O139" i="9"/>
  <c r="O126" i="9"/>
  <c r="O60" i="9"/>
  <c r="O114" i="9"/>
  <c r="O61" i="9"/>
  <c r="O115" i="9"/>
  <c r="O62" i="9"/>
  <c r="O116" i="9"/>
  <c r="O63" i="9"/>
  <c r="O117" i="9"/>
  <c r="O64" i="9"/>
  <c r="O118" i="9"/>
  <c r="O65" i="9"/>
  <c r="O119" i="9"/>
  <c r="O66" i="9"/>
  <c r="O120" i="9"/>
  <c r="O67" i="9"/>
  <c r="O121" i="9"/>
  <c r="O68" i="9"/>
  <c r="O122" i="9"/>
  <c r="O69" i="9"/>
  <c r="O123" i="9"/>
  <c r="O70" i="9"/>
  <c r="O124" i="9"/>
  <c r="O71" i="9"/>
  <c r="O125" i="9"/>
  <c r="O113" i="9"/>
  <c r="O152" i="9"/>
  <c r="O162" i="9"/>
  <c r="N153" i="9"/>
  <c r="N139" i="9"/>
  <c r="N126" i="9"/>
  <c r="N60" i="9"/>
  <c r="N114" i="9"/>
  <c r="N61" i="9"/>
  <c r="N115" i="9"/>
  <c r="N62" i="9"/>
  <c r="N116" i="9"/>
  <c r="N63" i="9"/>
  <c r="N117" i="9"/>
  <c r="N64" i="9"/>
  <c r="N118" i="9"/>
  <c r="N65" i="9"/>
  <c r="N119" i="9"/>
  <c r="N66" i="9"/>
  <c r="N120" i="9"/>
  <c r="N67" i="9"/>
  <c r="N121" i="9"/>
  <c r="N68" i="9"/>
  <c r="N122" i="9"/>
  <c r="N69" i="9"/>
  <c r="N123" i="9"/>
  <c r="N70" i="9"/>
  <c r="N124" i="9"/>
  <c r="N71" i="9"/>
  <c r="N125" i="9"/>
  <c r="N113" i="9"/>
  <c r="N152" i="9"/>
  <c r="N162" i="9"/>
  <c r="M153" i="9"/>
  <c r="M139" i="9"/>
  <c r="M126" i="9"/>
  <c r="M60" i="9"/>
  <c r="M114" i="9"/>
  <c r="M61" i="9"/>
  <c r="M115" i="9"/>
  <c r="M62" i="9"/>
  <c r="M116" i="9"/>
  <c r="M63" i="9"/>
  <c r="M117" i="9"/>
  <c r="M64" i="9"/>
  <c r="M118" i="9"/>
  <c r="M65" i="9"/>
  <c r="M119" i="9"/>
  <c r="M66" i="9"/>
  <c r="M120" i="9"/>
  <c r="M67" i="9"/>
  <c r="M121" i="9"/>
  <c r="M68" i="9"/>
  <c r="M122" i="9"/>
  <c r="M69" i="9"/>
  <c r="M123" i="9"/>
  <c r="M70" i="9"/>
  <c r="M124" i="9"/>
  <c r="M71" i="9"/>
  <c r="M125" i="9"/>
  <c r="M113" i="9"/>
  <c r="M152" i="9"/>
  <c r="M162" i="9"/>
  <c r="L153" i="9"/>
  <c r="L139" i="9"/>
  <c r="L126" i="9"/>
  <c r="L60" i="9"/>
  <c r="L114" i="9"/>
  <c r="L61" i="9"/>
  <c r="L115" i="9"/>
  <c r="L62" i="9"/>
  <c r="L116" i="9"/>
  <c r="L63" i="9"/>
  <c r="L117" i="9"/>
  <c r="L64" i="9"/>
  <c r="L118" i="9"/>
  <c r="L65" i="9"/>
  <c r="L119" i="9"/>
  <c r="L66" i="9"/>
  <c r="L120" i="9"/>
  <c r="L67" i="9"/>
  <c r="L121" i="9"/>
  <c r="L68" i="9"/>
  <c r="L122" i="9"/>
  <c r="L69" i="9"/>
  <c r="L123" i="9"/>
  <c r="L70" i="9"/>
  <c r="L124" i="9"/>
  <c r="L71" i="9"/>
  <c r="L125" i="9"/>
  <c r="L113" i="9"/>
  <c r="L152" i="9"/>
  <c r="L162" i="9"/>
  <c r="K153" i="9"/>
  <c r="K139" i="9"/>
  <c r="K126" i="9"/>
  <c r="K60" i="9"/>
  <c r="K114" i="9"/>
  <c r="K61" i="9"/>
  <c r="K115" i="9"/>
  <c r="K62" i="9"/>
  <c r="K116" i="9"/>
  <c r="K63" i="9"/>
  <c r="K117" i="9"/>
  <c r="K64" i="9"/>
  <c r="K118" i="9"/>
  <c r="K65" i="9"/>
  <c r="K119" i="9"/>
  <c r="K66" i="9"/>
  <c r="K120" i="9"/>
  <c r="K67" i="9"/>
  <c r="K121" i="9"/>
  <c r="K68" i="9"/>
  <c r="K122" i="9"/>
  <c r="K69" i="9"/>
  <c r="K123" i="9"/>
  <c r="K70" i="9"/>
  <c r="K124" i="9"/>
  <c r="K71" i="9"/>
  <c r="K125" i="9"/>
  <c r="K113" i="9"/>
  <c r="K152" i="9"/>
  <c r="K162" i="9"/>
  <c r="J153" i="9"/>
  <c r="J139" i="9"/>
  <c r="J126" i="9"/>
  <c r="J60" i="9"/>
  <c r="J114" i="9"/>
  <c r="J61" i="9"/>
  <c r="J115" i="9"/>
  <c r="J62" i="9"/>
  <c r="J116" i="9"/>
  <c r="J63" i="9"/>
  <c r="J117" i="9"/>
  <c r="J64" i="9"/>
  <c r="J118" i="9"/>
  <c r="J65" i="9"/>
  <c r="J119" i="9"/>
  <c r="J66" i="9"/>
  <c r="J120" i="9"/>
  <c r="J67" i="9"/>
  <c r="J121" i="9"/>
  <c r="J68" i="9"/>
  <c r="J122" i="9"/>
  <c r="J69" i="9"/>
  <c r="J123" i="9"/>
  <c r="J70" i="9"/>
  <c r="J124" i="9"/>
  <c r="J71" i="9"/>
  <c r="J125" i="9"/>
  <c r="J113" i="9"/>
  <c r="J152" i="9"/>
  <c r="J162" i="9"/>
  <c r="I153" i="9"/>
  <c r="I139" i="9"/>
  <c r="I126" i="9"/>
  <c r="I60" i="9"/>
  <c r="I114" i="9"/>
  <c r="I61" i="9"/>
  <c r="I115" i="9"/>
  <c r="I62" i="9"/>
  <c r="I116" i="9"/>
  <c r="I63" i="9"/>
  <c r="I117" i="9"/>
  <c r="I64" i="9"/>
  <c r="I118" i="9"/>
  <c r="I65" i="9"/>
  <c r="I119" i="9"/>
  <c r="I66" i="9"/>
  <c r="I120" i="9"/>
  <c r="I67" i="9"/>
  <c r="I121" i="9"/>
  <c r="I68" i="9"/>
  <c r="I122" i="9"/>
  <c r="I69" i="9"/>
  <c r="I123" i="9"/>
  <c r="I70" i="9"/>
  <c r="I124" i="9"/>
  <c r="I71" i="9"/>
  <c r="I125" i="9"/>
  <c r="I113" i="9"/>
  <c r="I152" i="9"/>
  <c r="I162" i="9"/>
  <c r="H153" i="9"/>
  <c r="H139" i="9"/>
  <c r="H126" i="9"/>
  <c r="H60" i="9"/>
  <c r="H114" i="9"/>
  <c r="H61" i="9"/>
  <c r="H115" i="9"/>
  <c r="H62" i="9"/>
  <c r="H116" i="9"/>
  <c r="H63" i="9"/>
  <c r="H117" i="9"/>
  <c r="H64" i="9"/>
  <c r="H118" i="9"/>
  <c r="H65" i="9"/>
  <c r="H119" i="9"/>
  <c r="H66" i="9"/>
  <c r="H120" i="9"/>
  <c r="H67" i="9"/>
  <c r="H121" i="9"/>
  <c r="H68" i="9"/>
  <c r="H122" i="9"/>
  <c r="H69" i="9"/>
  <c r="H123" i="9"/>
  <c r="H70" i="9"/>
  <c r="H124" i="9"/>
  <c r="H71" i="9"/>
  <c r="H125" i="9"/>
  <c r="H113" i="9"/>
  <c r="H152" i="9"/>
  <c r="H162" i="9"/>
  <c r="G153" i="9"/>
  <c r="G139" i="9"/>
  <c r="G126" i="9"/>
  <c r="G60" i="9"/>
  <c r="G114" i="9"/>
  <c r="G61" i="9"/>
  <c r="G115" i="9"/>
  <c r="G62" i="9"/>
  <c r="G116" i="9"/>
  <c r="G63" i="9"/>
  <c r="G117" i="9"/>
  <c r="G64" i="9"/>
  <c r="G118" i="9"/>
  <c r="G65" i="9"/>
  <c r="G119" i="9"/>
  <c r="G66" i="9"/>
  <c r="G120" i="9"/>
  <c r="G67" i="9"/>
  <c r="G121" i="9"/>
  <c r="G68" i="9"/>
  <c r="G122" i="9"/>
  <c r="G69" i="9"/>
  <c r="G123" i="9"/>
  <c r="G70" i="9"/>
  <c r="G124" i="9"/>
  <c r="G71" i="9"/>
  <c r="G125" i="9"/>
  <c r="G113" i="9"/>
  <c r="G152" i="9"/>
  <c r="G162" i="9"/>
  <c r="F153" i="9"/>
  <c r="F139" i="9"/>
  <c r="F126" i="9"/>
  <c r="F60" i="9"/>
  <c r="F114" i="9"/>
  <c r="F61" i="9"/>
  <c r="F115" i="9"/>
  <c r="F62" i="9"/>
  <c r="F116" i="9"/>
  <c r="F63" i="9"/>
  <c r="F117" i="9"/>
  <c r="F64" i="9"/>
  <c r="F118" i="9"/>
  <c r="F65" i="9"/>
  <c r="F119" i="9"/>
  <c r="F66" i="9"/>
  <c r="F120" i="9"/>
  <c r="F67" i="9"/>
  <c r="F121" i="9"/>
  <c r="F68" i="9"/>
  <c r="F122" i="9"/>
  <c r="F69" i="9"/>
  <c r="F123" i="9"/>
  <c r="F70" i="9"/>
  <c r="F124" i="9"/>
  <c r="F71" i="9"/>
  <c r="F125" i="9"/>
  <c r="F113" i="9"/>
  <c r="F152" i="9"/>
  <c r="F162" i="9"/>
  <c r="R85" i="9"/>
  <c r="R72" i="9"/>
  <c r="R99" i="9"/>
  <c r="R59" i="9"/>
  <c r="R98" i="9"/>
  <c r="R108" i="9"/>
  <c r="Q99" i="9"/>
  <c r="Q85" i="9"/>
  <c r="Q72" i="9"/>
  <c r="Q59" i="9"/>
  <c r="Q98" i="9"/>
  <c r="Q108" i="9"/>
  <c r="P99" i="9"/>
  <c r="P85" i="9"/>
  <c r="P72" i="9"/>
  <c r="P59" i="9"/>
  <c r="P98" i="9"/>
  <c r="P108" i="9"/>
  <c r="O99" i="9"/>
  <c r="O85" i="9"/>
  <c r="O72" i="9"/>
  <c r="O59" i="9"/>
  <c r="O98" i="9"/>
  <c r="O108" i="9"/>
  <c r="N99" i="9"/>
  <c r="N85" i="9"/>
  <c r="N72" i="9"/>
  <c r="N59" i="9"/>
  <c r="N98" i="9"/>
  <c r="N108" i="9"/>
  <c r="M99" i="9"/>
  <c r="M85" i="9"/>
  <c r="M72" i="9"/>
  <c r="M59" i="9"/>
  <c r="M98" i="9"/>
  <c r="M108" i="9"/>
  <c r="L99" i="9"/>
  <c r="L85" i="9"/>
  <c r="L72" i="9"/>
  <c r="L59" i="9"/>
  <c r="L98" i="9"/>
  <c r="L108" i="9"/>
  <c r="K99" i="9"/>
  <c r="K85" i="9"/>
  <c r="K72" i="9"/>
  <c r="K59" i="9"/>
  <c r="K98" i="9"/>
  <c r="K108" i="9"/>
  <c r="J99" i="9"/>
  <c r="J85" i="9"/>
  <c r="J72" i="9"/>
  <c r="J59" i="9"/>
  <c r="J98" i="9"/>
  <c r="J108" i="9"/>
  <c r="I99" i="9"/>
  <c r="I85" i="9"/>
  <c r="I72" i="9"/>
  <c r="I59" i="9"/>
  <c r="I98" i="9"/>
  <c r="I108" i="9"/>
  <c r="H99" i="9"/>
  <c r="H85" i="9"/>
  <c r="H72" i="9"/>
  <c r="H59" i="9"/>
  <c r="H98" i="9"/>
  <c r="H108" i="9"/>
  <c r="G99" i="9"/>
  <c r="G85" i="9"/>
  <c r="G72" i="9"/>
  <c r="G59" i="9"/>
  <c r="G98" i="9"/>
  <c r="G108" i="9"/>
  <c r="F99" i="9"/>
  <c r="F85" i="9"/>
  <c r="F72" i="9"/>
  <c r="F59" i="9"/>
  <c r="F98" i="9"/>
  <c r="F108" i="9"/>
  <c r="R45" i="9"/>
  <c r="R31" i="9"/>
  <c r="R18" i="9"/>
  <c r="R5" i="9"/>
  <c r="R44" i="9"/>
  <c r="R54" i="9"/>
  <c r="Q45" i="9"/>
  <c r="Q31" i="9"/>
  <c r="Q18" i="9"/>
  <c r="Q5" i="9"/>
  <c r="Q44" i="9"/>
  <c r="Q54" i="9"/>
  <c r="P45" i="9"/>
  <c r="P31" i="9"/>
  <c r="P18" i="9"/>
  <c r="P5" i="9"/>
  <c r="P44" i="9"/>
  <c r="P54" i="9"/>
  <c r="O45" i="9"/>
  <c r="O31" i="9"/>
  <c r="O18" i="9"/>
  <c r="O5" i="9"/>
  <c r="O44" i="9"/>
  <c r="O54" i="9"/>
  <c r="N45" i="9"/>
  <c r="N31" i="9"/>
  <c r="N18" i="9"/>
  <c r="N5" i="9"/>
  <c r="N44" i="9"/>
  <c r="N54" i="9"/>
  <c r="M45" i="9"/>
  <c r="M31" i="9"/>
  <c r="M18" i="9"/>
  <c r="M5" i="9"/>
  <c r="M44" i="9"/>
  <c r="M54" i="9"/>
  <c r="L45" i="9"/>
  <c r="L31" i="9"/>
  <c r="L18" i="9"/>
  <c r="L5" i="9"/>
  <c r="L44" i="9"/>
  <c r="L54" i="9"/>
  <c r="K45" i="9"/>
  <c r="K31" i="9"/>
  <c r="K18" i="9"/>
  <c r="K5" i="9"/>
  <c r="K44" i="9"/>
  <c r="K54" i="9"/>
  <c r="J45" i="9"/>
  <c r="J31" i="9"/>
  <c r="J18" i="9"/>
  <c r="J5" i="9"/>
  <c r="J44" i="9"/>
  <c r="J54" i="9"/>
  <c r="I45" i="9"/>
  <c r="I31" i="9"/>
  <c r="I18" i="9"/>
  <c r="I5" i="9"/>
  <c r="I44" i="9"/>
  <c r="I54" i="9"/>
  <c r="H45" i="9"/>
  <c r="H31" i="9"/>
  <c r="H18" i="9"/>
  <c r="H5" i="9"/>
  <c r="H44" i="9"/>
  <c r="H54" i="9"/>
  <c r="G45" i="9"/>
  <c r="G31" i="9"/>
  <c r="G18" i="9"/>
  <c r="G5" i="9"/>
  <c r="G44" i="9"/>
  <c r="G54" i="9"/>
  <c r="F45" i="9"/>
  <c r="F31" i="9"/>
  <c r="F18" i="9"/>
  <c r="F5" i="9"/>
  <c r="F44" i="9"/>
  <c r="F54" i="9"/>
  <c r="C22" i="2"/>
  <c r="C46" i="1"/>
  <c r="C48" i="1"/>
  <c r="D46" i="1"/>
  <c r="D48" i="1"/>
  <c r="B46" i="1"/>
  <c r="B48" i="1"/>
  <c r="B49" i="1"/>
  <c r="D19" i="13"/>
  <c r="C18" i="2"/>
  <c r="F32" i="11"/>
  <c r="F21" i="11"/>
  <c r="F13" i="11"/>
  <c r="B20" i="1"/>
</calcChain>
</file>

<file path=xl/comments1.xml><?xml version="1.0" encoding="utf-8"?>
<comments xmlns="http://schemas.openxmlformats.org/spreadsheetml/2006/main">
  <authors>
    <author>Daniel Montjoy Pita</author>
  </authors>
  <commentList>
    <comment ref="B45" authorId="0">
      <text>
        <r>
          <rPr>
            <b/>
            <sz val="9"/>
            <color indexed="81"/>
            <rFont val="Tahoma"/>
            <family val="2"/>
          </rPr>
          <t>Daniel Montjoy Pita:</t>
        </r>
        <r>
          <rPr>
            <sz val="9"/>
            <color indexed="81"/>
            <rFont val="Tahoma"/>
            <family val="2"/>
          </rPr>
          <t xml:space="preserve">
Asesoria legal, contabilidad y sistemas.</t>
        </r>
      </text>
    </comment>
  </commentList>
</comments>
</file>

<file path=xl/comments2.xml><?xml version="1.0" encoding="utf-8"?>
<comments xmlns="http://schemas.openxmlformats.org/spreadsheetml/2006/main">
  <authors>
    <author>Daniel Montjoy Pita</author>
  </authors>
  <commentList>
    <comment ref="B71" authorId="0">
      <text>
        <r>
          <rPr>
            <b/>
            <sz val="9"/>
            <color indexed="81"/>
            <rFont val="Tahoma"/>
            <family val="2"/>
          </rPr>
          <t>Daniel Montjoy Pita:</t>
        </r>
        <r>
          <rPr>
            <sz val="9"/>
            <color indexed="81"/>
            <rFont val="Tahoma"/>
            <family val="2"/>
          </rPr>
          <t xml:space="preserve">
Asesoria legal, contabilidad y sistemas.</t>
        </r>
      </text>
    </comment>
  </commentList>
</comments>
</file>

<file path=xl/comments3.xml><?xml version="1.0" encoding="utf-8"?>
<comments xmlns="http://schemas.openxmlformats.org/spreadsheetml/2006/main">
  <authors>
    <author>Daniel Montjoy Pita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Daniel Montjoy Pita:</t>
        </r>
        <r>
          <rPr>
            <sz val="9"/>
            <color indexed="81"/>
            <rFont val="Tahoma"/>
            <family val="2"/>
          </rPr>
          <t xml:space="preserve">
¿En que consiste está actividad, que es 1 minuto por audífono?
</t>
        </r>
      </text>
    </comment>
  </commentList>
</comments>
</file>

<file path=xl/comments4.xml><?xml version="1.0" encoding="utf-8"?>
<comments xmlns="http://schemas.openxmlformats.org/spreadsheetml/2006/main">
  <authors>
    <author>Daniel Montjoy Pita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Daniel Montjoy Pita:</t>
        </r>
        <r>
          <rPr>
            <sz val="9"/>
            <color indexed="81"/>
            <rFont val="Tahoma"/>
            <family val="2"/>
          </rPr>
          <t xml:space="preserve">
La variación de la depreciación es muy grande en relación.</t>
        </r>
      </text>
    </comment>
  </commentList>
</comments>
</file>

<file path=xl/sharedStrings.xml><?xml version="1.0" encoding="utf-8"?>
<sst xmlns="http://schemas.openxmlformats.org/spreadsheetml/2006/main" count="1305" uniqueCount="471">
  <si>
    <t>Ingresos :</t>
  </si>
  <si>
    <t>Cobranzas de ventas</t>
  </si>
  <si>
    <t>TOTAL INGRESOS</t>
  </si>
  <si>
    <t>Egresos de Operación:</t>
  </si>
  <si>
    <t>Costo de Venta</t>
  </si>
  <si>
    <t>SG&amp;A</t>
  </si>
  <si>
    <t>TOTAL DE EGRESOS POR OPERACIÓN</t>
  </si>
  <si>
    <t>Gastos de capital</t>
  </si>
  <si>
    <t xml:space="preserve">Escudo fiscal </t>
  </si>
  <si>
    <t>SALDO FINAL</t>
  </si>
  <si>
    <t>VAN</t>
  </si>
  <si>
    <t>COK</t>
  </si>
  <si>
    <t>TOTAL 2017</t>
  </si>
  <si>
    <t>TOTAL 2018</t>
  </si>
  <si>
    <t>TOTAL 2019</t>
  </si>
  <si>
    <t>Cantidad de ventas proyectada (Número de audífonos)</t>
  </si>
  <si>
    <t>VALOR DE COMPRA (CIP 0% MARK UP)</t>
  </si>
  <si>
    <t>GASTOS DE IMPORTACIÓN</t>
  </si>
  <si>
    <t>COSTO DE BIENES VENDIDOS</t>
  </si>
  <si>
    <t>UTILIDAD BRUTA</t>
  </si>
  <si>
    <t>MARGEN BRUTO</t>
  </si>
  <si>
    <t>TOTAL GASTOS OPERATIVOS</t>
  </si>
  <si>
    <t>UTILIDAD OPERATIVA</t>
  </si>
  <si>
    <t>MARGEN OPERATIVO (ANTES DE IMPUESTOS)</t>
  </si>
  <si>
    <t>Debe</t>
  </si>
  <si>
    <t>Haber</t>
  </si>
  <si>
    <t>Caja y bancos TAA</t>
  </si>
  <si>
    <t>Cuentas por cobrar</t>
  </si>
  <si>
    <t>Inventario de productos terminados</t>
  </si>
  <si>
    <t>Edificios y mejoras</t>
  </si>
  <si>
    <t>Otros equipos</t>
  </si>
  <si>
    <t>Depreciación acumulada - Edificios y mejoras</t>
  </si>
  <si>
    <t>Depreciación acumulada - Otros equipos</t>
  </si>
  <si>
    <t>Cuentas por pagar</t>
  </si>
  <si>
    <t>Otros pasivos corrientes</t>
  </si>
  <si>
    <t>Acciones o capital social</t>
  </si>
  <si>
    <t>Utilidades retenidas de periodos anteriores</t>
  </si>
  <si>
    <t>Utilidad del ejercicio</t>
  </si>
  <si>
    <t>ROA</t>
  </si>
  <si>
    <t>Iniciativa</t>
  </si>
  <si>
    <t>Ejecutar un estricto control de calidad a los productos terminados importados y a los producidos localmente.</t>
  </si>
  <si>
    <t>Realizar un adecuado control de calidad a todas las reparaciones hechas localmente antes de ser entregadas a clientes.</t>
  </si>
  <si>
    <t>Monitorear el proceso de adaptación de clientes.</t>
  </si>
  <si>
    <t>Identificar oportunidades de optimización y utilización de sinergias o recursos compartidos con la matriz.</t>
  </si>
  <si>
    <t>Disminuir gastos fijos dentro de la estructura de costos operativos.</t>
  </si>
  <si>
    <t>Búsqueda de eficiencias y ahorros en el servicio logístico de proveedores como cargos por almacenamiento, desaduanaje, transporte, etc.</t>
  </si>
  <si>
    <t>Homologación de productos.</t>
  </si>
  <si>
    <t>Optimizar el proceso de despacho, días de tránsito y manejo aduanero.</t>
  </si>
  <si>
    <t>Identificación y cumplimiento con normas nacionales de certificación de equipos médicos y materiales de importación restringida o controlada.</t>
  </si>
  <si>
    <t>Fortalecer las campañas de comunicación con clientes para incentivar los mantenimientos preventivos de audífonos y el cumplimiento de los cronogramas de revisiones y controles.</t>
  </si>
  <si>
    <t>TOTAL</t>
  </si>
  <si>
    <t>Actividades</t>
  </si>
  <si>
    <t>Definir políticas de reclutamiento y selección de personal.</t>
  </si>
  <si>
    <t>Establecer políticas de capacitación.</t>
  </si>
  <si>
    <t>Taller de gestión de ventas.</t>
  </si>
  <si>
    <t>Bonificaciones de desempeño.</t>
  </si>
  <si>
    <t>Bonificaciones sobre retos de salud.</t>
  </si>
  <si>
    <t>Actividad</t>
  </si>
  <si>
    <t>Incrementar los puntos del canal directo.</t>
  </si>
  <si>
    <t>Evaluar ubicaciones y demanda potencial.</t>
  </si>
  <si>
    <t>Definir el mix de medios adecuado y establecer un plan de seguimiento de generación de ventas.</t>
  </si>
  <si>
    <t>Comisiones de visitadores médicos.</t>
  </si>
  <si>
    <t>Búsqueda, evaluación y mantenimiento de socios estratégicos comerciales.</t>
  </si>
  <si>
    <t>Premios por ventas.</t>
  </si>
  <si>
    <t>Campañas de despistaje auditivo gratuito.</t>
  </si>
  <si>
    <t>Campañas de educación para el cuidado auditivo en colegios.</t>
  </si>
  <si>
    <t>Disminución de los impactos ambientales causados por actividades de la empresa.</t>
  </si>
  <si>
    <t>STARKEY PERU</t>
  </si>
  <si>
    <t>NET UNITS BY MONTH</t>
  </si>
  <si>
    <t>2017 UNITS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</si>
  <si>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</si>
  <si>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</si>
  <si>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</si>
  <si>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</si>
  <si>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</si>
  <si>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</si>
  <si>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</si>
  <si>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</si>
  <si>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</si>
  <si>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</si>
  <si>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</si>
  <si>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</si>
  <si>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CUSTOM</t>
  </si>
  <si>
    <t>Premium Wired</t>
  </si>
  <si>
    <t>Premium Wireless</t>
  </si>
  <si>
    <t>High Wired</t>
  </si>
  <si>
    <t>High Wireless</t>
  </si>
  <si>
    <t>Mid-Level Wired</t>
  </si>
  <si>
    <t>Mid-Level Wireless</t>
  </si>
  <si>
    <t>Low Wired</t>
  </si>
  <si>
    <t>Low Wireless</t>
  </si>
  <si>
    <t>Basic Wired</t>
  </si>
  <si>
    <t>Basic Wireless</t>
  </si>
  <si>
    <t>Economy Wired</t>
  </si>
  <si>
    <t>Economy Wireless</t>
  </si>
  <si>
    <t>RIC</t>
  </si>
  <si>
    <t>BTE</t>
  </si>
  <si>
    <t>TOTAL HEARING AIDS</t>
  </si>
  <si>
    <t>OTHER REVENUE</t>
  </si>
  <si>
    <t>Batteries</t>
  </si>
  <si>
    <t>Earmolds</t>
  </si>
  <si>
    <t>Equipment</t>
  </si>
  <si>
    <t>Faceplates</t>
  </si>
  <si>
    <t>Repairs</t>
  </si>
  <si>
    <t>Wireless Accessories</t>
  </si>
  <si>
    <t>Extended Warranty</t>
  </si>
  <si>
    <t>Other</t>
  </si>
  <si>
    <t>TOTALS</t>
  </si>
  <si>
    <t>COGS</t>
  </si>
  <si>
    <t>% OF REV</t>
  </si>
  <si>
    <t>Gratificaciones</t>
  </si>
  <si>
    <t>CTS</t>
  </si>
  <si>
    <t>Seguro Social</t>
  </si>
  <si>
    <t>Gerente General</t>
  </si>
  <si>
    <t>Jefe de administración</t>
  </si>
  <si>
    <t>Jefe de operaciones</t>
  </si>
  <si>
    <t>Audiologo 2</t>
  </si>
  <si>
    <t>Audiologo 3</t>
  </si>
  <si>
    <t>Audiologo 4</t>
  </si>
  <si>
    <t>Audiologo 5</t>
  </si>
  <si>
    <t>Tecnico Dapa 1</t>
  </si>
  <si>
    <t>Tecnico Dapa 2</t>
  </si>
  <si>
    <t>Audiologo 6</t>
  </si>
  <si>
    <t>Audiologo 7</t>
  </si>
  <si>
    <t>Jefe ensamblaje</t>
  </si>
  <si>
    <t>Tecnico ensamblaje 1</t>
  </si>
  <si>
    <t>Tecnico ensamblaje 2</t>
  </si>
  <si>
    <t>Recepcionista 1</t>
  </si>
  <si>
    <t>Recepcionista 2</t>
  </si>
  <si>
    <t>Recepcionista 3</t>
  </si>
  <si>
    <t>Key account manager</t>
  </si>
  <si>
    <t>Representante medico 1</t>
  </si>
  <si>
    <t>Representante medico 2</t>
  </si>
  <si>
    <t>Tesorera</t>
  </si>
  <si>
    <t>Jefe audiologia</t>
  </si>
  <si>
    <t>Jefe Dapa</t>
  </si>
  <si>
    <t>Salario anual</t>
  </si>
  <si>
    <t>Bonos (anual)</t>
  </si>
  <si>
    <t>Comisiones (anual)</t>
  </si>
  <si>
    <t>INGRESOS POR VENTAS</t>
  </si>
  <si>
    <t>ESTADO DE RESULTADOS PROYECTADO EN SOLES (con estrategia)</t>
  </si>
  <si>
    <t>ESTADO DE RESULTADOS PROYECTADO EN SOLES (sin estrategia)</t>
  </si>
  <si>
    <t>STARKEY PERU: FLUJO DE EFECTIVO PROYECTADO (SIN ESTRATEGIA)</t>
  </si>
  <si>
    <t>STARKEY PERU: FLUJO DE CAJA ECONÓMICO (CON ESTRATEGIA)</t>
  </si>
  <si>
    <t>Flujo proyectado con estrategia</t>
  </si>
  <si>
    <t>Flujo proyectado sin estrategia</t>
  </si>
  <si>
    <t>Diferencia</t>
  </si>
  <si>
    <t>ESCENARIO CON ESTRATEGIA</t>
  </si>
  <si>
    <t>ESCENARIO SIN ESTRATEGIA</t>
  </si>
  <si>
    <t>PVP NETO</t>
  </si>
  <si>
    <t>COSTO UNITARIO</t>
  </si>
  <si>
    <t>TOTAL AUDIFONOS</t>
  </si>
  <si>
    <t>COSTO DE IMPORTACION</t>
  </si>
  <si>
    <t xml:space="preserve">GASTOS SG&amp;A </t>
  </si>
  <si>
    <t>Publicidad</t>
  </si>
  <si>
    <t>Gastos de representación</t>
  </si>
  <si>
    <t>Gastos de entretenimiento</t>
  </si>
  <si>
    <t xml:space="preserve">Comisiones y bonos </t>
  </si>
  <si>
    <t>Suministros y consumibles de computo</t>
  </si>
  <si>
    <t>Depreciación</t>
  </si>
  <si>
    <t>Capacitación</t>
  </si>
  <si>
    <t>Gastos generales de seguros</t>
  </si>
  <si>
    <t>Sueldos y salarios</t>
  </si>
  <si>
    <t>Artículos y consumibles de oficina</t>
  </si>
  <si>
    <t>Alquileres</t>
  </si>
  <si>
    <t>Impuestos de nómina</t>
  </si>
  <si>
    <t>Envíos y mensajería</t>
  </si>
  <si>
    <t>Servicios profesionales de terceros</t>
  </si>
  <si>
    <t>Servicios y telecomunicaciones</t>
  </si>
  <si>
    <t>Gastos de viajes</t>
  </si>
  <si>
    <t>UTILIDAD NETA ANTES DE IMPUESTOS</t>
  </si>
  <si>
    <t>VENTAS UNIDADES</t>
  </si>
  <si>
    <t>HORAS CONSULTORIO DISPONIBLES</t>
  </si>
  <si>
    <t>NUMERO DE ATENCIONES</t>
  </si>
  <si>
    <t>SAN BORJA</t>
  </si>
  <si>
    <t>NÚMERO DE CONSULTORIOS</t>
  </si>
  <si>
    <t>SAN ISIDRO</t>
  </si>
  <si>
    <t>MIRAFLORES</t>
  </si>
  <si>
    <t>SAN MIGUEL</t>
  </si>
  <si>
    <t>AREQUIPA</t>
  </si>
  <si>
    <t>TRUJILLO</t>
  </si>
  <si>
    <t>PIURA</t>
  </si>
  <si>
    <t>NÚMERO DE CONSULTORIOS (INDIRECTOS)</t>
  </si>
  <si>
    <t>CAPACIDAD DISPONIBLE</t>
  </si>
  <si>
    <t>RATIO DE OCUPACIÓN</t>
  </si>
  <si>
    <t>NUMERO DE CITAS PROYECTADAS</t>
  </si>
  <si>
    <t>Citas a la semana por consultorio: 8</t>
  </si>
  <si>
    <t>Ratio de efectividad de venta: 50%</t>
  </si>
  <si>
    <t>Uso de consultorio para ventas: 50% del tiempo</t>
  </si>
  <si>
    <t>UNIDADES VENDIDAS POR MES</t>
  </si>
  <si>
    <t>COSTO DE VENTA</t>
  </si>
  <si>
    <t>COSTO DE PRODUCTOS VENDIDOS</t>
  </si>
  <si>
    <t>I.R.</t>
  </si>
  <si>
    <t>UTILIDAD NETA DESPUES DE IMPUESTOS</t>
  </si>
  <si>
    <t>IR</t>
  </si>
  <si>
    <t>IO3</t>
  </si>
  <si>
    <t>IO4</t>
  </si>
  <si>
    <t>Aprovechar tratados comerciales para reducción o eliminación de aranceles como la Alianza del Pacífico o TLC con EE.UU.</t>
  </si>
  <si>
    <t>IO6</t>
  </si>
  <si>
    <t>IO7</t>
  </si>
  <si>
    <t>Utilización de tecnología disponible para digitalizar.</t>
  </si>
  <si>
    <t>IO5</t>
  </si>
  <si>
    <t>Remodelación del Local 1 (San Borja) y habilitación de dos nuevos consultorios en este local (total 4 consultorios).</t>
  </si>
  <si>
    <t>IO8</t>
  </si>
  <si>
    <t>Apertura de local en Zona 7 (San Isidro) con dos consultorios.</t>
  </si>
  <si>
    <t>Apertura de local en Zona 7 (Miraflores) con un consultorio.</t>
  </si>
  <si>
    <t>Apertura de local en Zona 6 (San Miguel) con un consultorio habilitado.</t>
  </si>
  <si>
    <t>IO9</t>
  </si>
  <si>
    <t>Búsqueda y certificación de proveedores en provincias.</t>
  </si>
  <si>
    <r>
      <t>IO</t>
    </r>
    <r>
      <rPr>
        <sz val="9"/>
        <color rgb="FF000000"/>
        <rFont val="Times New Roman"/>
        <family val="1"/>
      </rPr>
      <t>1</t>
    </r>
  </si>
  <si>
    <r>
      <t>IO</t>
    </r>
    <r>
      <rPr>
        <sz val="9"/>
        <color rgb="FF000000"/>
        <rFont val="Times New Roman"/>
        <family val="1"/>
      </rPr>
      <t>2</t>
    </r>
  </si>
  <si>
    <r>
      <t>Implementar un plan de seguimiento de contrataciones</t>
    </r>
    <r>
      <rPr>
        <sz val="8"/>
        <color rgb="FF000000"/>
        <rFont val="Times New Roman"/>
        <family val="1"/>
      </rPr>
      <t>.</t>
    </r>
  </si>
  <si>
    <t>Elaboración de puestos, perfiles y compentencias.</t>
  </si>
  <si>
    <t>Fomentar la formación de equipos de trabajo multidisciplinares para la implementación de iniciativas.</t>
  </si>
  <si>
    <t>Proyectos propuestos por iniciativa de los colaboradores (experiencia de ventas).</t>
  </si>
  <si>
    <r>
      <t>Capacitación local y en la matriz para colaboradores</t>
    </r>
    <r>
      <rPr>
        <sz val="8"/>
        <color rgb="FF000000"/>
        <rFont val="Times New Roman"/>
        <family val="1"/>
      </rPr>
      <t>.</t>
    </r>
  </si>
  <si>
    <t>Actualización en herramientas de gestión.</t>
  </si>
  <si>
    <r>
      <t>Coaching</t>
    </r>
    <r>
      <rPr>
        <sz val="8"/>
        <color rgb="FF000000"/>
        <rFont val="Times New Roman"/>
        <family val="1"/>
      </rPr>
      <t xml:space="preserve"> de competencias gerenciales.</t>
    </r>
  </si>
  <si>
    <t>Pasantías en la matriz de Starkey Laboratories.</t>
  </si>
  <si>
    <t>Aumentar el porcentaje de colaboradores con salario variable  ligados a evaluaciones por desempeño</t>
  </si>
  <si>
    <t>Desarrollar plan de gestión de desempeño (Transparencia y simplicidad en el cálculo salarial).</t>
  </si>
  <si>
    <t>Aumentar el porcentaje de colaboradores que participan de programas relacionados a la salud.</t>
  </si>
  <si>
    <t>Reforzar cultura organizacional y ética.</t>
  </si>
  <si>
    <t>Charlas y talleres de cultura organizacional y ética.</t>
  </si>
  <si>
    <t>Mejorar el índice de rotación de los colaboradores.</t>
  </si>
  <si>
    <t>Herramientas de medición sobre clima laboral.</t>
  </si>
  <si>
    <r>
      <t xml:space="preserve">Desarrollo de un plan de </t>
    </r>
    <r>
      <rPr>
        <i/>
        <sz val="8"/>
        <color rgb="FF000000"/>
        <rFont val="Times New Roman"/>
        <family val="1"/>
      </rPr>
      <t xml:space="preserve">Customer Relationship Management </t>
    </r>
    <r>
      <rPr>
        <sz val="8"/>
        <color rgb="FF000000"/>
        <rFont val="Times New Roman"/>
        <family val="1"/>
      </rPr>
      <t>(CRM).</t>
    </r>
  </si>
  <si>
    <t>Garantía del producto.</t>
  </si>
  <si>
    <t>Cambio de productos que fallan dentro del periodo de garantía.</t>
  </si>
  <si>
    <t>Financiamiento directo.</t>
  </si>
  <si>
    <t>Otorgar planes de financiamiento a clientes.</t>
  </si>
  <si>
    <t>Desarrollar el canal de venta indirecta por medio de socios estratégicos.</t>
  </si>
  <si>
    <r>
      <t xml:space="preserve">Establecer un </t>
    </r>
    <r>
      <rPr>
        <i/>
        <sz val="8"/>
        <color rgb="FF000000"/>
        <rFont val="Times New Roman"/>
        <family val="1"/>
      </rPr>
      <t>mix</t>
    </r>
    <r>
      <rPr>
        <sz val="8"/>
        <color rgb="FF000000"/>
        <rFont val="Times New Roman"/>
        <family val="1"/>
      </rPr>
      <t xml:space="preserve"> de medios de comunicación.</t>
    </r>
  </si>
  <si>
    <t>Programa de fidelización de médicos ORL.</t>
  </si>
  <si>
    <t>Comisiones de médicos ORL.</t>
  </si>
  <si>
    <t>Establecer una política de reciclaje de pilas, al proporcionar de forma gratuita una pila nueva por dos pilas usadas</t>
  </si>
  <si>
    <t>Integrar las políticas de compra, distribución, contratación y asociaciones con criterios éticos, sociales y ambientales.</t>
  </si>
  <si>
    <t>Gestionar una política de ética para contrataciones y asociaciones estratégicas.</t>
  </si>
  <si>
    <t>Participar en forma proactiva en campañas de ayuda educativas o de despistaje en el Perú</t>
  </si>
  <si>
    <t>Contratación de personal técnico con discapacidad auditiva</t>
  </si>
  <si>
    <t>%</t>
  </si>
  <si>
    <t>Ventas / Años</t>
  </si>
  <si>
    <t>A.Vertical</t>
  </si>
  <si>
    <t>Var. A.Vertical %</t>
  </si>
  <si>
    <t>A. Horizontal
2016-2015</t>
  </si>
  <si>
    <t>A. Horizontal %
2016-2015</t>
  </si>
  <si>
    <t>A. Horizontal
2015-2014</t>
  </si>
  <si>
    <t>A. Horizontal %
2015-2014</t>
  </si>
  <si>
    <t xml:space="preserve">Audifonos                     </t>
  </si>
  <si>
    <t>Reparaciones</t>
  </si>
  <si>
    <t xml:space="preserve">Baterias                      </t>
  </si>
  <si>
    <t xml:space="preserve">Accesorios                    </t>
  </si>
  <si>
    <t xml:space="preserve">Evaluaciones Audiologicas     </t>
  </si>
  <si>
    <t>Ansi Test / Rem</t>
  </si>
  <si>
    <t>Limpieza Ótica</t>
  </si>
  <si>
    <t>Otros Servicios (Extension de garantía)</t>
  </si>
  <si>
    <t>Ventas netas</t>
  </si>
  <si>
    <t>Costo de ventas</t>
  </si>
  <si>
    <t>Utilidad bruta</t>
  </si>
  <si>
    <t>Gastos Generales</t>
  </si>
  <si>
    <t>Sueldos</t>
  </si>
  <si>
    <t>Bonos</t>
  </si>
  <si>
    <t>Capacitacion De Personal</t>
  </si>
  <si>
    <t>Comisiones</t>
  </si>
  <si>
    <t xml:space="preserve">Otros Gastos                  </t>
  </si>
  <si>
    <t>Total gastos generales</t>
  </si>
  <si>
    <t>Utilidad neta     Soles</t>
  </si>
  <si>
    <t>Activo</t>
  </si>
  <si>
    <t>ROE</t>
  </si>
  <si>
    <t>UNIDADES VENDIDAS</t>
  </si>
  <si>
    <t>ENERO</t>
  </si>
  <si>
    <t>FEBRERO</t>
  </si>
  <si>
    <t xml:space="preserve">MARZO </t>
  </si>
  <si>
    <t xml:space="preserve">ABRIL 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</si>
  <si>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</si>
  <si>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</si>
  <si>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</si>
  <si>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</si>
  <si>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</si>
  <si>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</si>
  <si>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</si>
  <si>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</si>
  <si>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TOTAL 2016</t>
  </si>
  <si>
    <t xml:space="preserve">Reparaciones                  </t>
  </si>
  <si>
    <t>Comision por Ventas AHTI  20 %</t>
  </si>
  <si>
    <t xml:space="preserve">Alquiler Oficina Miraflores   </t>
  </si>
  <si>
    <t xml:space="preserve">Redondeos                     </t>
  </si>
  <si>
    <t xml:space="preserve">Otros Servicios               </t>
  </si>
  <si>
    <t>Otros Ingresos de Gestión</t>
  </si>
  <si>
    <t>Pedido Directo 80% (AHTI)</t>
  </si>
  <si>
    <t>Platina Matriz (AHTI)</t>
  </si>
  <si>
    <t>Reparaciones y Materiales T.A.A.( RME) (AHTI)</t>
  </si>
  <si>
    <t>INGRESOS NETOS</t>
  </si>
  <si>
    <t>GASTOS GENERALES</t>
  </si>
  <si>
    <t>Vacaciones</t>
  </si>
  <si>
    <t>Asignacion Familiar</t>
  </si>
  <si>
    <t>Otras Remuneraciones</t>
  </si>
  <si>
    <t>Atencion al Personal</t>
  </si>
  <si>
    <t>Regimen de Prest de Salud</t>
  </si>
  <si>
    <t>Compensac.Por Tiempo de Servic</t>
  </si>
  <si>
    <t>Uniformes de Personal</t>
  </si>
  <si>
    <t xml:space="preserve">Combustible                   </t>
  </si>
  <si>
    <t xml:space="preserve">Estacionamiento y Peaje       </t>
  </si>
  <si>
    <t>Viajes dentro del pais</t>
  </si>
  <si>
    <t xml:space="preserve">Viajes fuera del País         </t>
  </si>
  <si>
    <t>Movilidad</t>
  </si>
  <si>
    <t xml:space="preserve">Correos de Mensajeria         </t>
  </si>
  <si>
    <t>Viaticos Alojamiento y aliment</t>
  </si>
  <si>
    <t>Servicio de Busqueda de Gerente</t>
  </si>
  <si>
    <t xml:space="preserve">Honorarios Contables          </t>
  </si>
  <si>
    <t xml:space="preserve">Gastos Notariales             </t>
  </si>
  <si>
    <t xml:space="preserve">Asesoria y Consultoria        </t>
  </si>
  <si>
    <t xml:space="preserve">Alquiler de Oficina           </t>
  </si>
  <si>
    <t xml:space="preserve">Aquiler Playa Estacionamiento </t>
  </si>
  <si>
    <t>Alquiler de Transporte</t>
  </si>
  <si>
    <t xml:space="preserve">Luz del Sur                   </t>
  </si>
  <si>
    <t xml:space="preserve">SEDAPAL                       </t>
  </si>
  <si>
    <t xml:space="preserve">Telefonia Americatel          </t>
  </si>
  <si>
    <t xml:space="preserve">Telefonia Telefonica del Perú </t>
  </si>
  <si>
    <t>Nextel, Claro</t>
  </si>
  <si>
    <t xml:space="preserve">Paginas Amarillas             </t>
  </si>
  <si>
    <t xml:space="preserve">Publicidad Varios             </t>
  </si>
  <si>
    <t xml:space="preserve">Gastos de Representación      </t>
  </si>
  <si>
    <t xml:space="preserve">Servicio Visa Net y Otros     </t>
  </si>
  <si>
    <t>Copias, Impresiones y Recargas</t>
  </si>
  <si>
    <t xml:space="preserve">Serv. de Atencion al Cliente  </t>
  </si>
  <si>
    <t>Servicio De Seguridad y Vigila</t>
  </si>
  <si>
    <t xml:space="preserve">Honorarios Diversos           </t>
  </si>
  <si>
    <t xml:space="preserve">Servicios Diversos            </t>
  </si>
  <si>
    <t xml:space="preserve">Arbitrios Municipales         </t>
  </si>
  <si>
    <t>Control Sanitario</t>
  </si>
  <si>
    <t xml:space="preserve">Seguros Robo                  </t>
  </si>
  <si>
    <t xml:space="preserve">Seguro Multi Riesgo           </t>
  </si>
  <si>
    <t xml:space="preserve">Seg. Responsabilidad Civil    </t>
  </si>
  <si>
    <t xml:space="preserve">Seguro Vida Ley               </t>
  </si>
  <si>
    <t xml:space="preserve">Utiles de Limpieza            </t>
  </si>
  <si>
    <t xml:space="preserve">Utiles de Oficina             </t>
  </si>
  <si>
    <t xml:space="preserve">Farmacia Botiquín             </t>
  </si>
  <si>
    <t xml:space="preserve">Ferreteria                    </t>
  </si>
  <si>
    <t xml:space="preserve">Materiales Varios (Ensamblaje y Dapa)           </t>
  </si>
  <si>
    <t xml:space="preserve">Gastos Boletas                </t>
  </si>
  <si>
    <t xml:space="preserve">Gastos sin sustento Movilidad </t>
  </si>
  <si>
    <t xml:space="preserve">Accesorios de Computo         </t>
  </si>
  <si>
    <t xml:space="preserve">Equipos Diversos              </t>
  </si>
  <si>
    <t>Donaciones</t>
  </si>
  <si>
    <t>Multas Recargos Interses Sansi</t>
  </si>
  <si>
    <t xml:space="preserve">Mantenimiento de Cta          </t>
  </si>
  <si>
    <t xml:space="preserve">Comisiones y Portes           </t>
  </si>
  <si>
    <t>Liliana Rodríguez</t>
  </si>
  <si>
    <t>Comisiones Presentadores</t>
  </si>
  <si>
    <t>Bono Scorecard</t>
  </si>
  <si>
    <t>Comisión Recepcionista</t>
  </si>
  <si>
    <t>Comisión Visitas Medicas</t>
  </si>
  <si>
    <t>Gastos Bancarios</t>
  </si>
  <si>
    <t>UTILIDAD NETA       USD</t>
  </si>
  <si>
    <t>reporte mensual</t>
  </si>
  <si>
    <t>sueldos y salarios</t>
  </si>
  <si>
    <t>Bonos y comisiones</t>
  </si>
  <si>
    <t>Entretenimiento</t>
  </si>
  <si>
    <t>gastos de representación</t>
  </si>
  <si>
    <t>Envios y mensajeria</t>
  </si>
  <si>
    <t>Otros</t>
  </si>
  <si>
    <t>Servicios profecionales de terceros</t>
  </si>
  <si>
    <t>bonos y comisiones</t>
  </si>
  <si>
    <t>Costo de venta</t>
  </si>
  <si>
    <t>envios y mensajeria</t>
  </si>
  <si>
    <t>suministros y consumibles de computo</t>
  </si>
  <si>
    <t>Otros Gastso</t>
  </si>
  <si>
    <t>Otros Gastos</t>
  </si>
  <si>
    <t>COSTO DE VENTA (POR AUDÍFONO)</t>
  </si>
  <si>
    <t>COSTO DE IMPORTACIÓN (POR AUDÍFONO)</t>
  </si>
  <si>
    <t>Considerar disminución de ad-valoren desde el 2017 y ahorros en fletes</t>
  </si>
  <si>
    <t>Ahorros en exportaciones temporales por mejoras de calidad</t>
  </si>
  <si>
    <t>PLAN DE MARKETING</t>
  </si>
  <si>
    <t>Publicidad (Mix de medios)</t>
  </si>
  <si>
    <t>Gestión de políticas de CRM junto con implementar un software.</t>
  </si>
  <si>
    <t>PLAN DE OPERACIONES</t>
  </si>
  <si>
    <t>Coaching de competencias gerenciales.</t>
  </si>
  <si>
    <t>PLAN DE RECURSOS HUMANOS</t>
  </si>
  <si>
    <t>PLAN DE RESPONSABILIDAD SOCIAL</t>
  </si>
  <si>
    <t>TOTAL PLAN DE MARKETING</t>
  </si>
  <si>
    <t>TOTAL PLAN DE OPERACIONES</t>
  </si>
  <si>
    <t>TOTAL PLAN DE RECURSOS HUMANOS</t>
  </si>
  <si>
    <t>TOTAL PLAN DE RESPONSABILIDAD SOCIAL</t>
  </si>
  <si>
    <t>TOTAL SG&amp;A</t>
  </si>
  <si>
    <t>Director (Ex Dueño)</t>
  </si>
  <si>
    <t>Responsable</t>
  </si>
  <si>
    <t>Jefe de ensamblaje</t>
  </si>
  <si>
    <t>Unidad de medida</t>
  </si>
  <si>
    <t>Horas / audífono vendido</t>
  </si>
  <si>
    <t>Horas / audífono reparado</t>
  </si>
  <si>
    <t>Capex</t>
  </si>
  <si>
    <t>Jefe de audiología</t>
  </si>
  <si>
    <t>Audiologo 8</t>
  </si>
  <si>
    <t>M.D.</t>
  </si>
  <si>
    <t>Tercerizado</t>
  </si>
  <si>
    <t>Horas hombre</t>
  </si>
  <si>
    <t>Med. Rep</t>
  </si>
  <si>
    <t>Costo de medios</t>
  </si>
  <si>
    <t>KAM</t>
  </si>
  <si>
    <t>Jefe de Ensamblaje</t>
  </si>
  <si>
    <t>Audífonos</t>
  </si>
  <si>
    <t>Otros salarios</t>
  </si>
  <si>
    <t>Pago a terceros</t>
  </si>
  <si>
    <t>Recepcionista 4</t>
  </si>
  <si>
    <t>Pilas</t>
  </si>
  <si>
    <t>Jefe audiología</t>
  </si>
  <si>
    <t>Tecnico de ensamblaje</t>
  </si>
  <si>
    <t>Salario</t>
  </si>
  <si>
    <t>Pago de comisiones por ventas</t>
  </si>
  <si>
    <t>Comisiones por ventas</t>
  </si>
  <si>
    <t>GASTOS GENERALES NO CONSIDERADOS EN LOS PLANES</t>
  </si>
  <si>
    <t>TOTAL OTROS GASTOS</t>
  </si>
  <si>
    <t>Capital de trabajo</t>
  </si>
  <si>
    <t>https://es.wikihow.com/calcular-el-capital-de-trabajo</t>
  </si>
  <si>
    <t>Audífonos por hora</t>
  </si>
  <si>
    <t>Horas al año por persona</t>
  </si>
  <si>
    <t>Máximo de audífonos por persona</t>
  </si>
  <si>
    <t>Escáners (Utilización de tecnología disponible para digitalizar).</t>
  </si>
  <si>
    <t>Impresoras (Utilización de tecnología disponible para digitalizar).</t>
  </si>
  <si>
    <t>Suministros y consumibles de computo 1</t>
  </si>
  <si>
    <t>Artículos y consumibles de oficina 1</t>
  </si>
  <si>
    <t>Aumento</t>
  </si>
  <si>
    <t>Disminución</t>
  </si>
  <si>
    <t>Efectivo generado por actividades de operación</t>
  </si>
  <si>
    <t>Utilidad antes de impuesto</t>
  </si>
  <si>
    <t>Edificios</t>
  </si>
  <si>
    <t>Impuesto a la renta</t>
  </si>
  <si>
    <t>Flujo de actividades de inversión</t>
  </si>
  <si>
    <t xml:space="preserve">Flujo de efectivo </t>
  </si>
  <si>
    <t>Pago dividendos</t>
  </si>
  <si>
    <t>Flujo de efectivo</t>
  </si>
  <si>
    <t>Saldo inicial efectivo</t>
  </si>
  <si>
    <t>Saldo final efectivo</t>
  </si>
  <si>
    <t>Ver el tema de los impuestos, en forma al contado</t>
  </si>
  <si>
    <t>1)</t>
  </si>
  <si>
    <t>2)</t>
  </si>
  <si>
    <t>Inversión en equipos y una depreciación lineal a n años</t>
  </si>
  <si>
    <t>DEPRECIACIÓN</t>
  </si>
  <si>
    <t>IMPUESTO A LA RENTA (28%)</t>
  </si>
  <si>
    <t>Depreciación 5 años lineal</t>
  </si>
  <si>
    <t>Depreciacón acumulada de los planes</t>
  </si>
  <si>
    <t>Total Capex</t>
  </si>
  <si>
    <t>Depreciación periodo total</t>
  </si>
  <si>
    <t>3 starter / enterprice</t>
  </si>
  <si>
    <r>
      <t xml:space="preserve">Gestión de políticas de CRM junto con el alquiler de un </t>
    </r>
    <r>
      <rPr>
        <i/>
        <sz val="8"/>
        <color rgb="FF000000"/>
        <rFont val="Times New Roman"/>
        <family val="1"/>
      </rPr>
      <t xml:space="preserve">software (Salesforce) </t>
    </r>
    <r>
      <rPr>
        <sz val="8"/>
        <color rgb="FF000000"/>
        <rFont val="Times New Roman"/>
        <family val="1"/>
      </rPr>
      <t>y entrenamiento en la herramienta.</t>
    </r>
  </si>
  <si>
    <t>Mix de medios de Marketing y establececimiento de un plan de seguimiento de generación de ventas.</t>
  </si>
  <si>
    <t>Premios por objetivos de  ventas.</t>
  </si>
  <si>
    <t>COSTO DE VENTAS</t>
  </si>
  <si>
    <t>Envios y mensajería</t>
  </si>
  <si>
    <t>OP</t>
  </si>
  <si>
    <t>Servicios profesionales de terceros (seguridad, limpieza, contabilidad, legal y sistemas)</t>
  </si>
  <si>
    <t xml:space="preserve">Artículos y consumibles de oficina </t>
  </si>
  <si>
    <t>RH</t>
  </si>
  <si>
    <t>Alquileres (local San borja, San Isidro, San Miguel, Almacenes</t>
  </si>
  <si>
    <t>Total sin Capex</t>
  </si>
  <si>
    <t>Ppto Operaciones'!C2-'Ppto Operaciones'!C3-'Ppto Operaciones'!C10</t>
  </si>
  <si>
    <t>Plan de Marketing</t>
  </si>
  <si>
    <t>Gestión de políticas de CRM junto con el alquiler de un software (Salesforce) y entrenamiento en la herramienta.</t>
  </si>
  <si>
    <t>Subtotal</t>
  </si>
  <si>
    <t>Plan de operaciones</t>
  </si>
  <si>
    <t>Plan de Recursos Humanos</t>
  </si>
  <si>
    <t>Plan de Responsabilidad Social</t>
  </si>
  <si>
    <t>Salarios</t>
  </si>
  <si>
    <t>Gastos de viaje</t>
  </si>
  <si>
    <t>TOTAL GASTOS ADMINISTRATIVOS Y DE VENTAS</t>
  </si>
  <si>
    <t>UTILIDAD NETA</t>
  </si>
  <si>
    <t>Costo de productos vendidos</t>
  </si>
  <si>
    <t>Costo de importación</t>
  </si>
  <si>
    <t>Subtotal Planes</t>
  </si>
  <si>
    <t>Escudo fiscal Depreciación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</si>
</sst>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&quot;S/.&quot;#,##0.00;[Red]\-&quot;S/.&quot;#,##0.00"/>
    <numFmt numFmtId="165" formatCode="_-&quot;S/.&quot;* #,##0.00_-;\-&quot;S/.&quot;* #,##0.00_-;_-&quot;S/.&quot;* &quot;-&quot;??_-;_-@_-"/>
    <numFmt numFmtId="166" formatCode="_-* #,##0.00_-;\-* #,##0.00_-;_-* &quot;-&quot;??_-;_-@_-"/>
    <numFmt numFmtId="167" formatCode="_(* #,##0.00_);_(* \(#,##0.00\);_(* &quot;-&quot;??_);_(@_)"/>
    <numFmt numFmtId="168" formatCode="0.0%"/>
    <numFmt numFmtId="169" formatCode="_(* #,##0_);_(* \(#,##0\);_(* &quot;-&quot;??_);_(@_)"/>
    <numFmt numFmtId="170" formatCode="&quot;S/.&quot;\ #,##0.00"/>
    <numFmt numFmtId="171" formatCode="#,##0.00;\(#,##0.00\)"/>
    <numFmt numFmtId="172" formatCode="_-&quot;S/.&quot;* #,##0.0_-;\-&quot;S/.&quot;* #,##0.0_-;_-&quot;S/.&quot;* &quot;-&quot;??_-;_-@_-"/>
    <numFmt numFmtId="173" formatCode="_-&quot;S/.&quot;* #,##0_-;\-&quot;S/.&quot;* #,##0_-;_-&quot;S/.&quot;* &quot;-&quot;??_-;_-@_-"/>
  </numFmts>
  <fonts count="6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name val="Times New Roman"/>
      <family val="1"/>
    </font>
    <font>
      <sz val="10"/>
      <name val="Courier New"/>
      <family val="3"/>
    </font>
    <font>
      <b/>
      <sz val="9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i/>
      <sz val="9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2"/>
      <name val="宋体"/>
      <charset val="134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i/>
      <sz val="9"/>
      <color theme="1"/>
      <name val="Times New Roman"/>
      <family val="1"/>
    </font>
    <font>
      <sz val="8"/>
      <name val="Times New Roman"/>
      <family val="1"/>
    </font>
    <font>
      <b/>
      <sz val="14"/>
      <color indexed="9"/>
      <name val="Times New Roman"/>
      <family val="1"/>
    </font>
    <font>
      <sz val="8"/>
      <color theme="1"/>
      <name val="Times New Roman"/>
      <family val="1"/>
    </font>
    <font>
      <b/>
      <sz val="8"/>
      <color indexed="12"/>
      <name val="Times New Roman"/>
      <family val="1"/>
    </font>
    <font>
      <b/>
      <sz val="8"/>
      <name val="Times New Roman"/>
      <family val="1"/>
    </font>
    <font>
      <b/>
      <sz val="8"/>
      <color indexed="48"/>
      <name val="Times New Roman"/>
      <family val="1"/>
    </font>
    <font>
      <sz val="8"/>
      <color indexed="18"/>
      <name val="Times New Roman"/>
      <family val="1"/>
    </font>
    <font>
      <b/>
      <sz val="8"/>
      <color indexed="9"/>
      <name val="Times New Roman"/>
      <family val="1"/>
    </font>
    <font>
      <sz val="8"/>
      <color indexed="8"/>
      <name val="Times New Roman"/>
      <family val="1"/>
    </font>
    <font>
      <i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9"/>
      <color theme="1"/>
      <name val="Calibri"/>
      <family val="2"/>
      <scheme val="minor"/>
    </font>
    <font>
      <i/>
      <sz val="8"/>
      <color rgb="FF000000"/>
      <name val="Times New Roman"/>
      <family val="1"/>
    </font>
    <font>
      <sz val="11"/>
      <color theme="1"/>
      <name val="Times New Roman"/>
      <family val="2"/>
    </font>
    <font>
      <sz val="11"/>
      <name val="Times New Roman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Times New Roman"/>
      <family val="2"/>
    </font>
    <font>
      <sz val="11"/>
      <color indexed="8"/>
      <name val="Helvetica Neue"/>
    </font>
    <font>
      <b/>
      <sz val="10"/>
      <color indexed="9"/>
      <name val="Helvetica Neue"/>
    </font>
    <font>
      <sz val="11"/>
      <color indexed="9"/>
      <name val="Helvetica Neue"/>
    </font>
    <font>
      <sz val="10"/>
      <color indexed="9"/>
      <name val="Helvetica Neue"/>
    </font>
    <font>
      <b/>
      <sz val="10"/>
      <name val="Arial"/>
      <family val="2"/>
    </font>
    <font>
      <sz val="10"/>
      <color indexed="9"/>
      <name val="Arial Bold"/>
    </font>
    <font>
      <sz val="10"/>
      <color indexed="9"/>
      <name val="Arial"/>
      <family val="2"/>
    </font>
    <font>
      <sz val="11"/>
      <name val="Helvetica Neue"/>
    </font>
    <font>
      <sz val="11"/>
      <color theme="1"/>
      <name val="Helvetica Neue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rgb="FFFF0000"/>
      <name val="Times New Roman"/>
      <family val="1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Times New Roman"/>
      <family val="1"/>
    </font>
    <font>
      <sz val="9"/>
      <name val="Times New Roman"/>
      <family val="1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/>
        <bgColor indexed="64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9" fontId="3" fillId="0" borderId="0" applyFont="0" applyFill="0" applyBorder="0" applyAlignment="0" applyProtection="0"/>
    <xf numFmtId="0" fontId="6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66" fontId="2" fillId="0" borderId="0" applyFont="0" applyFill="0" applyBorder="0" applyAlignment="0" applyProtection="0"/>
    <xf numFmtId="0" fontId="15" fillId="0" borderId="0"/>
    <xf numFmtId="0" fontId="14" fillId="0" borderId="0"/>
    <xf numFmtId="0" fontId="14" fillId="0" borderId="0"/>
    <xf numFmtId="0" fontId="16" fillId="8" borderId="0">
      <alignment horizontal="right" shrinkToFit="1"/>
    </xf>
    <xf numFmtId="3" fontId="17" fillId="9" borderId="34"/>
    <xf numFmtId="38" fontId="18" fillId="10" borderId="0">
      <alignment horizontal="right"/>
    </xf>
    <xf numFmtId="9" fontId="19" fillId="0" borderId="0" applyFont="0" applyFill="0" applyBorder="0" applyAlignment="0" applyProtection="0"/>
    <xf numFmtId="16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6" fillId="11" borderId="0">
      <alignment horizont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3" fillId="0" borderId="0"/>
    <xf numFmtId="9" fontId="43" fillId="0" borderId="0" applyFont="0" applyFill="0" applyBorder="0" applyAlignment="0" applyProtection="0"/>
    <xf numFmtId="0" fontId="48" fillId="0" borderId="0" applyNumberFormat="0" applyFill="0" applyBorder="0" applyProtection="0">
      <alignment vertical="top"/>
    </xf>
    <xf numFmtId="43" fontId="48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165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96">
    <xf numFmtId="0" fontId="0" fillId="0" borderId="0" xfId="0"/>
    <xf numFmtId="0" fontId="4" fillId="2" borderId="0" xfId="0" applyFont="1" applyFill="1" applyBorder="1" applyAlignment="1">
      <alignment horizontal="lef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165" fontId="4" fillId="2" borderId="1" xfId="0" applyNumberFormat="1" applyFont="1" applyFill="1" applyBorder="1"/>
    <xf numFmtId="0" fontId="4" fillId="2" borderId="1" xfId="0" applyFont="1" applyFill="1" applyBorder="1" applyAlignment="1">
      <alignment horizontal="center" vertical="center" wrapText="1"/>
    </xf>
    <xf numFmtId="17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Protection="1"/>
    <xf numFmtId="165" fontId="4" fillId="2" borderId="1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 vertical="center"/>
    </xf>
    <xf numFmtId="168" fontId="4" fillId="2" borderId="1" xfId="1" applyNumberFormat="1" applyFont="1" applyFill="1" applyBorder="1" applyAlignment="1">
      <alignment horizontal="center" vertical="center"/>
    </xf>
    <xf numFmtId="168" fontId="4" fillId="2" borderId="1" xfId="1" applyNumberFormat="1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164" fontId="4" fillId="2" borderId="1" xfId="0" applyNumberFormat="1" applyFont="1" applyFill="1" applyBorder="1"/>
    <xf numFmtId="10" fontId="4" fillId="2" borderId="1" xfId="0" applyNumberFormat="1" applyFont="1" applyFill="1" applyBorder="1"/>
    <xf numFmtId="0" fontId="0" fillId="2" borderId="1" xfId="0" applyFill="1" applyBorder="1" applyAlignment="1">
      <alignment horizontal="center"/>
    </xf>
    <xf numFmtId="10" fontId="4" fillId="2" borderId="1" xfId="0" applyNumberFormat="1" applyFont="1" applyFill="1" applyBorder="1" applyAlignment="1">
      <alignment horizontal="center"/>
    </xf>
    <xf numFmtId="0" fontId="23" fillId="2" borderId="0" xfId="0" applyFont="1" applyFill="1" applyBorder="1" applyAlignment="1">
      <alignment horizontal="left"/>
    </xf>
    <xf numFmtId="0" fontId="24" fillId="2" borderId="0" xfId="0" applyFont="1" applyFill="1"/>
    <xf numFmtId="0" fontId="4" fillId="2" borderId="0" xfId="0" applyFont="1" applyFill="1"/>
    <xf numFmtId="3" fontId="22" fillId="2" borderId="31" xfId="26" applyFont="1" applyFill="1" applyBorder="1" applyAlignment="1">
      <alignment horizontal="left"/>
    </xf>
    <xf numFmtId="38" fontId="4" fillId="2" borderId="42" xfId="21" applyNumberFormat="1" applyFont="1" applyFill="1" applyBorder="1" applyAlignment="1" applyProtection="1">
      <alignment horizontal="right"/>
      <protection locked="0"/>
    </xf>
    <xf numFmtId="9" fontId="4" fillId="2" borderId="43" xfId="1" applyFont="1" applyFill="1" applyBorder="1" applyAlignment="1" applyProtection="1">
      <alignment horizontal="center"/>
      <protection locked="0"/>
    </xf>
    <xf numFmtId="37" fontId="4" fillId="2" borderId="42" xfId="21" applyNumberFormat="1" applyFont="1" applyFill="1" applyBorder="1" applyAlignment="1" applyProtection="1">
      <alignment horizontal="right"/>
      <protection locked="0"/>
    </xf>
    <xf numFmtId="38" fontId="4" fillId="2" borderId="9" xfId="21" applyNumberFormat="1" applyFont="1" applyFill="1" applyBorder="1" applyAlignment="1" applyProtection="1">
      <alignment horizontal="right"/>
      <protection locked="0"/>
    </xf>
    <xf numFmtId="9" fontId="4" fillId="2" borderId="11" xfId="1" applyFont="1" applyFill="1" applyBorder="1" applyAlignment="1" applyProtection="1">
      <alignment horizontal="center"/>
      <protection locked="0"/>
    </xf>
    <xf numFmtId="38" fontId="4" fillId="2" borderId="21" xfId="21" applyNumberFormat="1" applyFont="1" applyFill="1" applyBorder="1" applyAlignment="1" applyProtection="1">
      <alignment horizontal="right"/>
      <protection locked="0"/>
    </xf>
    <xf numFmtId="168" fontId="11" fillId="2" borderId="21" xfId="1" applyNumberFormat="1" applyFont="1" applyFill="1" applyBorder="1" applyAlignment="1" applyProtection="1">
      <alignment horizontal="right"/>
      <protection locked="0"/>
    </xf>
    <xf numFmtId="9" fontId="11" fillId="2" borderId="19" xfId="1" applyFont="1" applyFill="1" applyBorder="1" applyAlignment="1" applyProtection="1">
      <alignment horizontal="center"/>
      <protection locked="0"/>
    </xf>
    <xf numFmtId="168" fontId="11" fillId="2" borderId="17" xfId="1" applyNumberFormat="1" applyFont="1" applyFill="1" applyBorder="1" applyAlignment="1" applyProtection="1">
      <alignment horizontal="right"/>
      <protection locked="0"/>
    </xf>
    <xf numFmtId="9" fontId="4" fillId="2" borderId="19" xfId="1" applyFont="1" applyFill="1" applyBorder="1" applyAlignment="1" applyProtection="1">
      <alignment horizontal="center"/>
      <protection locked="0"/>
    </xf>
    <xf numFmtId="0" fontId="22" fillId="2" borderId="17" xfId="0" applyFont="1" applyFill="1" applyBorder="1" applyAlignment="1" applyProtection="1">
      <alignment horizontal="center" vertical="center"/>
      <protection locked="0"/>
    </xf>
    <xf numFmtId="3" fontId="22" fillId="2" borderId="17" xfId="26" applyFont="1" applyFill="1" applyBorder="1" applyAlignment="1">
      <alignment horizontal="left"/>
    </xf>
    <xf numFmtId="0" fontId="27" fillId="2" borderId="39" xfId="0" applyFont="1" applyFill="1" applyBorder="1" applyAlignment="1">
      <alignment horizontal="center" vertical="center"/>
    </xf>
    <xf numFmtId="0" fontId="28" fillId="0" borderId="0" xfId="0" applyFont="1" applyFill="1" applyProtection="1">
      <protection locked="0"/>
    </xf>
    <xf numFmtId="0" fontId="30" fillId="0" borderId="0" xfId="0" applyFont="1"/>
    <xf numFmtId="0" fontId="31" fillId="0" borderId="0" xfId="0" applyFont="1" applyFill="1" applyProtection="1">
      <protection locked="0"/>
    </xf>
    <xf numFmtId="0" fontId="32" fillId="0" borderId="0" xfId="0" applyFont="1" applyFill="1" applyAlignment="1" applyProtection="1">
      <alignment vertical="center"/>
      <protection locked="0"/>
    </xf>
    <xf numFmtId="0" fontId="33" fillId="0" borderId="0" xfId="0" applyFont="1" applyFill="1" applyAlignment="1" applyProtection="1">
      <alignment horizontal="right" vertical="center"/>
      <protection locked="0"/>
    </xf>
    <xf numFmtId="0" fontId="34" fillId="0" borderId="0" xfId="0" applyFont="1" applyFill="1" applyAlignment="1" applyProtection="1">
      <alignment horizontal="center"/>
      <protection locked="0"/>
    </xf>
    <xf numFmtId="0" fontId="28" fillId="0" borderId="0" xfId="0" applyFont="1" applyFill="1" applyProtection="1"/>
    <xf numFmtId="0" fontId="32" fillId="0" borderId="12" xfId="0" applyFont="1" applyFill="1" applyBorder="1" applyAlignment="1" applyProtection="1">
      <alignment horizontal="center"/>
    </xf>
    <xf numFmtId="0" fontId="32" fillId="0" borderId="13" xfId="0" applyFont="1" applyFill="1" applyBorder="1" applyAlignment="1" applyProtection="1">
      <alignment horizontal="center"/>
    </xf>
    <xf numFmtId="0" fontId="32" fillId="6" borderId="14" xfId="0" applyFont="1" applyFill="1" applyBorder="1" applyProtection="1"/>
    <xf numFmtId="169" fontId="28" fillId="6" borderId="15" xfId="21" applyNumberFormat="1" applyFont="1" applyFill="1" applyBorder="1" applyAlignment="1" applyProtection="1">
      <alignment horizontal="center"/>
    </xf>
    <xf numFmtId="169" fontId="28" fillId="6" borderId="16" xfId="21" applyNumberFormat="1" applyFont="1" applyFill="1" applyBorder="1" applyAlignment="1" applyProtection="1">
      <alignment horizontal="center"/>
    </xf>
    <xf numFmtId="3" fontId="28" fillId="6" borderId="14" xfId="0" applyNumberFormat="1" applyFont="1" applyFill="1" applyBorder="1" applyAlignment="1" applyProtection="1">
      <alignment horizontal="center"/>
    </xf>
    <xf numFmtId="3" fontId="28" fillId="6" borderId="6" xfId="0" applyNumberFormat="1" applyFont="1" applyFill="1" applyBorder="1" applyAlignment="1" applyProtection="1">
      <alignment horizontal="center"/>
    </xf>
    <xf numFmtId="3" fontId="28" fillId="6" borderId="3" xfId="22" applyNumberFormat="1" applyFont="1" applyFill="1" applyBorder="1" applyAlignment="1" applyProtection="1">
      <alignment horizontal="center"/>
    </xf>
    <xf numFmtId="169" fontId="28" fillId="6" borderId="5" xfId="21" applyNumberFormat="1" applyFont="1" applyFill="1" applyBorder="1" applyAlignment="1" applyProtection="1">
      <alignment horizontal="center"/>
    </xf>
    <xf numFmtId="169" fontId="28" fillId="6" borderId="8" xfId="21" applyNumberFormat="1" applyFont="1" applyFill="1" applyBorder="1" applyAlignment="1" applyProtection="1">
      <alignment horizontal="right"/>
    </xf>
    <xf numFmtId="3" fontId="28" fillId="0" borderId="17" xfId="22" applyNumberFormat="1" applyFont="1" applyFill="1" applyBorder="1" applyProtection="1"/>
    <xf numFmtId="169" fontId="28" fillId="0" borderId="18" xfId="21" applyNumberFormat="1" applyFont="1" applyFill="1" applyBorder="1" applyAlignment="1" applyProtection="1">
      <alignment horizontal="center"/>
    </xf>
    <xf numFmtId="169" fontId="28" fillId="0" borderId="19" xfId="21" applyNumberFormat="1" applyFont="1" applyFill="1" applyBorder="1" applyAlignment="1" applyProtection="1">
      <alignment horizontal="center"/>
    </xf>
    <xf numFmtId="3" fontId="28" fillId="0" borderId="17" xfId="22" applyNumberFormat="1" applyFont="1" applyFill="1" applyBorder="1" applyAlignment="1" applyProtection="1">
      <alignment horizontal="center"/>
    </xf>
    <xf numFmtId="3" fontId="28" fillId="0" borderId="0" xfId="22" applyNumberFormat="1" applyFont="1" applyFill="1" applyBorder="1" applyAlignment="1" applyProtection="1">
      <alignment horizontal="center"/>
    </xf>
    <xf numFmtId="3" fontId="28" fillId="0" borderId="18" xfId="22" applyNumberFormat="1" applyFont="1" applyFill="1" applyBorder="1" applyAlignment="1" applyProtection="1">
      <alignment horizontal="center"/>
    </xf>
    <xf numFmtId="169" fontId="28" fillId="0" borderId="17" xfId="21" applyNumberFormat="1" applyFont="1" applyFill="1" applyBorder="1" applyAlignment="1" applyProtection="1">
      <alignment horizontal="center"/>
    </xf>
    <xf numFmtId="169" fontId="28" fillId="0" borderId="20" xfId="21" applyNumberFormat="1" applyFont="1" applyFill="1" applyBorder="1" applyAlignment="1" applyProtection="1">
      <alignment horizontal="center"/>
    </xf>
    <xf numFmtId="0" fontId="32" fillId="6" borderId="17" xfId="0" applyFont="1" applyFill="1" applyBorder="1" applyProtection="1"/>
    <xf numFmtId="169" fontId="28" fillId="6" borderId="18" xfId="21" applyNumberFormat="1" applyFont="1" applyFill="1" applyBorder="1" applyAlignment="1" applyProtection="1">
      <alignment horizontal="center"/>
    </xf>
    <xf numFmtId="169" fontId="28" fillId="6" borderId="19" xfId="21" applyNumberFormat="1" applyFont="1" applyFill="1" applyBorder="1" applyAlignment="1" applyProtection="1">
      <alignment horizontal="center"/>
    </xf>
    <xf numFmtId="0" fontId="32" fillId="6" borderId="21" xfId="0" applyFont="1" applyFill="1" applyBorder="1" applyProtection="1"/>
    <xf numFmtId="0" fontId="32" fillId="6" borderId="22" xfId="0" applyFont="1" applyFill="1" applyBorder="1" applyProtection="1"/>
    <xf numFmtId="169" fontId="28" fillId="6" borderId="1" xfId="21" applyNumberFormat="1" applyFont="1" applyFill="1" applyBorder="1" applyAlignment="1" applyProtection="1">
      <alignment horizontal="center"/>
    </xf>
    <xf numFmtId="169" fontId="28" fillId="6" borderId="23" xfId="21" applyNumberFormat="1" applyFont="1" applyFill="1" applyBorder="1" applyAlignment="1" applyProtection="1">
      <alignment horizontal="center"/>
    </xf>
    <xf numFmtId="3" fontId="28" fillId="6" borderId="24" xfId="22" applyNumberFormat="1" applyFont="1" applyFill="1" applyBorder="1" applyAlignment="1" applyProtection="1">
      <alignment horizontal="center"/>
    </xf>
    <xf numFmtId="3" fontId="28" fillId="6" borderId="25" xfId="22" applyNumberFormat="1" applyFont="1" applyFill="1" applyBorder="1" applyAlignment="1" applyProtection="1">
      <alignment horizontal="center"/>
    </xf>
    <xf numFmtId="3" fontId="28" fillId="6" borderId="1" xfId="22" applyNumberFormat="1" applyFont="1" applyFill="1" applyBorder="1" applyAlignment="1" applyProtection="1">
      <alignment horizontal="center"/>
    </xf>
    <xf numFmtId="0" fontId="32" fillId="7" borderId="21" xfId="0" applyFont="1" applyFill="1" applyBorder="1" applyProtection="1"/>
    <xf numFmtId="169" fontId="28" fillId="7" borderId="18" xfId="21" applyNumberFormat="1" applyFont="1" applyFill="1" applyBorder="1" applyAlignment="1" applyProtection="1">
      <alignment horizontal="center"/>
    </xf>
    <xf numFmtId="169" fontId="28" fillId="7" borderId="19" xfId="21" applyNumberFormat="1" applyFont="1" applyFill="1" applyBorder="1" applyAlignment="1" applyProtection="1">
      <alignment horizontal="center"/>
    </xf>
    <xf numFmtId="3" fontId="28" fillId="7" borderId="17" xfId="22" applyNumberFormat="1" applyFont="1" applyFill="1" applyBorder="1" applyAlignment="1" applyProtection="1">
      <alignment horizontal="center"/>
    </xf>
    <xf numFmtId="3" fontId="28" fillId="7" borderId="0" xfId="22" applyNumberFormat="1" applyFont="1" applyFill="1" applyBorder="1" applyAlignment="1" applyProtection="1">
      <alignment horizontal="center"/>
    </xf>
    <xf numFmtId="3" fontId="28" fillId="7" borderId="18" xfId="22" applyNumberFormat="1" applyFont="1" applyFill="1" applyBorder="1" applyAlignment="1" applyProtection="1">
      <alignment horizontal="center"/>
    </xf>
    <xf numFmtId="3" fontId="28" fillId="7" borderId="5" xfId="22" applyNumberFormat="1" applyFont="1" applyFill="1" applyBorder="1" applyAlignment="1" applyProtection="1">
      <alignment horizontal="right"/>
    </xf>
    <xf numFmtId="3" fontId="28" fillId="7" borderId="8" xfId="22" applyNumberFormat="1" applyFont="1" applyFill="1" applyBorder="1" applyAlignment="1" applyProtection="1">
      <alignment horizontal="right"/>
    </xf>
    <xf numFmtId="3" fontId="36" fillId="0" borderId="17" xfId="22" applyNumberFormat="1" applyFont="1" applyFill="1" applyBorder="1" applyProtection="1"/>
    <xf numFmtId="0" fontId="32" fillId="6" borderId="26" xfId="0" applyFont="1" applyFill="1" applyBorder="1" applyProtection="1"/>
    <xf numFmtId="169" fontId="32" fillId="6" borderId="27" xfId="21" applyNumberFormat="1" applyFont="1" applyFill="1" applyBorder="1" applyProtection="1"/>
    <xf numFmtId="0" fontId="32" fillId="6" borderId="28" xfId="0" applyFont="1" applyFill="1" applyBorder="1" applyProtection="1"/>
    <xf numFmtId="3" fontId="28" fillId="6" borderId="26" xfId="0" applyNumberFormat="1" applyFont="1" applyFill="1" applyBorder="1" applyAlignment="1" applyProtection="1">
      <alignment horizontal="center"/>
    </xf>
    <xf numFmtId="3" fontId="28" fillId="6" borderId="29" xfId="0" applyNumberFormat="1" applyFont="1" applyFill="1" applyBorder="1" applyAlignment="1" applyProtection="1">
      <alignment horizontal="center"/>
    </xf>
    <xf numFmtId="3" fontId="28" fillId="6" borderId="30" xfId="0" applyNumberFormat="1" applyFont="1" applyFill="1" applyBorder="1" applyAlignment="1" applyProtection="1">
      <alignment horizontal="center"/>
    </xf>
    <xf numFmtId="169" fontId="28" fillId="6" borderId="31" xfId="21" applyNumberFormat="1" applyFont="1" applyFill="1" applyBorder="1" applyAlignment="1" applyProtection="1">
      <alignment horizontal="center"/>
    </xf>
    <xf numFmtId="169" fontId="28" fillId="6" borderId="33" xfId="21" applyNumberFormat="1" applyFont="1" applyFill="1" applyBorder="1" applyAlignment="1" applyProtection="1">
      <alignment horizontal="right"/>
    </xf>
    <xf numFmtId="0" fontId="32" fillId="0" borderId="0" xfId="0" applyFont="1" applyFill="1" applyBorder="1" applyProtection="1"/>
    <xf numFmtId="0" fontId="28" fillId="0" borderId="0" xfId="0" applyFont="1" applyFill="1" applyBorder="1" applyProtection="1"/>
    <xf numFmtId="3" fontId="28" fillId="0" borderId="0" xfId="0" applyNumberFormat="1" applyFont="1" applyFill="1" applyBorder="1" applyAlignment="1" applyProtection="1">
      <alignment horizontal="center"/>
    </xf>
    <xf numFmtId="3" fontId="28" fillId="0" borderId="0" xfId="22" applyNumberFormat="1" applyFont="1" applyFill="1" applyBorder="1" applyAlignment="1" applyProtection="1"/>
    <xf numFmtId="3" fontId="28" fillId="0" borderId="0" xfId="22" applyNumberFormat="1" applyFont="1" applyFill="1" applyBorder="1" applyAlignment="1" applyProtection="1">
      <alignment horizontal="right"/>
    </xf>
    <xf numFmtId="9" fontId="28" fillId="0" borderId="0" xfId="1" applyFont="1" applyFill="1" applyBorder="1" applyAlignment="1" applyProtection="1">
      <alignment horizontal="center"/>
    </xf>
    <xf numFmtId="3" fontId="28" fillId="6" borderId="5" xfId="0" applyNumberFormat="1" applyFont="1" applyFill="1" applyBorder="1" applyAlignment="1" applyProtection="1">
      <alignment horizontal="center"/>
    </xf>
    <xf numFmtId="3" fontId="28" fillId="6" borderId="4" xfId="22" applyNumberFormat="1" applyFont="1" applyFill="1" applyBorder="1" applyAlignment="1" applyProtection="1">
      <alignment horizontal="center"/>
    </xf>
    <xf numFmtId="3" fontId="28" fillId="0" borderId="19" xfId="22" applyNumberFormat="1" applyFont="1" applyFill="1" applyBorder="1" applyAlignment="1" applyProtection="1">
      <alignment horizontal="center"/>
    </xf>
    <xf numFmtId="3" fontId="28" fillId="0" borderId="12" xfId="22" applyNumberFormat="1" applyFont="1" applyFill="1" applyBorder="1" applyAlignment="1" applyProtection="1">
      <alignment horizontal="center"/>
    </xf>
    <xf numFmtId="3" fontId="28" fillId="0" borderId="13" xfId="22" applyNumberFormat="1" applyFont="1" applyFill="1" applyBorder="1" applyAlignment="1" applyProtection="1">
      <alignment horizontal="center"/>
    </xf>
    <xf numFmtId="3" fontId="28" fillId="0" borderId="49" xfId="22" applyNumberFormat="1" applyFont="1" applyFill="1" applyBorder="1" applyAlignment="1" applyProtection="1">
      <alignment horizontal="center"/>
    </xf>
    <xf numFmtId="0" fontId="32" fillId="6" borderId="5" xfId="0" applyFont="1" applyFill="1" applyBorder="1" applyProtection="1"/>
    <xf numFmtId="169" fontId="28" fillId="6" borderId="3" xfId="21" applyNumberFormat="1" applyFont="1" applyFill="1" applyBorder="1" applyAlignment="1" applyProtection="1">
      <alignment horizontal="center"/>
    </xf>
    <xf numFmtId="169" fontId="28" fillId="6" borderId="4" xfId="21" applyNumberFormat="1" applyFont="1" applyFill="1" applyBorder="1" applyAlignment="1" applyProtection="1">
      <alignment horizontal="center"/>
    </xf>
    <xf numFmtId="3" fontId="28" fillId="0" borderId="12" xfId="22" applyNumberFormat="1" applyFont="1" applyFill="1" applyBorder="1" applyProtection="1"/>
    <xf numFmtId="169" fontId="28" fillId="0" borderId="50" xfId="21" applyNumberFormat="1" applyFont="1" applyFill="1" applyBorder="1" applyAlignment="1" applyProtection="1">
      <alignment horizontal="center"/>
    </xf>
    <xf numFmtId="169" fontId="28" fillId="0" borderId="49" xfId="21" applyNumberFormat="1" applyFont="1" applyFill="1" applyBorder="1" applyAlignment="1" applyProtection="1">
      <alignment horizontal="center"/>
    </xf>
    <xf numFmtId="0" fontId="32" fillId="6" borderId="2" xfId="0" applyFont="1" applyFill="1" applyBorder="1" applyProtection="1"/>
    <xf numFmtId="0" fontId="32" fillId="6" borderId="12" xfId="0" applyFont="1" applyFill="1" applyBorder="1" applyProtection="1"/>
    <xf numFmtId="169" fontId="32" fillId="6" borderId="38" xfId="21" applyNumberFormat="1" applyFont="1" applyFill="1" applyBorder="1" applyProtection="1"/>
    <xf numFmtId="0" fontId="32" fillId="6" borderId="46" xfId="0" applyFont="1" applyFill="1" applyBorder="1" applyProtection="1"/>
    <xf numFmtId="0" fontId="32" fillId="6" borderId="44" xfId="0" applyFont="1" applyFill="1" applyBorder="1" applyProtection="1"/>
    <xf numFmtId="169" fontId="28" fillId="6" borderId="51" xfId="21" applyNumberFormat="1" applyFont="1" applyFill="1" applyBorder="1" applyAlignment="1" applyProtection="1">
      <alignment horizontal="center"/>
    </xf>
    <xf numFmtId="169" fontId="28" fillId="6" borderId="45" xfId="21" applyNumberFormat="1" applyFont="1" applyFill="1" applyBorder="1" applyAlignment="1" applyProtection="1">
      <alignment horizontal="center"/>
    </xf>
    <xf numFmtId="3" fontId="36" fillId="0" borderId="12" xfId="22" applyNumberFormat="1" applyFont="1" applyFill="1" applyBorder="1" applyProtection="1"/>
    <xf numFmtId="3" fontId="28" fillId="6" borderId="12" xfId="0" applyNumberFormat="1" applyFont="1" applyFill="1" applyBorder="1" applyAlignment="1" applyProtection="1">
      <alignment horizontal="center"/>
    </xf>
    <xf numFmtId="3" fontId="28" fillId="6" borderId="13" xfId="0" applyNumberFormat="1" applyFont="1" applyFill="1" applyBorder="1" applyAlignment="1" applyProtection="1">
      <alignment horizontal="center"/>
    </xf>
    <xf numFmtId="3" fontId="28" fillId="6" borderId="50" xfId="0" applyNumberFormat="1" applyFont="1" applyFill="1" applyBorder="1" applyAlignment="1" applyProtection="1">
      <alignment horizontal="center"/>
    </xf>
    <xf numFmtId="3" fontId="28" fillId="6" borderId="52" xfId="22" applyNumberFormat="1" applyFont="1" applyFill="1" applyBorder="1" applyAlignment="1" applyProtection="1">
      <alignment horizontal="center"/>
    </xf>
    <xf numFmtId="3" fontId="28" fillId="6" borderId="53" xfId="22" applyNumberFormat="1" applyFont="1" applyFill="1" applyBorder="1" applyAlignment="1" applyProtection="1">
      <alignment horizontal="center"/>
    </xf>
    <xf numFmtId="3" fontId="28" fillId="6" borderId="45" xfId="22" applyNumberFormat="1" applyFont="1" applyFill="1" applyBorder="1" applyAlignment="1" applyProtection="1">
      <alignment horizontal="center"/>
    </xf>
    <xf numFmtId="3" fontId="28" fillId="7" borderId="19" xfId="22" applyNumberFormat="1" applyFont="1" applyFill="1" applyBorder="1" applyAlignment="1" applyProtection="1">
      <alignment horizontal="center"/>
    </xf>
    <xf numFmtId="165" fontId="0" fillId="2" borderId="0" xfId="0" applyNumberFormat="1" applyFill="1"/>
    <xf numFmtId="0" fontId="0" fillId="2" borderId="0" xfId="0" applyFill="1" applyAlignment="1">
      <alignment horizontal="center"/>
    </xf>
    <xf numFmtId="0" fontId="37" fillId="2" borderId="0" xfId="0" applyFont="1" applyFill="1"/>
    <xf numFmtId="0" fontId="21" fillId="2" borderId="39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41" xfId="0" applyFont="1" applyFill="1" applyBorder="1"/>
    <xf numFmtId="0" fontId="0" fillId="2" borderId="0" xfId="0" applyFill="1" applyBorder="1" applyAlignment="1">
      <alignment horizontal="center"/>
    </xf>
    <xf numFmtId="9" fontId="8" fillId="2" borderId="20" xfId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8" fillId="2" borderId="39" xfId="0" applyFont="1" applyFill="1" applyBorder="1"/>
    <xf numFmtId="0" fontId="8" fillId="2" borderId="32" xfId="0" applyFont="1" applyFill="1" applyBorder="1" applyAlignment="1">
      <alignment horizontal="center"/>
    </xf>
    <xf numFmtId="9" fontId="8" fillId="2" borderId="33" xfId="1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17" fontId="4" fillId="12" borderId="1" xfId="0" applyNumberFormat="1" applyFont="1" applyFill="1" applyBorder="1" applyAlignment="1">
      <alignment horizontal="center" vertical="center"/>
    </xf>
    <xf numFmtId="0" fontId="5" fillId="2" borderId="0" xfId="2" applyFont="1" applyFill="1" applyProtection="1">
      <protection locked="0"/>
    </xf>
    <xf numFmtId="0" fontId="7" fillId="2" borderId="0" xfId="2" applyFont="1" applyFill="1" applyBorder="1" applyAlignment="1" applyProtection="1">
      <alignment horizontal="center"/>
      <protection locked="0"/>
    </xf>
    <xf numFmtId="0" fontId="5" fillId="2" borderId="55" xfId="2" applyFont="1" applyFill="1" applyBorder="1" applyProtection="1">
      <protection locked="0"/>
    </xf>
    <xf numFmtId="165" fontId="5" fillId="2" borderId="9" xfId="2" applyNumberFormat="1" applyFont="1" applyFill="1" applyBorder="1" applyProtection="1">
      <protection locked="0"/>
    </xf>
    <xf numFmtId="165" fontId="5" fillId="2" borderId="11" xfId="2" applyNumberFormat="1" applyFont="1" applyFill="1" applyBorder="1" applyProtection="1">
      <protection locked="0"/>
    </xf>
    <xf numFmtId="0" fontId="5" fillId="2" borderId="47" xfId="2" applyFont="1" applyFill="1" applyBorder="1" applyProtection="1">
      <protection locked="0"/>
    </xf>
    <xf numFmtId="165" fontId="5" fillId="2" borderId="22" xfId="2" applyNumberFormat="1" applyFont="1" applyFill="1" applyBorder="1" applyProtection="1"/>
    <xf numFmtId="165" fontId="5" fillId="2" borderId="23" xfId="2" applyNumberFormat="1" applyFont="1" applyFill="1" applyBorder="1" applyProtection="1">
      <protection locked="0"/>
    </xf>
    <xf numFmtId="165" fontId="5" fillId="2" borderId="22" xfId="2" applyNumberFormat="1" applyFont="1" applyFill="1" applyBorder="1" applyProtection="1">
      <protection locked="0"/>
    </xf>
    <xf numFmtId="165" fontId="5" fillId="2" borderId="23" xfId="2" applyNumberFormat="1" applyFont="1" applyFill="1" applyBorder="1" applyProtection="1"/>
    <xf numFmtId="0" fontId="5" fillId="2" borderId="48" xfId="2" applyFont="1" applyFill="1" applyBorder="1" applyProtection="1">
      <protection locked="0"/>
    </xf>
    <xf numFmtId="165" fontId="5" fillId="2" borderId="35" xfId="2" applyNumberFormat="1" applyFont="1" applyFill="1" applyBorder="1" applyProtection="1"/>
    <xf numFmtId="165" fontId="5" fillId="2" borderId="16" xfId="2" applyNumberFormat="1" applyFont="1" applyFill="1" applyBorder="1" applyProtection="1"/>
    <xf numFmtId="165" fontId="7" fillId="2" borderId="42" xfId="2" applyNumberFormat="1" applyFont="1" applyFill="1" applyBorder="1" applyProtection="1"/>
    <xf numFmtId="165" fontId="7" fillId="2" borderId="43" xfId="2" applyNumberFormat="1" applyFont="1" applyFill="1" applyBorder="1" applyProtection="1"/>
    <xf numFmtId="165" fontId="20" fillId="2" borderId="0" xfId="0" applyNumberFormat="1" applyFont="1" applyFill="1"/>
    <xf numFmtId="0" fontId="26" fillId="2" borderId="39" xfId="2" applyFont="1" applyFill="1" applyBorder="1" applyAlignment="1" applyProtection="1">
      <alignment horizontal="center"/>
      <protection locked="0"/>
    </xf>
    <xf numFmtId="0" fontId="7" fillId="12" borderId="36" xfId="2" applyFont="1" applyFill="1" applyBorder="1" applyAlignment="1" applyProtection="1">
      <alignment horizontal="center"/>
      <protection locked="0"/>
    </xf>
    <xf numFmtId="0" fontId="7" fillId="12" borderId="37" xfId="2" applyFont="1" applyFill="1" applyBorder="1" applyAlignment="1" applyProtection="1">
      <alignment horizontal="center"/>
      <protection locked="0"/>
    </xf>
    <xf numFmtId="0" fontId="38" fillId="12" borderId="31" xfId="0" applyFont="1" applyFill="1" applyBorder="1" applyAlignment="1">
      <alignment horizontal="center" vertical="center"/>
    </xf>
    <xf numFmtId="0" fontId="38" fillId="12" borderId="32" xfId="0" applyFont="1" applyFill="1" applyBorder="1" applyAlignment="1">
      <alignment horizontal="center" vertical="center"/>
    </xf>
    <xf numFmtId="0" fontId="38" fillId="12" borderId="39" xfId="0" applyFont="1" applyFill="1" applyBorder="1" applyAlignment="1">
      <alignment horizontal="center" vertical="center"/>
    </xf>
    <xf numFmtId="0" fontId="24" fillId="2" borderId="40" xfId="0" applyFont="1" applyFill="1" applyBorder="1"/>
    <xf numFmtId="165" fontId="24" fillId="2" borderId="0" xfId="0" applyNumberFormat="1" applyFont="1" applyFill="1"/>
    <xf numFmtId="165" fontId="24" fillId="2" borderId="41" xfId="0" applyNumberFormat="1" applyFont="1" applyFill="1" applyBorder="1"/>
    <xf numFmtId="0" fontId="24" fillId="2" borderId="41" xfId="0" applyFont="1" applyFill="1" applyBorder="1"/>
    <xf numFmtId="0" fontId="4" fillId="2" borderId="0" xfId="0" applyFont="1" applyFill="1" applyBorder="1"/>
    <xf numFmtId="165" fontId="4" fillId="2" borderId="0" xfId="0" applyNumberFormat="1" applyFont="1" applyFill="1" applyBorder="1"/>
    <xf numFmtId="0" fontId="39" fillId="3" borderId="39" xfId="0" applyFont="1" applyFill="1" applyBorder="1" applyAlignment="1">
      <alignment horizontal="center" vertical="center" wrapText="1"/>
    </xf>
    <xf numFmtId="0" fontId="39" fillId="3" borderId="33" xfId="0" applyFont="1" applyFill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40" fillId="0" borderId="46" xfId="0" applyFont="1" applyBorder="1" applyAlignment="1">
      <alignment horizontal="left" vertical="center" wrapText="1"/>
    </xf>
    <xf numFmtId="0" fontId="40" fillId="0" borderId="46" xfId="0" applyFont="1" applyBorder="1" applyAlignment="1">
      <alignment horizontal="center" vertical="center"/>
    </xf>
    <xf numFmtId="0" fontId="40" fillId="0" borderId="54" xfId="0" applyFont="1" applyBorder="1" applyAlignment="1">
      <alignment horizontal="center" vertical="center" wrapText="1"/>
    </xf>
    <xf numFmtId="0" fontId="9" fillId="3" borderId="39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22" fillId="3" borderId="33" xfId="0" applyFont="1" applyFill="1" applyBorder="1" applyAlignment="1">
      <alignment horizontal="center" vertical="center" wrapText="1"/>
    </xf>
    <xf numFmtId="0" fontId="41" fillId="2" borderId="0" xfId="0" applyFont="1" applyFill="1"/>
    <xf numFmtId="0" fontId="4" fillId="0" borderId="54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left" vertical="center" wrapText="1"/>
    </xf>
    <xf numFmtId="0" fontId="10" fillId="0" borderId="46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/>
    </xf>
    <xf numFmtId="0" fontId="4" fillId="0" borderId="46" xfId="0" applyFont="1" applyBorder="1" applyAlignment="1">
      <alignment vertical="center"/>
    </xf>
    <xf numFmtId="0" fontId="42" fillId="0" borderId="46" xfId="0" applyFont="1" applyBorder="1" applyAlignment="1">
      <alignment horizontal="left" vertical="center" wrapText="1"/>
    </xf>
    <xf numFmtId="0" fontId="39" fillId="3" borderId="33" xfId="0" applyFont="1" applyFill="1" applyBorder="1" applyAlignment="1">
      <alignment horizontal="center" vertical="center"/>
    </xf>
    <xf numFmtId="0" fontId="40" fillId="0" borderId="54" xfId="0" applyFont="1" applyBorder="1" applyAlignment="1">
      <alignment horizontal="left" vertical="center" wrapText="1"/>
    </xf>
    <xf numFmtId="0" fontId="22" fillId="2" borderId="17" xfId="0" applyFont="1" applyFill="1" applyBorder="1" applyAlignment="1" applyProtection="1">
      <alignment horizontal="center" vertical="center"/>
      <protection locked="0"/>
    </xf>
    <xf numFmtId="1" fontId="22" fillId="2" borderId="19" xfId="21" applyNumberFormat="1" applyFont="1" applyFill="1" applyBorder="1" applyAlignment="1" applyProtection="1">
      <alignment horizontal="center" vertical="center" wrapText="1"/>
      <protection locked="0"/>
    </xf>
    <xf numFmtId="0" fontId="27" fillId="2" borderId="31" xfId="0" applyFont="1" applyFill="1" applyBorder="1" applyAlignment="1">
      <alignment horizontal="center" vertical="center"/>
    </xf>
    <xf numFmtId="0" fontId="44" fillId="0" borderId="0" xfId="34" applyFont="1" applyAlignment="1">
      <alignment wrapText="1"/>
    </xf>
    <xf numFmtId="0" fontId="7" fillId="12" borderId="1" xfId="34" applyFont="1" applyFill="1" applyBorder="1" applyAlignment="1">
      <alignment wrapText="1"/>
    </xf>
    <xf numFmtId="0" fontId="7" fillId="12" borderId="56" xfId="34" applyFont="1" applyFill="1" applyBorder="1" applyAlignment="1">
      <alignment wrapText="1"/>
    </xf>
    <xf numFmtId="0" fontId="7" fillId="12" borderId="44" xfId="34" applyFont="1" applyFill="1" applyBorder="1" applyAlignment="1">
      <alignment wrapText="1"/>
    </xf>
    <xf numFmtId="0" fontId="7" fillId="12" borderId="45" xfId="34" applyFont="1" applyFill="1" applyBorder="1" applyAlignment="1">
      <alignment wrapText="1"/>
    </xf>
    <xf numFmtId="0" fontId="5" fillId="0" borderId="1" xfId="34" applyFont="1" applyBorder="1" applyAlignment="1">
      <alignment wrapText="1"/>
    </xf>
    <xf numFmtId="170" fontId="5" fillId="0" borderId="1" xfId="34" applyNumberFormat="1" applyFont="1" applyBorder="1" applyAlignment="1">
      <alignment wrapText="1"/>
    </xf>
    <xf numFmtId="168" fontId="7" fillId="0" borderId="1" xfId="35" applyNumberFormat="1" applyFont="1" applyBorder="1" applyAlignment="1">
      <alignment wrapText="1"/>
    </xf>
    <xf numFmtId="170" fontId="5" fillId="0" borderId="56" xfId="34" applyNumberFormat="1" applyFont="1" applyBorder="1" applyAlignment="1">
      <alignment wrapText="1"/>
    </xf>
    <xf numFmtId="168" fontId="5" fillId="0" borderId="56" xfId="35" applyNumberFormat="1" applyFont="1" applyBorder="1" applyAlignment="1">
      <alignment wrapText="1"/>
    </xf>
    <xf numFmtId="4" fontId="7" fillId="0" borderId="22" xfId="34" applyNumberFormat="1" applyFont="1" applyBorder="1" applyAlignment="1">
      <alignment wrapText="1"/>
    </xf>
    <xf numFmtId="168" fontId="5" fillId="0" borderId="23" xfId="35" applyNumberFormat="1" applyFont="1" applyBorder="1" applyAlignment="1">
      <alignment wrapText="1"/>
    </xf>
    <xf numFmtId="0" fontId="45" fillId="0" borderId="1" xfId="34" applyNumberFormat="1" applyFont="1" applyFill="1" applyBorder="1" applyAlignment="1" applyProtection="1">
      <alignment wrapText="1"/>
      <protection locked="0"/>
    </xf>
    <xf numFmtId="168" fontId="5" fillId="0" borderId="1" xfId="35" applyNumberFormat="1" applyFont="1" applyBorder="1" applyAlignment="1">
      <alignment wrapText="1"/>
    </xf>
    <xf numFmtId="4" fontId="5" fillId="0" borderId="22" xfId="34" applyNumberFormat="1" applyFont="1" applyBorder="1" applyAlignment="1">
      <alignment wrapText="1"/>
    </xf>
    <xf numFmtId="170" fontId="5" fillId="0" borderId="0" xfId="34" applyNumberFormat="1" applyFont="1" applyAlignment="1">
      <alignment wrapText="1"/>
    </xf>
    <xf numFmtId="168" fontId="5" fillId="0" borderId="0" xfId="35" applyNumberFormat="1" applyFont="1" applyAlignment="1">
      <alignment wrapText="1"/>
    </xf>
    <xf numFmtId="0" fontId="5" fillId="0" borderId="22" xfId="34" applyFont="1" applyBorder="1" applyAlignment="1">
      <alignment wrapText="1"/>
    </xf>
    <xf numFmtId="0" fontId="46" fillId="0" borderId="1" xfId="34" applyNumberFormat="1" applyFont="1" applyFill="1" applyBorder="1" applyAlignment="1">
      <alignment horizontal="left" wrapText="1"/>
    </xf>
    <xf numFmtId="170" fontId="7" fillId="0" borderId="1" xfId="34" applyNumberFormat="1" applyFont="1" applyBorder="1" applyAlignment="1">
      <alignment wrapText="1"/>
    </xf>
    <xf numFmtId="170" fontId="7" fillId="0" borderId="56" xfId="34" applyNumberFormat="1" applyFont="1" applyBorder="1" applyAlignment="1">
      <alignment wrapText="1"/>
    </xf>
    <xf numFmtId="168" fontId="7" fillId="0" borderId="56" xfId="35" applyNumberFormat="1" applyFont="1" applyBorder="1" applyAlignment="1">
      <alignment wrapText="1"/>
    </xf>
    <xf numFmtId="168" fontId="7" fillId="0" borderId="23" xfId="35" applyNumberFormat="1" applyFont="1" applyBorder="1" applyAlignment="1">
      <alignment wrapText="1"/>
    </xf>
    <xf numFmtId="0" fontId="45" fillId="0" borderId="1" xfId="34" applyNumberFormat="1" applyFont="1" applyFill="1" applyBorder="1" applyAlignment="1">
      <alignment horizontal="left" vertical="top" wrapText="1"/>
    </xf>
    <xf numFmtId="0" fontId="45" fillId="0" borderId="1" xfId="34" applyNumberFormat="1" applyFont="1" applyFill="1" applyBorder="1" applyAlignment="1">
      <alignment horizontal="left" wrapText="1"/>
    </xf>
    <xf numFmtId="0" fontId="45" fillId="0" borderId="0" xfId="34" applyNumberFormat="1" applyFont="1" applyFill="1" applyBorder="1" applyAlignment="1">
      <alignment wrapText="1"/>
    </xf>
    <xf numFmtId="0" fontId="46" fillId="0" borderId="1" xfId="34" applyNumberFormat="1" applyFont="1" applyFill="1" applyBorder="1" applyAlignment="1">
      <alignment horizontal="center" wrapText="1"/>
    </xf>
    <xf numFmtId="0" fontId="45" fillId="0" borderId="1" xfId="34" applyNumberFormat="1" applyFont="1" applyFill="1" applyBorder="1" applyAlignment="1">
      <alignment wrapText="1"/>
    </xf>
    <xf numFmtId="0" fontId="45" fillId="0" borderId="0" xfId="34" applyNumberFormat="1" applyFont="1" applyFill="1" applyBorder="1" applyAlignment="1" applyProtection="1">
      <alignment wrapText="1"/>
      <protection locked="0"/>
    </xf>
    <xf numFmtId="0" fontId="46" fillId="0" borderId="1" xfId="34" applyNumberFormat="1" applyFont="1" applyFill="1" applyBorder="1" applyAlignment="1">
      <alignment horizontal="center" vertical="top" wrapText="1"/>
    </xf>
    <xf numFmtId="0" fontId="47" fillId="0" borderId="0" xfId="34" applyFont="1" applyAlignment="1">
      <alignment wrapText="1"/>
    </xf>
    <xf numFmtId="0" fontId="45" fillId="0" borderId="1" xfId="34" applyNumberFormat="1" applyFont="1" applyFill="1" applyBorder="1" applyAlignment="1">
      <alignment vertical="top" wrapText="1"/>
    </xf>
    <xf numFmtId="4" fontId="7" fillId="0" borderId="36" xfId="34" applyNumberFormat="1" applyFont="1" applyBorder="1" applyAlignment="1">
      <alignment wrapText="1"/>
    </xf>
    <xf numFmtId="168" fontId="7" fillId="0" borderId="37" xfId="35" applyNumberFormat="1" applyFont="1" applyBorder="1" applyAlignment="1">
      <alignment wrapText="1"/>
    </xf>
    <xf numFmtId="0" fontId="44" fillId="0" borderId="0" xfId="34" applyFont="1" applyBorder="1" applyAlignment="1">
      <alignment wrapText="1"/>
    </xf>
    <xf numFmtId="4" fontId="47" fillId="0" borderId="0" xfId="34" applyNumberFormat="1" applyFont="1" applyBorder="1" applyAlignment="1">
      <alignment wrapText="1"/>
    </xf>
    <xf numFmtId="1" fontId="22" fillId="2" borderId="21" xfId="21" applyNumberFormat="1" applyFont="1" applyFill="1" applyBorder="1" applyAlignment="1" applyProtection="1">
      <alignment horizontal="center" vertical="center" wrapText="1"/>
      <protection locked="0"/>
    </xf>
    <xf numFmtId="3" fontId="22" fillId="2" borderId="31" xfId="26" applyFont="1" applyFill="1" applyBorder="1" applyAlignment="1">
      <alignment horizontal="left" vertical="center"/>
    </xf>
    <xf numFmtId="1" fontId="22" fillId="2" borderId="42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43" xfId="21" applyNumberFormat="1" applyFont="1" applyFill="1" applyBorder="1" applyAlignment="1" applyProtection="1">
      <alignment horizontal="center" vertical="center" wrapText="1"/>
      <protection locked="0"/>
    </xf>
    <xf numFmtId="1" fontId="22" fillId="13" borderId="42" xfId="21" applyNumberFormat="1" applyFont="1" applyFill="1" applyBorder="1" applyAlignment="1" applyProtection="1">
      <alignment horizontal="center" vertical="center" wrapText="1"/>
      <protection locked="0"/>
    </xf>
    <xf numFmtId="0" fontId="50" fillId="0" borderId="0" xfId="36" applyNumberFormat="1" applyFont="1" applyFill="1" applyAlignment="1">
      <alignment vertical="top"/>
    </xf>
    <xf numFmtId="43" fontId="50" fillId="0" borderId="0" xfId="37" applyFont="1" applyFill="1" applyAlignment="1">
      <alignment vertical="top"/>
    </xf>
    <xf numFmtId="0" fontId="51" fillId="0" borderId="0" xfId="36" applyNumberFormat="1" applyFont="1" applyFill="1" applyBorder="1" applyAlignment="1">
      <alignment horizontal="left" wrapText="1"/>
    </xf>
    <xf numFmtId="0" fontId="49" fillId="0" borderId="0" xfId="36" applyNumberFormat="1" applyFont="1" applyFill="1" applyBorder="1" applyAlignment="1">
      <alignment horizontal="left" wrapText="1"/>
    </xf>
    <xf numFmtId="0" fontId="51" fillId="0" borderId="0" xfId="36" applyNumberFormat="1" applyFont="1" applyFill="1" applyBorder="1" applyAlignment="1">
      <alignment horizontal="center" wrapText="1"/>
    </xf>
    <xf numFmtId="43" fontId="52" fillId="0" borderId="0" xfId="37" applyFont="1" applyFill="1" applyBorder="1" applyAlignment="1" applyProtection="1">
      <alignment horizontal="center"/>
      <protection locked="0"/>
    </xf>
    <xf numFmtId="0" fontId="52" fillId="0" borderId="0" xfId="36" applyNumberFormat="1" applyFont="1" applyFill="1" applyBorder="1" applyAlignment="1" applyProtection="1">
      <alignment horizontal="center"/>
      <protection locked="0"/>
    </xf>
    <xf numFmtId="4" fontId="52" fillId="0" borderId="0" xfId="36" applyNumberFormat="1" applyFont="1" applyFill="1" applyBorder="1" applyAlignment="1" applyProtection="1">
      <alignment horizontal="center"/>
      <protection locked="0"/>
    </xf>
    <xf numFmtId="0" fontId="53" fillId="0" borderId="0" xfId="36" applyNumberFormat="1" applyFont="1" applyFill="1" applyBorder="1" applyAlignment="1">
      <alignment horizontal="center"/>
    </xf>
    <xf numFmtId="0" fontId="54" fillId="0" borderId="0" xfId="36" applyNumberFormat="1" applyFont="1" applyFill="1" applyBorder="1" applyAlignment="1">
      <alignment horizontal="center"/>
    </xf>
    <xf numFmtId="0" fontId="54" fillId="0" borderId="0" xfId="36" applyNumberFormat="1" applyFont="1" applyFill="1" applyBorder="1" applyAlignment="1"/>
    <xf numFmtId="0" fontId="18" fillId="0" borderId="0" xfId="36" applyNumberFormat="1" applyFont="1" applyFill="1" applyBorder="1" applyAlignment="1" applyProtection="1">
      <protection locked="0"/>
    </xf>
    <xf numFmtId="4" fontId="14" fillId="0" borderId="0" xfId="36" applyNumberFormat="1" applyFont="1" applyFill="1" applyBorder="1" applyAlignment="1"/>
    <xf numFmtId="4" fontId="18" fillId="0" borderId="0" xfId="36" applyNumberFormat="1" applyFont="1" applyFill="1" applyBorder="1" applyAlignment="1"/>
    <xf numFmtId="43" fontId="50" fillId="0" borderId="0" xfId="36" applyNumberFormat="1" applyFont="1" applyFill="1" applyAlignment="1">
      <alignment vertical="top"/>
    </xf>
    <xf numFmtId="0" fontId="14" fillId="0" borderId="0" xfId="36" applyNumberFormat="1" applyFont="1" applyFill="1" applyBorder="1" applyAlignment="1" applyProtection="1">
      <protection locked="0"/>
    </xf>
    <xf numFmtId="0" fontId="14" fillId="0" borderId="0" xfId="38" applyNumberFormat="1" applyFont="1" applyFill="1" applyProtection="1">
      <protection locked="0"/>
    </xf>
    <xf numFmtId="4" fontId="14" fillId="0" borderId="0" xfId="36" applyNumberFormat="1" applyFont="1" applyFill="1" applyBorder="1" applyAlignment="1" applyProtection="1">
      <protection locked="0"/>
    </xf>
    <xf numFmtId="4" fontId="18" fillId="0" borderId="0" xfId="36" applyNumberFormat="1" applyFont="1" applyFill="1" applyBorder="1" applyAlignment="1" applyProtection="1">
      <protection locked="0"/>
    </xf>
    <xf numFmtId="0" fontId="14" fillId="0" borderId="0" xfId="38" applyNumberFormat="1" applyProtection="1">
      <protection locked="0"/>
    </xf>
    <xf numFmtId="0" fontId="14" fillId="0" borderId="0" xfId="38"/>
    <xf numFmtId="0" fontId="14" fillId="0" borderId="0" xfId="38" applyNumberFormat="1" applyFont="1" applyProtection="1">
      <protection locked="0"/>
    </xf>
    <xf numFmtId="4" fontId="52" fillId="0" borderId="0" xfId="36" applyNumberFormat="1" applyFont="1" applyFill="1" applyBorder="1" applyAlignment="1" applyProtection="1">
      <protection locked="0"/>
    </xf>
    <xf numFmtId="0" fontId="54" fillId="0" borderId="0" xfId="36" applyNumberFormat="1" applyFont="1" applyFill="1" applyBorder="1" applyAlignment="1">
      <alignment vertical="top"/>
    </xf>
    <xf numFmtId="0" fontId="14" fillId="0" borderId="0" xfId="36" applyNumberFormat="1" applyFont="1" applyFill="1" applyBorder="1" applyAlignment="1">
      <alignment vertical="top"/>
    </xf>
    <xf numFmtId="171" fontId="52" fillId="0" borderId="0" xfId="36" applyNumberFormat="1" applyFont="1" applyFill="1" applyBorder="1" applyAlignment="1" applyProtection="1">
      <protection locked="0"/>
    </xf>
    <xf numFmtId="171" fontId="52" fillId="0" borderId="57" xfId="36" applyNumberFormat="1" applyFont="1" applyFill="1" applyBorder="1" applyAlignment="1" applyProtection="1">
      <protection locked="0"/>
    </xf>
    <xf numFmtId="0" fontId="50" fillId="0" borderId="57" xfId="36" applyNumberFormat="1" applyFont="1" applyFill="1" applyBorder="1" applyAlignment="1">
      <alignment vertical="top"/>
    </xf>
    <xf numFmtId="0" fontId="52" fillId="0" borderId="0" xfId="36" applyNumberFormat="1" applyFont="1" applyFill="1" applyBorder="1" applyAlignment="1" applyProtection="1">
      <protection locked="0"/>
    </xf>
    <xf numFmtId="0" fontId="14" fillId="0" borderId="0" xfId="36" applyNumberFormat="1" applyFont="1" applyFill="1" applyBorder="1" applyAlignment="1"/>
    <xf numFmtId="171" fontId="14" fillId="0" borderId="0" xfId="36" applyNumberFormat="1" applyFont="1" applyFill="1" applyBorder="1" applyAlignment="1" applyProtection="1">
      <protection locked="0"/>
    </xf>
    <xf numFmtId="43" fontId="0" fillId="0" borderId="0" xfId="37" applyFont="1"/>
    <xf numFmtId="4" fontId="48" fillId="0" borderId="0" xfId="36" applyNumberFormat="1" applyAlignment="1">
      <alignment horizontal="right" vertical="center"/>
    </xf>
    <xf numFmtId="4" fontId="48" fillId="0" borderId="0" xfId="36" applyNumberFormat="1" applyAlignment="1"/>
    <xf numFmtId="4" fontId="48" fillId="0" borderId="0" xfId="36" applyNumberFormat="1" applyFill="1" applyAlignment="1"/>
    <xf numFmtId="4" fontId="48" fillId="0" borderId="0" xfId="36" applyNumberFormat="1" applyFill="1" applyAlignment="1">
      <alignment horizontal="right" vertical="center"/>
    </xf>
    <xf numFmtId="43" fontId="55" fillId="0" borderId="0" xfId="37" applyFont="1" applyFill="1"/>
    <xf numFmtId="4" fontId="55" fillId="0" borderId="0" xfId="36" applyNumberFormat="1" applyFont="1" applyFill="1" applyAlignment="1"/>
    <xf numFmtId="4" fontId="55" fillId="0" borderId="0" xfId="36" applyNumberFormat="1" applyFont="1" applyFill="1" applyAlignment="1">
      <alignment horizontal="right" vertical="center"/>
    </xf>
    <xf numFmtId="0" fontId="14" fillId="0" borderId="0" xfId="36" applyNumberFormat="1" applyFont="1" applyFill="1" applyAlignment="1" applyProtection="1">
      <protection locked="0"/>
    </xf>
    <xf numFmtId="0" fontId="54" fillId="0" borderId="0" xfId="36" applyNumberFormat="1" applyFont="1" applyFill="1" applyBorder="1" applyAlignment="1">
      <alignment horizontal="center" vertical="top"/>
    </xf>
    <xf numFmtId="4" fontId="52" fillId="0" borderId="0" xfId="36" applyNumberFormat="1" applyFont="1" applyFill="1" applyBorder="1" applyAlignment="1"/>
    <xf numFmtId="4" fontId="14" fillId="0" borderId="57" xfId="38" applyNumberFormat="1" applyBorder="1" applyProtection="1">
      <protection locked="0"/>
    </xf>
    <xf numFmtId="0" fontId="50" fillId="0" borderId="0" xfId="36" applyNumberFormat="1" applyFont="1" applyFill="1" applyBorder="1" applyAlignment="1">
      <alignment vertical="top"/>
    </xf>
    <xf numFmtId="0" fontId="50" fillId="0" borderId="0" xfId="36" applyNumberFormat="1" applyFont="1" applyFill="1" applyAlignment="1">
      <alignment horizontal="right" vertical="top"/>
    </xf>
    <xf numFmtId="165" fontId="56" fillId="0" borderId="0" xfId="36" applyNumberFormat="1" applyFont="1" applyFill="1" applyAlignment="1">
      <alignment vertical="top"/>
    </xf>
    <xf numFmtId="9" fontId="22" fillId="2" borderId="43" xfId="1" applyFont="1" applyFill="1" applyBorder="1" applyAlignment="1" applyProtection="1">
      <alignment horizontal="center" vertical="center" wrapText="1"/>
      <protection locked="0"/>
    </xf>
    <xf numFmtId="0" fontId="22" fillId="2" borderId="31" xfId="0" applyFont="1" applyFill="1" applyBorder="1" applyAlignment="1" applyProtection="1">
      <alignment horizontal="left" vertical="center"/>
      <protection locked="0"/>
    </xf>
    <xf numFmtId="38" fontId="4" fillId="2" borderId="42" xfId="21" applyNumberFormat="1" applyFont="1" applyFill="1" applyBorder="1" applyAlignment="1" applyProtection="1">
      <alignment horizontal="right" vertical="center"/>
      <protection locked="0"/>
    </xf>
    <xf numFmtId="3" fontId="22" fillId="12" borderId="17" xfId="26" applyFont="1" applyFill="1" applyBorder="1" applyAlignment="1">
      <alignment horizontal="left"/>
    </xf>
    <xf numFmtId="38" fontId="4" fillId="12" borderId="21" xfId="21" applyNumberFormat="1" applyFont="1" applyFill="1" applyBorder="1" applyAlignment="1" applyProtection="1">
      <alignment horizontal="right"/>
      <protection locked="0"/>
    </xf>
    <xf numFmtId="9" fontId="4" fillId="12" borderId="19" xfId="1" applyFont="1" applyFill="1" applyBorder="1" applyAlignment="1" applyProtection="1">
      <alignment horizontal="center"/>
      <protection locked="0"/>
    </xf>
    <xf numFmtId="3" fontId="22" fillId="2" borderId="58" xfId="26" applyFont="1" applyFill="1" applyBorder="1" applyAlignment="1">
      <alignment horizontal="left"/>
    </xf>
    <xf numFmtId="3" fontId="22" fillId="2" borderId="24" xfId="26" applyFont="1" applyFill="1" applyBorder="1" applyAlignment="1">
      <alignment horizontal="left"/>
    </xf>
    <xf numFmtId="38" fontId="4" fillId="2" borderId="22" xfId="21" applyNumberFormat="1" applyFont="1" applyFill="1" applyBorder="1" applyAlignment="1" applyProtection="1">
      <alignment horizontal="right"/>
      <protection locked="0"/>
    </xf>
    <xf numFmtId="3" fontId="22" fillId="2" borderId="5" xfId="26" applyFont="1" applyFill="1" applyBorder="1" applyAlignment="1">
      <alignment horizontal="left"/>
    </xf>
    <xf numFmtId="38" fontId="4" fillId="2" borderId="2" xfId="21" applyNumberFormat="1" applyFont="1" applyFill="1" applyBorder="1" applyAlignment="1" applyProtection="1">
      <alignment horizontal="right"/>
      <protection locked="0"/>
    </xf>
    <xf numFmtId="9" fontId="4" fillId="2" borderId="4" xfId="1" applyFont="1" applyFill="1" applyBorder="1" applyAlignment="1" applyProtection="1">
      <alignment horizontal="center"/>
      <protection locked="0"/>
    </xf>
    <xf numFmtId="38" fontId="4" fillId="2" borderId="0" xfId="0" applyNumberFormat="1" applyFont="1" applyFill="1"/>
    <xf numFmtId="38" fontId="4" fillId="2" borderId="42" xfId="21" applyNumberFormat="1" applyFont="1" applyFill="1" applyBorder="1" applyAlignment="1" applyProtection="1">
      <alignment horizontal="center" vertical="center"/>
      <protection locked="0"/>
    </xf>
    <xf numFmtId="9" fontId="4" fillId="2" borderId="49" xfId="1" applyFont="1" applyFill="1" applyBorder="1" applyAlignment="1" applyProtection="1">
      <alignment horizontal="center"/>
      <protection locked="0"/>
    </xf>
    <xf numFmtId="38" fontId="4" fillId="2" borderId="59" xfId="21" applyNumberFormat="1" applyFont="1" applyFill="1" applyBorder="1" applyAlignment="1" applyProtection="1">
      <alignment horizontal="right"/>
      <protection locked="0"/>
    </xf>
    <xf numFmtId="38" fontId="4" fillId="2" borderId="5" xfId="21" applyNumberFormat="1" applyFont="1" applyFill="1" applyBorder="1" applyAlignment="1" applyProtection="1">
      <alignment horizontal="right"/>
      <protection locked="0"/>
    </xf>
    <xf numFmtId="38" fontId="4" fillId="2" borderId="12" xfId="21" applyNumberFormat="1" applyFont="1" applyFill="1" applyBorder="1" applyAlignment="1" applyProtection="1">
      <alignment horizontal="right"/>
      <protection locked="0"/>
    </xf>
    <xf numFmtId="168" fontId="4" fillId="2" borderId="43" xfId="1" applyNumberFormat="1" applyFont="1" applyFill="1" applyBorder="1" applyAlignment="1" applyProtection="1">
      <alignment horizontal="center"/>
      <protection locked="0"/>
    </xf>
    <xf numFmtId="168" fontId="4" fillId="2" borderId="4" xfId="1" applyNumberFormat="1" applyFont="1" applyFill="1" applyBorder="1" applyAlignment="1" applyProtection="1">
      <alignment horizontal="center"/>
      <protection locked="0"/>
    </xf>
    <xf numFmtId="168" fontId="4" fillId="2" borderId="19" xfId="1" applyNumberFormat="1" applyFont="1" applyFill="1" applyBorder="1" applyAlignment="1" applyProtection="1">
      <alignment horizontal="center"/>
      <protection locked="0"/>
    </xf>
    <xf numFmtId="168" fontId="4" fillId="2" borderId="49" xfId="1" applyNumberFormat="1" applyFont="1" applyFill="1" applyBorder="1" applyAlignment="1" applyProtection="1">
      <alignment horizontal="center"/>
      <protection locked="0"/>
    </xf>
    <xf numFmtId="168" fontId="11" fillId="2" borderId="19" xfId="1" applyNumberFormat="1" applyFont="1" applyFill="1" applyBorder="1" applyAlignment="1" applyProtection="1">
      <alignment horizontal="center"/>
      <protection locked="0"/>
    </xf>
    <xf numFmtId="168" fontId="4" fillId="2" borderId="11" xfId="1" applyNumberFormat="1" applyFont="1" applyFill="1" applyBorder="1" applyAlignment="1" applyProtection="1">
      <alignment horizontal="center"/>
      <protection locked="0"/>
    </xf>
    <xf numFmtId="168" fontId="4" fillId="2" borderId="23" xfId="1" applyNumberFormat="1" applyFont="1" applyFill="1" applyBorder="1" applyAlignment="1" applyProtection="1">
      <alignment horizontal="center"/>
      <protection locked="0"/>
    </xf>
    <xf numFmtId="0" fontId="41" fillId="2" borderId="0" xfId="0" applyFont="1" applyFill="1" applyAlignment="1">
      <alignment horizontal="center" vertical="center" wrapText="1"/>
    </xf>
    <xf numFmtId="0" fontId="41" fillId="2" borderId="0" xfId="0" applyFont="1" applyFill="1" applyAlignment="1">
      <alignment horizontal="center" wrapText="1"/>
    </xf>
    <xf numFmtId="0" fontId="41" fillId="2" borderId="0" xfId="0" applyFont="1" applyFill="1" applyAlignment="1">
      <alignment horizontal="center" vertical="center"/>
    </xf>
    <xf numFmtId="165" fontId="10" fillId="0" borderId="46" xfId="48" applyFont="1" applyBorder="1" applyAlignment="1">
      <alignment horizontal="left" vertical="center" wrapText="1"/>
    </xf>
    <xf numFmtId="165" fontId="10" fillId="0" borderId="46" xfId="48" applyFont="1" applyBorder="1" applyAlignment="1">
      <alignment horizontal="center" vertical="center"/>
    </xf>
    <xf numFmtId="165" fontId="9" fillId="0" borderId="46" xfId="0" applyNumberFormat="1" applyFont="1" applyBorder="1" applyAlignment="1">
      <alignment horizontal="center" vertical="center"/>
    </xf>
    <xf numFmtId="165" fontId="40" fillId="0" borderId="46" xfId="48" applyFont="1" applyBorder="1" applyAlignment="1">
      <alignment horizontal="center" vertical="center"/>
    </xf>
    <xf numFmtId="165" fontId="40" fillId="0" borderId="46" xfId="48" applyFont="1" applyBorder="1" applyAlignment="1">
      <alignment horizontal="left" vertical="center" wrapText="1"/>
    </xf>
    <xf numFmtId="165" fontId="40" fillId="0" borderId="46" xfId="0" applyNumberFormat="1" applyFont="1" applyBorder="1" applyAlignment="1">
      <alignment horizontal="left" vertical="center" wrapText="1"/>
    </xf>
    <xf numFmtId="165" fontId="40" fillId="0" borderId="46" xfId="0" applyNumberFormat="1" applyFont="1" applyBorder="1" applyAlignment="1">
      <alignment horizontal="center" vertical="center"/>
    </xf>
    <xf numFmtId="165" fontId="39" fillId="0" borderId="46" xfId="48" applyFont="1" applyBorder="1" applyAlignment="1">
      <alignment horizontal="center" vertical="center"/>
    </xf>
    <xf numFmtId="0" fontId="57" fillId="2" borderId="0" xfId="0" applyFont="1" applyFill="1" applyAlignment="1">
      <alignment horizontal="center" vertical="center"/>
    </xf>
    <xf numFmtId="165" fontId="39" fillId="0" borderId="46" xfId="0" applyNumberFormat="1" applyFont="1" applyBorder="1" applyAlignment="1">
      <alignment horizontal="center" vertical="center"/>
    </xf>
    <xf numFmtId="165" fontId="40" fillId="0" borderId="46" xfId="48" applyFont="1" applyBorder="1" applyAlignment="1">
      <alignment horizontal="center" vertical="center" wrapText="1"/>
    </xf>
    <xf numFmtId="165" fontId="40" fillId="0" borderId="46" xfId="0" applyNumberFormat="1" applyFont="1" applyBorder="1" applyAlignment="1">
      <alignment horizontal="center" vertical="center" wrapText="1"/>
    </xf>
    <xf numFmtId="165" fontId="39" fillId="0" borderId="46" xfId="0" applyNumberFormat="1" applyFont="1" applyBorder="1" applyAlignment="1">
      <alignment horizontal="center" vertical="center" wrapText="1"/>
    </xf>
    <xf numFmtId="0" fontId="40" fillId="0" borderId="12" xfId="0" applyFont="1" applyBorder="1" applyAlignment="1">
      <alignment horizontal="left" vertical="center" wrapText="1"/>
    </xf>
    <xf numFmtId="0" fontId="40" fillId="0" borderId="39" xfId="0" applyFont="1" applyBorder="1" applyAlignment="1">
      <alignment horizontal="left" vertical="center" wrapText="1"/>
    </xf>
    <xf numFmtId="40" fontId="4" fillId="2" borderId="0" xfId="0" applyNumberFormat="1" applyFont="1" applyFill="1"/>
    <xf numFmtId="1" fontId="4" fillId="2" borderId="1" xfId="0" applyNumberFormat="1" applyFont="1" applyFill="1" applyBorder="1" applyAlignment="1">
      <alignment horizontal="center" vertical="center"/>
    </xf>
    <xf numFmtId="3" fontId="22" fillId="13" borderId="17" xfId="26" applyFont="1" applyFill="1" applyBorder="1" applyAlignment="1">
      <alignment horizontal="left"/>
    </xf>
    <xf numFmtId="167" fontId="0" fillId="2" borderId="0" xfId="0" applyNumberFormat="1" applyFill="1"/>
    <xf numFmtId="3" fontId="59" fillId="2" borderId="17" xfId="26" applyFont="1" applyFill="1" applyBorder="1" applyAlignment="1">
      <alignment horizontal="left"/>
    </xf>
    <xf numFmtId="3" fontId="60" fillId="2" borderId="17" xfId="26" applyFont="1" applyFill="1" applyBorder="1" applyAlignment="1">
      <alignment horizontal="left"/>
    </xf>
    <xf numFmtId="3" fontId="60" fillId="13" borderId="17" xfId="26" applyFont="1" applyFill="1" applyBorder="1" applyAlignment="1">
      <alignment horizontal="left"/>
    </xf>
    <xf numFmtId="3" fontId="22" fillId="2" borderId="17" xfId="26" applyFont="1" applyFill="1" applyBorder="1" applyAlignment="1">
      <alignment horizontal="left" wrapText="1"/>
    </xf>
    <xf numFmtId="3" fontId="22" fillId="2" borderId="58" xfId="26" applyFont="1" applyFill="1" applyBorder="1" applyAlignment="1">
      <alignment horizontal="left" wrapText="1"/>
    </xf>
    <xf numFmtId="3" fontId="22" fillId="13" borderId="17" xfId="26" applyFont="1" applyFill="1" applyBorder="1" applyAlignment="1">
      <alignment horizontal="left" wrapText="1"/>
    </xf>
    <xf numFmtId="0" fontId="12" fillId="2" borderId="0" xfId="53" applyFill="1"/>
    <xf numFmtId="0" fontId="61" fillId="0" borderId="46" xfId="0" applyFont="1" applyBorder="1" applyAlignment="1">
      <alignment horizontal="left" vertical="center" wrapText="1"/>
    </xf>
    <xf numFmtId="0" fontId="41" fillId="2" borderId="0" xfId="0" applyFont="1" applyFill="1" applyAlignment="1">
      <alignment wrapText="1"/>
    </xf>
    <xf numFmtId="0" fontId="10" fillId="13" borderId="46" xfId="0" applyFont="1" applyFill="1" applyBorder="1" applyAlignment="1">
      <alignment horizontal="left" vertical="center" wrapText="1"/>
    </xf>
    <xf numFmtId="38" fontId="4" fillId="13" borderId="21" xfId="21" applyNumberFormat="1" applyFont="1" applyFill="1" applyBorder="1" applyAlignment="1" applyProtection="1">
      <alignment horizontal="right"/>
      <protection locked="0"/>
    </xf>
    <xf numFmtId="168" fontId="4" fillId="13" borderId="19" xfId="1" applyNumberFormat="1" applyFont="1" applyFill="1" applyBorder="1" applyAlignment="1" applyProtection="1">
      <alignment horizontal="center"/>
      <protection locked="0"/>
    </xf>
    <xf numFmtId="3" fontId="59" fillId="2" borderId="58" xfId="26" applyFont="1" applyFill="1" applyBorder="1" applyAlignment="1">
      <alignment horizontal="left"/>
    </xf>
    <xf numFmtId="0" fontId="64" fillId="2" borderId="47" xfId="2" applyFont="1" applyFill="1" applyBorder="1" applyProtection="1">
      <protection locked="0"/>
    </xf>
    <xf numFmtId="165" fontId="65" fillId="2" borderId="22" xfId="2" applyNumberFormat="1" applyFont="1" applyFill="1" applyBorder="1" applyProtection="1">
      <protection locked="0"/>
    </xf>
    <xf numFmtId="44" fontId="0" fillId="2" borderId="0" xfId="0" applyNumberFormat="1" applyFill="1"/>
    <xf numFmtId="44" fontId="0" fillId="13" borderId="0" xfId="0" applyNumberFormat="1" applyFill="1"/>
    <xf numFmtId="0" fontId="8" fillId="2" borderId="0" xfId="0" applyFont="1" applyFill="1" applyAlignment="1">
      <alignment horizontal="center"/>
    </xf>
    <xf numFmtId="0" fontId="0" fillId="2" borderId="62" xfId="0" applyFill="1" applyBorder="1"/>
    <xf numFmtId="0" fontId="0" fillId="2" borderId="34" xfId="0" applyFill="1" applyBorder="1"/>
    <xf numFmtId="165" fontId="0" fillId="2" borderId="34" xfId="0" applyNumberFormat="1" applyFill="1" applyBorder="1"/>
    <xf numFmtId="44" fontId="0" fillId="2" borderId="34" xfId="0" applyNumberFormat="1" applyFill="1" applyBorder="1"/>
    <xf numFmtId="0" fontId="0" fillId="13" borderId="62" xfId="0" applyFill="1" applyBorder="1"/>
    <xf numFmtId="165" fontId="0" fillId="13" borderId="34" xfId="0" applyNumberFormat="1" applyFill="1" applyBorder="1"/>
    <xf numFmtId="0" fontId="0" fillId="13" borderId="63" xfId="0" applyFill="1" applyBorder="1"/>
    <xf numFmtId="44" fontId="0" fillId="13" borderId="64" xfId="0" applyNumberFormat="1" applyFill="1" applyBorder="1"/>
    <xf numFmtId="0" fontId="66" fillId="2" borderId="62" xfId="0" applyFont="1" applyFill="1" applyBorder="1"/>
    <xf numFmtId="44" fontId="66" fillId="2" borderId="34" xfId="0" applyNumberFormat="1" applyFont="1" applyFill="1" applyBorder="1"/>
    <xf numFmtId="0" fontId="66" fillId="2" borderId="60" xfId="0" applyFont="1" applyFill="1" applyBorder="1"/>
    <xf numFmtId="44" fontId="66" fillId="2" borderId="61" xfId="0" applyNumberFormat="1" applyFont="1" applyFill="1" applyBorder="1"/>
    <xf numFmtId="0" fontId="66" fillId="2" borderId="0" xfId="0" applyFont="1" applyFill="1"/>
    <xf numFmtId="44" fontId="66" fillId="2" borderId="0" xfId="0" applyNumberFormat="1" applyFont="1" applyFill="1"/>
    <xf numFmtId="0" fontId="30" fillId="0" borderId="54" xfId="0" applyFont="1" applyBorder="1" applyAlignment="1">
      <alignment horizontal="center" vertical="center" wrapText="1"/>
    </xf>
    <xf numFmtId="0" fontId="40" fillId="0" borderId="54" xfId="0" applyFont="1" applyBorder="1" applyAlignment="1">
      <alignment horizontal="left" vertical="center" wrapText="1"/>
    </xf>
    <xf numFmtId="172" fontId="0" fillId="2" borderId="0" xfId="0" applyNumberFormat="1" applyFill="1"/>
    <xf numFmtId="173" fontId="0" fillId="2" borderId="0" xfId="0" applyNumberFormat="1" applyFill="1"/>
    <xf numFmtId="172" fontId="58" fillId="14" borderId="0" xfId="0" applyNumberFormat="1" applyFont="1" applyFill="1"/>
    <xf numFmtId="0" fontId="26" fillId="2" borderId="0" xfId="2" applyFont="1" applyFill="1" applyBorder="1" applyAlignment="1" applyProtection="1">
      <alignment horizontal="center"/>
      <protection locked="0"/>
    </xf>
    <xf numFmtId="9" fontId="0" fillId="2" borderId="0" xfId="1" applyFont="1" applyFill="1" applyBorder="1" applyAlignment="1">
      <alignment horizontal="center"/>
    </xf>
    <xf numFmtId="165" fontId="0" fillId="2" borderId="0" xfId="1" applyNumberFormat="1" applyFont="1" applyFill="1" applyBorder="1" applyAlignment="1">
      <alignment horizontal="center"/>
    </xf>
    <xf numFmtId="172" fontId="0" fillId="2" borderId="0" xfId="1" applyNumberFormat="1" applyFont="1" applyFill="1" applyBorder="1" applyAlignment="1">
      <alignment horizontal="center"/>
    </xf>
    <xf numFmtId="0" fontId="29" fillId="4" borderId="0" xfId="0" applyFont="1" applyFill="1" applyBorder="1" applyAlignment="1" applyProtection="1">
      <alignment horizontal="center"/>
      <protection locked="0"/>
    </xf>
    <xf numFmtId="0" fontId="25" fillId="0" borderId="2" xfId="0" applyFont="1" applyFill="1" applyBorder="1" applyAlignment="1" applyProtection="1">
      <alignment horizontal="center" vertical="center" wrapText="1"/>
    </xf>
    <xf numFmtId="0" fontId="25" fillId="0" borderId="21" xfId="0" applyFont="1" applyFill="1" applyBorder="1" applyAlignment="1" applyProtection="1">
      <alignment horizontal="center" vertical="center" wrapText="1"/>
    </xf>
    <xf numFmtId="0" fontId="35" fillId="5" borderId="3" xfId="0" applyFont="1" applyFill="1" applyBorder="1" applyAlignment="1" applyProtection="1">
      <alignment horizontal="center" vertical="center" wrapText="1"/>
    </xf>
    <xf numFmtId="0" fontId="35" fillId="5" borderId="18" xfId="0" applyFont="1" applyFill="1" applyBorder="1" applyAlignment="1" applyProtection="1">
      <alignment horizontal="center" vertical="center" wrapText="1"/>
    </xf>
    <xf numFmtId="1" fontId="35" fillId="5" borderId="4" xfId="0" applyNumberFormat="1" applyFont="1" applyFill="1" applyBorder="1" applyAlignment="1" applyProtection="1">
      <alignment horizontal="center" vertical="center" wrapText="1"/>
    </xf>
    <xf numFmtId="1" fontId="35" fillId="5" borderId="19" xfId="0" applyNumberFormat="1" applyFont="1" applyFill="1" applyBorder="1" applyAlignment="1" applyProtection="1">
      <alignment horizontal="center" vertical="center" wrapText="1"/>
    </xf>
    <xf numFmtId="0" fontId="35" fillId="5" borderId="5" xfId="0" applyFont="1" applyFill="1" applyBorder="1" applyAlignment="1" applyProtection="1">
      <alignment horizontal="center" vertical="center"/>
    </xf>
    <xf numFmtId="0" fontId="35" fillId="5" borderId="6" xfId="0" applyFont="1" applyFill="1" applyBorder="1" applyAlignment="1" applyProtection="1">
      <alignment horizontal="center" vertical="center"/>
    </xf>
    <xf numFmtId="0" fontId="35" fillId="5" borderId="7" xfId="0" applyFont="1" applyFill="1" applyBorder="1" applyAlignment="1" applyProtection="1">
      <alignment horizontal="center" vertical="center"/>
    </xf>
    <xf numFmtId="0" fontId="35" fillId="5" borderId="10" xfId="0" applyFont="1" applyFill="1" applyBorder="1" applyAlignment="1" applyProtection="1">
      <alignment horizontal="center" vertical="center" wrapText="1"/>
    </xf>
    <xf numFmtId="0" fontId="32" fillId="0" borderId="5" xfId="0" applyFont="1" applyFill="1" applyBorder="1" applyAlignment="1" applyProtection="1">
      <alignment horizontal="center" vertical="center" wrapText="1"/>
    </xf>
    <xf numFmtId="0" fontId="32" fillId="0" borderId="12" xfId="0" applyFont="1" applyFill="1" applyBorder="1" applyAlignment="1" applyProtection="1">
      <alignment horizontal="center" vertical="center" wrapText="1"/>
    </xf>
    <xf numFmtId="0" fontId="32" fillId="0" borderId="8" xfId="0" applyFont="1" applyFill="1" applyBorder="1" applyAlignment="1" applyProtection="1">
      <alignment horizontal="center" vertical="center" wrapText="1"/>
    </xf>
    <xf numFmtId="0" fontId="32" fillId="0" borderId="46" xfId="0" applyFont="1" applyFill="1" applyBorder="1" applyAlignment="1" applyProtection="1">
      <alignment horizontal="center" vertical="center" wrapText="1"/>
    </xf>
    <xf numFmtId="0" fontId="25" fillId="0" borderId="9" xfId="0" applyFont="1" applyFill="1" applyBorder="1" applyAlignment="1" applyProtection="1">
      <alignment horizontal="center" vertical="center" wrapText="1"/>
    </xf>
    <xf numFmtId="1" fontId="35" fillId="5" borderId="11" xfId="0" applyNumberFormat="1" applyFont="1" applyFill="1" applyBorder="1" applyAlignment="1" applyProtection="1">
      <alignment horizontal="center" vertical="center" wrapText="1"/>
    </xf>
    <xf numFmtId="0" fontId="22" fillId="2" borderId="31" xfId="0" applyFont="1" applyFill="1" applyBorder="1" applyAlignment="1">
      <alignment horizontal="center" vertical="center"/>
    </xf>
    <xf numFmtId="0" fontId="22" fillId="2" borderId="33" xfId="0" applyFont="1" applyFill="1" applyBorder="1" applyAlignment="1">
      <alignment horizontal="center" vertical="center"/>
    </xf>
    <xf numFmtId="0" fontId="22" fillId="2" borderId="32" xfId="0" applyFont="1" applyFill="1" applyBorder="1" applyAlignment="1">
      <alignment horizontal="center" vertical="center"/>
    </xf>
    <xf numFmtId="0" fontId="22" fillId="2" borderId="5" xfId="0" applyFont="1" applyFill="1" applyBorder="1" applyAlignment="1" applyProtection="1">
      <alignment horizontal="center" vertical="center"/>
      <protection locked="0"/>
    </xf>
    <xf numFmtId="0" fontId="22" fillId="2" borderId="12" xfId="0" applyFont="1" applyFill="1" applyBorder="1" applyAlignment="1" applyProtection="1">
      <alignment horizontal="center" vertical="center"/>
      <protection locked="0"/>
    </xf>
    <xf numFmtId="1" fontId="22" fillId="2" borderId="44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36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45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37" xfId="21" applyNumberFormat="1" applyFont="1" applyFill="1" applyBorder="1" applyAlignment="1" applyProtection="1">
      <alignment horizontal="center" vertical="center" wrapText="1"/>
      <protection locked="0"/>
    </xf>
    <xf numFmtId="0" fontId="22" fillId="2" borderId="17" xfId="0" applyFont="1" applyFill="1" applyBorder="1" applyAlignment="1" applyProtection="1">
      <alignment horizontal="center" vertical="center"/>
      <protection locked="0"/>
    </xf>
    <xf numFmtId="1" fontId="22" fillId="2" borderId="9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35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11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16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18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19" xfId="21" applyNumberFormat="1" applyFont="1" applyFill="1" applyBorder="1" applyAlignment="1" applyProtection="1">
      <alignment horizontal="center" vertical="center" wrapText="1"/>
      <protection locked="0"/>
    </xf>
    <xf numFmtId="0" fontId="7" fillId="12" borderId="44" xfId="2" applyFont="1" applyFill="1" applyBorder="1" applyAlignment="1" applyProtection="1">
      <alignment horizontal="center" vertical="center"/>
      <protection locked="0"/>
    </xf>
    <xf numFmtId="0" fontId="7" fillId="12" borderId="45" xfId="2" applyFont="1" applyFill="1" applyBorder="1" applyAlignment="1" applyProtection="1">
      <alignment horizontal="center" vertical="center"/>
      <protection locked="0"/>
    </xf>
    <xf numFmtId="9" fontId="0" fillId="2" borderId="42" xfId="1" applyFont="1" applyFill="1" applyBorder="1" applyAlignment="1">
      <alignment horizontal="center"/>
    </xf>
    <xf numFmtId="9" fontId="0" fillId="2" borderId="43" xfId="1" applyFont="1" applyFill="1" applyBorder="1" applyAlignment="1">
      <alignment horizontal="center"/>
    </xf>
    <xf numFmtId="0" fontId="9" fillId="0" borderId="31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38" fillId="12" borderId="5" xfId="0" applyFont="1" applyFill="1" applyBorder="1" applyAlignment="1">
      <alignment horizontal="center" vertical="center"/>
    </xf>
    <xf numFmtId="0" fontId="38" fillId="12" borderId="6" xfId="0" applyFont="1" applyFill="1" applyBorder="1" applyAlignment="1">
      <alignment horizontal="center" vertical="center"/>
    </xf>
    <xf numFmtId="0" fontId="38" fillId="12" borderId="8" xfId="0" applyFont="1" applyFill="1" applyBorder="1" applyAlignment="1">
      <alignment horizontal="center" vertical="center"/>
    </xf>
    <xf numFmtId="0" fontId="39" fillId="0" borderId="31" xfId="0" applyFont="1" applyBorder="1" applyAlignment="1">
      <alignment horizontal="center" vertical="center"/>
    </xf>
    <xf numFmtId="0" fontId="39" fillId="0" borderId="33" xfId="0" applyFont="1" applyBorder="1" applyAlignment="1">
      <alignment horizontal="center" vertical="center"/>
    </xf>
    <xf numFmtId="0" fontId="30" fillId="0" borderId="40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40" fillId="0" borderId="40" xfId="0" applyFont="1" applyBorder="1" applyAlignment="1">
      <alignment horizontal="left" vertical="center" wrapText="1"/>
    </xf>
    <xf numFmtId="0" fontId="40" fillId="0" borderId="41" xfId="0" applyFont="1" applyBorder="1" applyAlignment="1">
      <alignment horizontal="left" vertical="center" wrapText="1"/>
    </xf>
    <xf numFmtId="0" fontId="40" fillId="0" borderId="54" xfId="0" applyFont="1" applyBorder="1" applyAlignment="1">
      <alignment horizontal="left" vertical="center" wrapText="1"/>
    </xf>
    <xf numFmtId="0" fontId="39" fillId="0" borderId="31" xfId="0" applyFont="1" applyBorder="1" applyAlignment="1">
      <alignment horizontal="center" vertical="center" wrapText="1"/>
    </xf>
    <xf numFmtId="0" fontId="39" fillId="0" borderId="33" xfId="0" applyFont="1" applyBorder="1" applyAlignment="1">
      <alignment horizontal="center" vertical="center" wrapText="1"/>
    </xf>
    <xf numFmtId="165" fontId="41" fillId="2" borderId="0" xfId="0" applyNumberFormat="1" applyFont="1" applyFill="1"/>
    <xf numFmtId="44" fontId="41" fillId="2" borderId="0" xfId="0" applyNumberFormat="1" applyFont="1" applyFill="1"/>
    <xf numFmtId="0" fontId="41" fillId="2" borderId="1" xfId="0" applyFont="1" applyFill="1" applyBorder="1"/>
    <xf numFmtId="165" fontId="41" fillId="2" borderId="1" xfId="0" applyNumberFormat="1" applyFont="1" applyFill="1" applyBorder="1"/>
    <xf numFmtId="44" fontId="41" fillId="2" borderId="1" xfId="0" applyNumberFormat="1" applyFont="1" applyFill="1" applyBorder="1"/>
    <xf numFmtId="0" fontId="67" fillId="2" borderId="0" xfId="0" applyFont="1" applyFill="1"/>
    <xf numFmtId="0" fontId="40" fillId="13" borderId="46" xfId="0" applyFont="1" applyFill="1" applyBorder="1" applyAlignment="1">
      <alignment horizontal="left" vertical="center" wrapText="1"/>
    </xf>
    <xf numFmtId="0" fontId="40" fillId="15" borderId="46" xfId="0" applyFont="1" applyFill="1" applyBorder="1" applyAlignment="1">
      <alignment horizontal="left" vertical="center" wrapText="1"/>
    </xf>
    <xf numFmtId="0" fontId="38" fillId="2" borderId="39" xfId="0" applyFont="1" applyFill="1" applyBorder="1"/>
    <xf numFmtId="165" fontId="38" fillId="2" borderId="32" xfId="0" applyNumberFormat="1" applyFont="1" applyFill="1" applyBorder="1"/>
    <xf numFmtId="165" fontId="38" fillId="2" borderId="39" xfId="0" applyNumberFormat="1" applyFont="1" applyFill="1" applyBorder="1"/>
    <xf numFmtId="0" fontId="22" fillId="2" borderId="1" xfId="0" applyFont="1" applyFill="1" applyBorder="1"/>
    <xf numFmtId="165" fontId="22" fillId="2" borderId="1" xfId="0" applyNumberFormat="1" applyFont="1" applyFill="1" applyBorder="1"/>
    <xf numFmtId="0" fontId="24" fillId="2" borderId="0" xfId="0" quotePrefix="1" applyFont="1" applyFill="1"/>
    <xf numFmtId="0" fontId="4" fillId="2" borderId="1" xfId="0" applyFont="1" applyFill="1" applyBorder="1" applyAlignment="1">
      <alignment wrapText="1"/>
    </xf>
    <xf numFmtId="0" fontId="22" fillId="2" borderId="1" xfId="0" applyFont="1" applyFill="1" applyBorder="1" applyAlignment="1">
      <alignment wrapText="1"/>
    </xf>
    <xf numFmtId="0" fontId="22" fillId="2" borderId="0" xfId="0" applyFont="1" applyFill="1" applyBorder="1"/>
    <xf numFmtId="0" fontId="22" fillId="2" borderId="0" xfId="0" applyFont="1" applyFill="1" applyBorder="1" applyAlignment="1">
      <alignment wrapText="1"/>
    </xf>
    <xf numFmtId="0" fontId="61" fillId="13" borderId="46" xfId="0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/>
    </xf>
    <xf numFmtId="0" fontId="61" fillId="0" borderId="20" xfId="0" applyFont="1" applyBorder="1" applyAlignment="1">
      <alignment horizontal="left" vertical="center" wrapText="1"/>
    </xf>
    <xf numFmtId="0" fontId="9" fillId="0" borderId="46" xfId="0" applyFont="1" applyBorder="1" applyAlignment="1">
      <alignment horizontal="center" vertical="center"/>
    </xf>
    <xf numFmtId="0" fontId="61" fillId="0" borderId="39" xfId="0" applyFont="1" applyBorder="1" applyAlignment="1">
      <alignment horizontal="left" vertical="center" wrapText="1"/>
    </xf>
    <xf numFmtId="38" fontId="4" fillId="2" borderId="0" xfId="21" applyNumberFormat="1" applyFont="1" applyFill="1" applyBorder="1" applyAlignment="1" applyProtection="1">
      <alignment horizontal="right"/>
      <protection locked="0"/>
    </xf>
    <xf numFmtId="168" fontId="4" fillId="2" borderId="0" xfId="1" applyNumberFormat="1" applyFont="1" applyFill="1" applyBorder="1" applyAlignment="1" applyProtection="1">
      <alignment horizontal="center"/>
      <protection locked="0"/>
    </xf>
    <xf numFmtId="3" fontId="22" fillId="2" borderId="56" xfId="26" applyFont="1" applyFill="1" applyBorder="1" applyAlignment="1">
      <alignment horizontal="left"/>
    </xf>
    <xf numFmtId="3" fontId="22" fillId="2" borderId="0" xfId="26" applyFont="1" applyFill="1" applyBorder="1" applyAlignment="1">
      <alignment horizontal="left"/>
    </xf>
    <xf numFmtId="0" fontId="27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 applyProtection="1">
      <alignment horizontal="center" vertical="center"/>
      <protection locked="0"/>
    </xf>
    <xf numFmtId="1" fontId="22" fillId="2" borderId="0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0" xfId="21" applyNumberFormat="1" applyFont="1" applyFill="1" applyBorder="1" applyAlignment="1" applyProtection="1">
      <alignment horizontal="center" vertical="center" wrapText="1"/>
      <protection locked="0"/>
    </xf>
    <xf numFmtId="38" fontId="4" fillId="2" borderId="0" xfId="21" applyNumberFormat="1" applyFont="1" applyFill="1" applyBorder="1" applyAlignment="1" applyProtection="1">
      <alignment horizontal="center" vertical="center"/>
      <protection locked="0"/>
    </xf>
    <xf numFmtId="0" fontId="22" fillId="2" borderId="0" xfId="0" applyFont="1" applyFill="1" applyBorder="1" applyAlignment="1" applyProtection="1">
      <alignment horizontal="center" vertical="center"/>
      <protection locked="0"/>
    </xf>
    <xf numFmtId="9" fontId="4" fillId="2" borderId="0" xfId="1" applyFont="1" applyFill="1" applyBorder="1" applyAlignment="1" applyProtection="1">
      <alignment horizontal="center"/>
      <protection locked="0"/>
    </xf>
    <xf numFmtId="37" fontId="4" fillId="2" borderId="0" xfId="21" applyNumberFormat="1" applyFont="1" applyFill="1" applyBorder="1" applyAlignment="1" applyProtection="1">
      <alignment horizontal="right"/>
      <protection locked="0"/>
    </xf>
    <xf numFmtId="168" fontId="11" fillId="2" borderId="0" xfId="1" applyNumberFormat="1" applyFont="1" applyFill="1" applyBorder="1" applyAlignment="1" applyProtection="1">
      <alignment horizontal="right"/>
      <protection locked="0"/>
    </xf>
    <xf numFmtId="9" fontId="11" fillId="2" borderId="0" xfId="1" applyFont="1" applyFill="1" applyBorder="1" applyAlignment="1" applyProtection="1">
      <alignment horizontal="center"/>
      <protection locked="0"/>
    </xf>
    <xf numFmtId="3" fontId="59" fillId="2" borderId="0" xfId="26" applyFont="1" applyFill="1" applyBorder="1" applyAlignment="1">
      <alignment horizontal="left"/>
    </xf>
    <xf numFmtId="0" fontId="12" fillId="2" borderId="0" xfId="53" applyFill="1" applyBorder="1"/>
    <xf numFmtId="3" fontId="22" fillId="2" borderId="60" xfId="26" applyFont="1" applyFill="1" applyBorder="1" applyAlignment="1">
      <alignment horizontal="left"/>
    </xf>
    <xf numFmtId="37" fontId="4" fillId="2" borderId="65" xfId="21" applyNumberFormat="1" applyFont="1" applyFill="1" applyBorder="1" applyAlignment="1" applyProtection="1">
      <alignment horizontal="right"/>
      <protection locked="0"/>
    </xf>
    <xf numFmtId="168" fontId="4" fillId="2" borderId="65" xfId="1" applyNumberFormat="1" applyFont="1" applyFill="1" applyBorder="1" applyAlignment="1" applyProtection="1">
      <alignment horizontal="center"/>
      <protection locked="0"/>
    </xf>
    <xf numFmtId="168" fontId="4" fillId="2" borderId="61" xfId="1" applyNumberFormat="1" applyFont="1" applyFill="1" applyBorder="1" applyAlignment="1" applyProtection="1">
      <alignment horizontal="center"/>
      <protection locked="0"/>
    </xf>
    <xf numFmtId="3" fontId="4" fillId="2" borderId="62" xfId="26" applyFont="1" applyFill="1" applyBorder="1" applyAlignment="1">
      <alignment horizontal="left"/>
    </xf>
    <xf numFmtId="168" fontId="4" fillId="2" borderId="34" xfId="1" applyNumberFormat="1" applyFont="1" applyFill="1" applyBorder="1" applyAlignment="1" applyProtection="1">
      <alignment horizontal="center"/>
      <protection locked="0"/>
    </xf>
    <xf numFmtId="3" fontId="22" fillId="2" borderId="63" xfId="26" applyFont="1" applyFill="1" applyBorder="1" applyAlignment="1">
      <alignment horizontal="left"/>
    </xf>
    <xf numFmtId="37" fontId="4" fillId="2" borderId="57" xfId="21" applyNumberFormat="1" applyFont="1" applyFill="1" applyBorder="1" applyAlignment="1" applyProtection="1">
      <alignment horizontal="right"/>
      <protection locked="0"/>
    </xf>
    <xf numFmtId="168" fontId="4" fillId="2" borderId="57" xfId="1" applyNumberFormat="1" applyFont="1" applyFill="1" applyBorder="1" applyAlignment="1" applyProtection="1">
      <alignment horizontal="center"/>
      <protection locked="0"/>
    </xf>
    <xf numFmtId="168" fontId="4" fillId="2" borderId="64" xfId="1" applyNumberFormat="1" applyFont="1" applyFill="1" applyBorder="1" applyAlignment="1" applyProtection="1">
      <alignment horizontal="center"/>
      <protection locked="0"/>
    </xf>
    <xf numFmtId="37" fontId="4" fillId="2" borderId="25" xfId="21" applyNumberFormat="1" applyFont="1" applyFill="1" applyBorder="1" applyAlignment="1" applyProtection="1">
      <alignment horizontal="right"/>
      <protection locked="0"/>
    </xf>
    <xf numFmtId="168" fontId="4" fillId="2" borderId="25" xfId="1" applyNumberFormat="1" applyFont="1" applyFill="1" applyBorder="1" applyAlignment="1" applyProtection="1">
      <alignment horizontal="center"/>
      <protection locked="0"/>
    </xf>
    <xf numFmtId="168" fontId="4" fillId="2" borderId="66" xfId="1" applyNumberFormat="1" applyFont="1" applyFill="1" applyBorder="1" applyAlignment="1" applyProtection="1">
      <alignment horizontal="center"/>
      <protection locked="0"/>
    </xf>
    <xf numFmtId="37" fontId="4" fillId="2" borderId="66" xfId="21" applyNumberFormat="1" applyFont="1" applyFill="1" applyBorder="1" applyAlignment="1" applyProtection="1">
      <alignment horizontal="right"/>
      <protection locked="0"/>
    </xf>
    <xf numFmtId="3" fontId="22" fillId="13" borderId="62" xfId="26" applyFont="1" applyFill="1" applyBorder="1" applyAlignment="1">
      <alignment horizontal="left" wrapText="1"/>
    </xf>
    <xf numFmtId="38" fontId="4" fillId="2" borderId="65" xfId="21" applyNumberFormat="1" applyFont="1" applyFill="1" applyBorder="1" applyAlignment="1" applyProtection="1">
      <alignment horizontal="right"/>
      <protection locked="0"/>
    </xf>
    <xf numFmtId="9" fontId="4" fillId="2" borderId="65" xfId="1" applyFont="1" applyFill="1" applyBorder="1" applyAlignment="1" applyProtection="1">
      <alignment horizontal="center"/>
      <protection locked="0"/>
    </xf>
    <xf numFmtId="9" fontId="4" fillId="2" borderId="61" xfId="1" applyFont="1" applyFill="1" applyBorder="1" applyAlignment="1" applyProtection="1">
      <alignment horizontal="center"/>
      <protection locked="0"/>
    </xf>
    <xf numFmtId="3" fontId="4" fillId="13" borderId="62" xfId="26" applyFont="1" applyFill="1" applyBorder="1" applyAlignment="1">
      <alignment horizontal="left"/>
    </xf>
    <xf numFmtId="168" fontId="22" fillId="2" borderId="57" xfId="1" applyNumberFormat="1" applyFont="1" applyFill="1" applyBorder="1" applyAlignment="1" applyProtection="1">
      <alignment horizontal="center"/>
      <protection locked="0"/>
    </xf>
    <xf numFmtId="168" fontId="22" fillId="2" borderId="64" xfId="1" applyNumberFormat="1" applyFont="1" applyFill="1" applyBorder="1" applyAlignment="1" applyProtection="1">
      <alignment horizontal="center"/>
      <protection locked="0"/>
    </xf>
    <xf numFmtId="3" fontId="4" fillId="2" borderId="60" xfId="26" applyFont="1" applyFill="1" applyBorder="1" applyAlignment="1">
      <alignment horizontal="left"/>
    </xf>
    <xf numFmtId="9" fontId="4" fillId="2" borderId="34" xfId="1" applyFont="1" applyFill="1" applyBorder="1" applyAlignment="1" applyProtection="1">
      <alignment horizontal="center"/>
      <protection locked="0"/>
    </xf>
    <xf numFmtId="38" fontId="4" fillId="2" borderId="57" xfId="21" applyNumberFormat="1" applyFont="1" applyFill="1" applyBorder="1" applyAlignment="1" applyProtection="1">
      <alignment horizontal="right"/>
      <protection locked="0"/>
    </xf>
    <xf numFmtId="9" fontId="4" fillId="2" borderId="57" xfId="1" applyFont="1" applyFill="1" applyBorder="1" applyAlignment="1" applyProtection="1">
      <alignment horizontal="center"/>
      <protection locked="0"/>
    </xf>
    <xf numFmtId="9" fontId="4" fillId="2" borderId="64" xfId="1" applyFont="1" applyFill="1" applyBorder="1" applyAlignment="1" applyProtection="1">
      <alignment horizontal="center"/>
      <protection locked="0"/>
    </xf>
    <xf numFmtId="3" fontId="22" fillId="2" borderId="60" xfId="26" applyFont="1" applyFill="1" applyBorder="1" applyAlignment="1">
      <alignment horizontal="left" vertical="center"/>
    </xf>
    <xf numFmtId="1" fontId="22" fillId="2" borderId="65" xfId="21" applyNumberFormat="1" applyFont="1" applyFill="1" applyBorder="1" applyAlignment="1" applyProtection="1">
      <alignment horizontal="center" vertical="center" wrapText="1"/>
      <protection locked="0"/>
    </xf>
    <xf numFmtId="9" fontId="22" fillId="2" borderId="65" xfId="1" applyFont="1" applyFill="1" applyBorder="1" applyAlignment="1" applyProtection="1">
      <alignment horizontal="center" vertical="center" wrapText="1"/>
      <protection locked="0"/>
    </xf>
    <xf numFmtId="9" fontId="22" fillId="2" borderId="61" xfId="1" applyFont="1" applyFill="1" applyBorder="1" applyAlignment="1" applyProtection="1">
      <alignment horizontal="center" vertical="center" wrapText="1"/>
      <protection locked="0"/>
    </xf>
    <xf numFmtId="0" fontId="22" fillId="2" borderId="62" xfId="0" applyFont="1" applyFill="1" applyBorder="1" applyAlignment="1" applyProtection="1">
      <alignment horizontal="left" vertical="center"/>
      <protection locked="0"/>
    </xf>
    <xf numFmtId="1" fontId="22" fillId="2" borderId="34" xfId="21" applyNumberFormat="1" applyFont="1" applyFill="1" applyBorder="1" applyAlignment="1" applyProtection="1">
      <alignment horizontal="center" vertical="center" wrapText="1"/>
      <protection locked="0"/>
    </xf>
    <xf numFmtId="0" fontId="22" fillId="2" borderId="63" xfId="0" applyFont="1" applyFill="1" applyBorder="1" applyAlignment="1" applyProtection="1">
      <alignment horizontal="left" vertical="center"/>
      <protection locked="0"/>
    </xf>
    <xf numFmtId="38" fontId="4" fillId="2" borderId="57" xfId="21" applyNumberFormat="1" applyFont="1" applyFill="1" applyBorder="1" applyAlignment="1" applyProtection="1">
      <alignment horizontal="center" vertical="center"/>
      <protection locked="0"/>
    </xf>
    <xf numFmtId="1" fontId="22" fillId="2" borderId="57" xfId="21" applyNumberFormat="1" applyFont="1" applyFill="1" applyBorder="1" applyAlignment="1" applyProtection="1">
      <alignment horizontal="center" vertical="center" wrapText="1"/>
      <protection locked="0"/>
    </xf>
    <xf numFmtId="1" fontId="22" fillId="2" borderId="64" xfId="21" applyNumberFormat="1" applyFont="1" applyFill="1" applyBorder="1" applyAlignment="1" applyProtection="1">
      <alignment horizontal="center" vertical="center" wrapText="1"/>
      <protection locked="0"/>
    </xf>
    <xf numFmtId="38" fontId="4" fillId="2" borderId="25" xfId="21" applyNumberFormat="1" applyFont="1" applyFill="1" applyBorder="1" applyAlignment="1" applyProtection="1">
      <alignment horizontal="right"/>
      <protection locked="0"/>
    </xf>
    <xf numFmtId="9" fontId="4" fillId="2" borderId="25" xfId="1" applyFont="1" applyFill="1" applyBorder="1" applyAlignment="1" applyProtection="1">
      <alignment horizontal="center"/>
      <protection locked="0"/>
    </xf>
    <xf numFmtId="9" fontId="4" fillId="2" borderId="66" xfId="1" applyFont="1" applyFill="1" applyBorder="1" applyAlignment="1" applyProtection="1">
      <alignment horizontal="center"/>
      <protection locked="0"/>
    </xf>
    <xf numFmtId="0" fontId="4" fillId="2" borderId="56" xfId="0" applyFont="1" applyFill="1" applyBorder="1" applyAlignment="1">
      <alignment wrapText="1"/>
    </xf>
  </cellXfs>
  <cellStyles count="54">
    <cellStyle name="Comma 2" xfId="29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32" builtinId="8" hidden="1"/>
    <cellStyle name="Hipervínculo" xfId="49" builtinId="8" hidden="1"/>
    <cellStyle name="Hipervínculo" xfId="51" builtinId="8" hidden="1"/>
    <cellStyle name="Hipervínculo" xfId="53" builtinId="8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33" builtinId="9" hidden="1"/>
    <cellStyle name="Hipervínculo visitado" xfId="50" builtinId="9" hidden="1"/>
    <cellStyle name="Hipervínculo visitado" xfId="52" builtinId="9" hidden="1"/>
    <cellStyle name="Millares" xfId="21" builtinId="3"/>
    <cellStyle name="Millares 2" xfId="37"/>
    <cellStyle name="Moneda" xfId="48" builtinId="4"/>
    <cellStyle name="Normal" xfId="0" builtinId="0"/>
    <cellStyle name="Normal 10" xfId="24"/>
    <cellStyle name="Normal 2" xfId="34"/>
    <cellStyle name="Normal 2 2" xfId="2"/>
    <cellStyle name="Normal 2 2 2" xfId="39"/>
    <cellStyle name="Normal 2 3" xfId="38"/>
    <cellStyle name="Normal 2 3 2" xfId="40"/>
    <cellStyle name="Normal 3" xfId="36"/>
    <cellStyle name="Normal 3 2" xfId="41"/>
    <cellStyle name="Normal 4" xfId="42"/>
    <cellStyle name="Normal 4 2" xfId="43"/>
    <cellStyle name="Normal 5" xfId="23"/>
    <cellStyle name="Normal 5 2" xfId="44"/>
    <cellStyle name="Normal 6" xfId="45"/>
    <cellStyle name="Normal 6 2" xfId="46"/>
    <cellStyle name="Normal 7" xfId="47"/>
    <cellStyle name="Output Amounts 2" xfId="27"/>
    <cellStyle name="Output Column Headings" xfId="31"/>
    <cellStyle name="Output Column Headings 2" xfId="25"/>
    <cellStyle name="Output Line Items 2" xfId="26"/>
    <cellStyle name="Percent 5 2 2" xfId="28"/>
    <cellStyle name="Percent 6" xfId="30"/>
    <cellStyle name="Porcentaje" xfId="1" builtinId="5"/>
    <cellStyle name="Porcentaje 2" xfId="35"/>
    <cellStyle name="常规_Sales-statistics2" xfId="2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s.wikihow.com/calcular-el-capital-de-trabajo" TargetMode="Externa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s.wikihow.com/calcular-el-capital-de-trabajo" TargetMode="Externa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8" sqref="B8"/>
    </sheetView>
  </sheetViews>
  <sheetFormatPr baseColWidth="10" defaultRowHeight="15.75"/>
  <sheetData>
    <row r="2" spans="1:2">
      <c r="A2" t="s">
        <v>435</v>
      </c>
      <c r="B2" t="s">
        <v>437</v>
      </c>
    </row>
    <row r="4" spans="1:2">
      <c r="A4" t="s">
        <v>436</v>
      </c>
      <c r="B4" t="s">
        <v>434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opLeftCell="A34" workbookViewId="0">
      <selection activeCell="A16" sqref="A14:F16"/>
    </sheetView>
  </sheetViews>
  <sheetFormatPr baseColWidth="10" defaultColWidth="10.875" defaultRowHeight="15.75"/>
  <cols>
    <col min="1" max="1" width="21" style="20" bestFit="1" customWidth="1"/>
    <col min="2" max="3" width="14.125" style="20" customWidth="1"/>
    <col min="4" max="4" width="16.875" style="20" bestFit="1" customWidth="1"/>
    <col min="5" max="7" width="14.125" style="20" customWidth="1"/>
    <col min="8" max="8" width="16.375" style="20" customWidth="1"/>
    <col min="9" max="9" width="12.625" style="20" bestFit="1" customWidth="1"/>
    <col min="10" max="16384" width="10.875" style="20"/>
  </cols>
  <sheetData>
    <row r="1" spans="1:8" ht="16.5" thickBot="1">
      <c r="B1" s="403">
        <v>2016</v>
      </c>
      <c r="C1" s="404"/>
      <c r="D1" s="404"/>
      <c r="E1" s="404"/>
      <c r="F1" s="404"/>
      <c r="G1" s="404"/>
      <c r="H1" s="405"/>
    </row>
    <row r="2" spans="1:8" ht="16.5" thickBot="1">
      <c r="B2" s="158" t="s">
        <v>136</v>
      </c>
      <c r="C2" s="159" t="s">
        <v>137</v>
      </c>
      <c r="D2" s="159" t="s">
        <v>138</v>
      </c>
      <c r="E2" s="159" t="s">
        <v>110</v>
      </c>
      <c r="F2" s="159" t="s">
        <v>111</v>
      </c>
      <c r="G2" s="159" t="s">
        <v>112</v>
      </c>
      <c r="H2" s="160" t="s">
        <v>50</v>
      </c>
    </row>
    <row r="3" spans="1:8">
      <c r="A3" s="161" t="s">
        <v>113</v>
      </c>
      <c r="B3" s="162">
        <v>180900</v>
      </c>
      <c r="C3" s="162">
        <v>61975</v>
      </c>
      <c r="D3" s="162">
        <v>0</v>
      </c>
      <c r="E3" s="162">
        <f>+(SUM(B3)/12)*1.09*2</f>
        <v>32863.5</v>
      </c>
      <c r="F3" s="162">
        <f>+(B3+E3)/12</f>
        <v>17813.625</v>
      </c>
      <c r="G3" s="162">
        <f>+B3*9%</f>
        <v>16281</v>
      </c>
      <c r="H3" s="163">
        <f>+SUM(B3:G3)</f>
        <v>309833.125</v>
      </c>
    </row>
    <row r="4" spans="1:8">
      <c r="A4" s="164" t="s">
        <v>385</v>
      </c>
      <c r="B4" s="162">
        <v>140700</v>
      </c>
      <c r="C4" s="162">
        <v>72025</v>
      </c>
      <c r="D4" s="162">
        <v>51512.12</v>
      </c>
      <c r="E4" s="162">
        <f>+(SUM(B4:D4)/12)*1.09*2</f>
        <v>48003.076800000003</v>
      </c>
      <c r="F4" s="162">
        <f>+SUM(B4:E4)/12</f>
        <v>26020.016399999997</v>
      </c>
      <c r="G4" s="162">
        <f>+SUM(B4:D4)*9%</f>
        <v>23781.340799999998</v>
      </c>
      <c r="H4" s="163">
        <f t="shared" ref="H4" si="0">+SUM(B4:G4)</f>
        <v>362041.554</v>
      </c>
    </row>
    <row r="5" spans="1:8">
      <c r="A5" s="164" t="s">
        <v>114</v>
      </c>
      <c r="B5" s="162">
        <v>76043.525999999998</v>
      </c>
      <c r="C5" s="162">
        <v>48867.4</v>
      </c>
      <c r="D5" s="162">
        <v>0</v>
      </c>
      <c r="E5" s="162">
        <f>+(SUM(B5:D5)/12)*1.09*2</f>
        <v>22692.151556666671</v>
      </c>
      <c r="F5" s="162">
        <f>+SUM(B5:E5)/12</f>
        <v>12300.256463055557</v>
      </c>
      <c r="G5" s="162">
        <f>+SUM(B5:D5)*9%</f>
        <v>11241.983340000001</v>
      </c>
      <c r="H5" s="163">
        <f t="shared" ref="H5:H26" si="1">+SUM(B5:G5)</f>
        <v>171145.31735972225</v>
      </c>
    </row>
    <row r="6" spans="1:8">
      <c r="A6" s="164" t="s">
        <v>115</v>
      </c>
      <c r="B6" s="162">
        <v>20803.5</v>
      </c>
      <c r="C6" s="162"/>
      <c r="D6" s="162">
        <v>0</v>
      </c>
      <c r="E6" s="162">
        <f t="shared" ref="E6:E25" si="2">+(SUM(B6:D6)/12)*1.09*2</f>
        <v>3779.3025000000002</v>
      </c>
      <c r="F6" s="162">
        <f t="shared" ref="F6:F25" si="3">+SUM(B6:E6)/12</f>
        <v>2048.566875</v>
      </c>
      <c r="G6" s="162">
        <f t="shared" ref="G6:G25" si="4">+SUM(B6:D6)*9%</f>
        <v>1872.3149999999998</v>
      </c>
      <c r="H6" s="163">
        <f t="shared" si="1"/>
        <v>28503.684375000001</v>
      </c>
    </row>
    <row r="7" spans="1:8">
      <c r="A7" s="164" t="s">
        <v>133</v>
      </c>
      <c r="B7" s="162">
        <v>24120</v>
      </c>
      <c r="C7" s="162"/>
      <c r="D7" s="162">
        <v>0</v>
      </c>
      <c r="E7" s="162">
        <f t="shared" si="2"/>
        <v>4381.8</v>
      </c>
      <c r="F7" s="162">
        <f t="shared" si="3"/>
        <v>2375.15</v>
      </c>
      <c r="G7" s="162">
        <f t="shared" si="4"/>
        <v>2170.7999999999997</v>
      </c>
      <c r="H7" s="163">
        <f t="shared" si="1"/>
        <v>33047.75</v>
      </c>
    </row>
    <row r="8" spans="1:8">
      <c r="A8" s="164" t="s">
        <v>134</v>
      </c>
      <c r="B8" s="162">
        <v>24120</v>
      </c>
      <c r="C8" s="162"/>
      <c r="D8" s="162">
        <v>38634.089999999997</v>
      </c>
      <c r="E8" s="162">
        <f t="shared" si="2"/>
        <v>11400.326349999999</v>
      </c>
      <c r="F8" s="162">
        <f t="shared" si="3"/>
        <v>6179.534695833333</v>
      </c>
      <c r="G8" s="162">
        <f t="shared" si="4"/>
        <v>5647.8680999999997</v>
      </c>
      <c r="H8" s="163">
        <f t="shared" si="1"/>
        <v>85981.819145833346</v>
      </c>
    </row>
    <row r="9" spans="1:8">
      <c r="A9" s="164" t="s">
        <v>116</v>
      </c>
      <c r="B9" s="162">
        <v>20100</v>
      </c>
      <c r="C9" s="162"/>
      <c r="D9" s="162">
        <v>38634.089999999997</v>
      </c>
      <c r="E9" s="162">
        <f t="shared" si="2"/>
        <v>10670.02635</v>
      </c>
      <c r="F9" s="162">
        <f t="shared" si="3"/>
        <v>5783.6763624999994</v>
      </c>
      <c r="G9" s="162">
        <f t="shared" si="4"/>
        <v>5286.0680999999995</v>
      </c>
      <c r="H9" s="163">
        <f t="shared" si="1"/>
        <v>80473.860812500003</v>
      </c>
    </row>
    <row r="10" spans="1:8">
      <c r="A10" s="164" t="s">
        <v>117</v>
      </c>
      <c r="B10" s="162">
        <v>20100</v>
      </c>
      <c r="C10" s="162"/>
      <c r="D10" s="162">
        <v>38634.089999999997</v>
      </c>
      <c r="E10" s="162">
        <f t="shared" si="2"/>
        <v>10670.02635</v>
      </c>
      <c r="F10" s="162">
        <f t="shared" si="3"/>
        <v>5783.6763624999994</v>
      </c>
      <c r="G10" s="162">
        <f t="shared" si="4"/>
        <v>5286.0680999999995</v>
      </c>
      <c r="H10" s="163">
        <f t="shared" si="1"/>
        <v>80473.860812500003</v>
      </c>
    </row>
    <row r="11" spans="1:8">
      <c r="A11" s="164" t="s">
        <v>118</v>
      </c>
      <c r="B11" s="162"/>
      <c r="C11" s="162"/>
      <c r="D11" s="162"/>
      <c r="E11" s="162"/>
      <c r="F11" s="162"/>
      <c r="G11" s="162"/>
      <c r="H11" s="163">
        <f t="shared" si="1"/>
        <v>0</v>
      </c>
    </row>
    <row r="12" spans="1:8">
      <c r="A12" s="164" t="s">
        <v>119</v>
      </c>
      <c r="B12" s="162"/>
      <c r="C12" s="162"/>
      <c r="D12" s="162"/>
      <c r="E12" s="162"/>
      <c r="F12" s="162"/>
      <c r="G12" s="162"/>
      <c r="H12" s="163">
        <f t="shared" si="1"/>
        <v>0</v>
      </c>
    </row>
    <row r="13" spans="1:8">
      <c r="A13" s="164" t="s">
        <v>122</v>
      </c>
      <c r="B13" s="162"/>
      <c r="C13" s="162"/>
      <c r="D13" s="162"/>
      <c r="E13" s="162">
        <f t="shared" si="2"/>
        <v>0</v>
      </c>
      <c r="F13" s="162">
        <f t="shared" si="3"/>
        <v>0</v>
      </c>
      <c r="G13" s="162">
        <f t="shared" si="4"/>
        <v>0</v>
      </c>
      <c r="H13" s="163">
        <f t="shared" si="1"/>
        <v>0</v>
      </c>
    </row>
    <row r="14" spans="1:8">
      <c r="A14" s="164" t="s">
        <v>123</v>
      </c>
      <c r="B14" s="162"/>
      <c r="C14" s="162"/>
      <c r="D14" s="162"/>
      <c r="E14" s="162">
        <f t="shared" si="2"/>
        <v>0</v>
      </c>
      <c r="F14" s="162">
        <f t="shared" si="3"/>
        <v>0</v>
      </c>
      <c r="G14" s="162">
        <f t="shared" si="4"/>
        <v>0</v>
      </c>
      <c r="H14" s="163">
        <f t="shared" si="1"/>
        <v>0</v>
      </c>
    </row>
    <row r="15" spans="1:8">
      <c r="A15" s="164" t="s">
        <v>135</v>
      </c>
      <c r="B15" s="162">
        <v>24120</v>
      </c>
      <c r="C15" s="162"/>
      <c r="D15" s="162">
        <v>38634.089999999997</v>
      </c>
      <c r="E15" s="162">
        <f t="shared" si="2"/>
        <v>11400.326349999999</v>
      </c>
      <c r="F15" s="162">
        <f t="shared" si="3"/>
        <v>6179.534695833333</v>
      </c>
      <c r="G15" s="162">
        <f t="shared" si="4"/>
        <v>5647.8680999999997</v>
      </c>
      <c r="H15" s="163">
        <f t="shared" si="1"/>
        <v>85981.819145833346</v>
      </c>
    </row>
    <row r="16" spans="1:8">
      <c r="A16" s="164" t="s">
        <v>120</v>
      </c>
      <c r="B16" s="162">
        <v>20100</v>
      </c>
      <c r="C16" s="162"/>
      <c r="D16" s="162">
        <v>0</v>
      </c>
      <c r="E16" s="162">
        <f t="shared" si="2"/>
        <v>3651.5000000000005</v>
      </c>
      <c r="F16" s="162">
        <f t="shared" si="3"/>
        <v>1979.2916666666667</v>
      </c>
      <c r="G16" s="162">
        <f t="shared" si="4"/>
        <v>1809</v>
      </c>
      <c r="H16" s="163">
        <f t="shared" si="1"/>
        <v>27539.791666666668</v>
      </c>
    </row>
    <row r="17" spans="1:9">
      <c r="A17" s="164" t="s">
        <v>121</v>
      </c>
      <c r="B17" s="162"/>
      <c r="C17" s="162"/>
      <c r="D17" s="162"/>
      <c r="E17" s="162"/>
      <c r="F17" s="162"/>
      <c r="G17" s="162"/>
      <c r="H17" s="163">
        <f t="shared" si="1"/>
        <v>0</v>
      </c>
    </row>
    <row r="18" spans="1:9">
      <c r="A18" s="164" t="s">
        <v>124</v>
      </c>
      <c r="B18" s="162">
        <v>24120</v>
      </c>
      <c r="C18" s="162"/>
      <c r="D18" s="162">
        <v>0</v>
      </c>
      <c r="E18" s="162">
        <f t="shared" si="2"/>
        <v>4381.8</v>
      </c>
      <c r="F18" s="162">
        <f t="shared" si="3"/>
        <v>2375.15</v>
      </c>
      <c r="G18" s="162">
        <f t="shared" si="4"/>
        <v>2170.7999999999997</v>
      </c>
      <c r="H18" s="163">
        <f t="shared" si="1"/>
        <v>33047.75</v>
      </c>
    </row>
    <row r="19" spans="1:9">
      <c r="A19" s="164" t="s">
        <v>125</v>
      </c>
      <c r="B19" s="162">
        <v>18090</v>
      </c>
      <c r="C19" s="162"/>
      <c r="D19" s="162">
        <v>0</v>
      </c>
      <c r="E19" s="162">
        <f t="shared" si="2"/>
        <v>3286.3500000000004</v>
      </c>
      <c r="F19" s="162">
        <f t="shared" si="3"/>
        <v>1781.3625</v>
      </c>
      <c r="G19" s="162">
        <f t="shared" si="4"/>
        <v>1628.1</v>
      </c>
      <c r="H19" s="163">
        <f t="shared" si="1"/>
        <v>24785.812499999996</v>
      </c>
    </row>
    <row r="20" spans="1:9">
      <c r="A20" s="164" t="s">
        <v>126</v>
      </c>
      <c r="B20" s="162"/>
      <c r="C20" s="162"/>
      <c r="D20" s="162"/>
      <c r="E20" s="162">
        <f t="shared" si="2"/>
        <v>0</v>
      </c>
      <c r="F20" s="162">
        <f t="shared" si="3"/>
        <v>0</v>
      </c>
      <c r="G20" s="162">
        <f t="shared" si="4"/>
        <v>0</v>
      </c>
      <c r="H20" s="163">
        <f t="shared" si="1"/>
        <v>0</v>
      </c>
    </row>
    <row r="21" spans="1:9">
      <c r="A21" s="164" t="s">
        <v>127</v>
      </c>
      <c r="B21" s="162">
        <v>16080</v>
      </c>
      <c r="C21" s="162"/>
      <c r="D21" s="162">
        <v>12878.03</v>
      </c>
      <c r="E21" s="162">
        <f t="shared" si="2"/>
        <v>5260.7087833333335</v>
      </c>
      <c r="F21" s="162">
        <f t="shared" si="3"/>
        <v>2851.5615652777778</v>
      </c>
      <c r="G21" s="162">
        <f t="shared" si="4"/>
        <v>2606.2226999999998</v>
      </c>
      <c r="H21" s="163">
        <f t="shared" si="1"/>
        <v>39676.52304861111</v>
      </c>
    </row>
    <row r="22" spans="1:9">
      <c r="A22" s="164" t="s">
        <v>128</v>
      </c>
      <c r="B22" s="162"/>
      <c r="C22" s="162"/>
      <c r="D22" s="162"/>
      <c r="E22" s="162"/>
      <c r="F22" s="162"/>
      <c r="G22" s="162"/>
      <c r="H22" s="163">
        <f t="shared" si="1"/>
        <v>0</v>
      </c>
    </row>
    <row r="23" spans="1:9">
      <c r="A23" s="164" t="s">
        <v>129</v>
      </c>
      <c r="B23" s="162"/>
      <c r="C23" s="162"/>
      <c r="D23" s="162"/>
      <c r="E23" s="162"/>
      <c r="F23" s="162"/>
      <c r="G23" s="162"/>
      <c r="H23" s="163">
        <f t="shared" si="1"/>
        <v>0</v>
      </c>
    </row>
    <row r="24" spans="1:9">
      <c r="A24" s="164" t="s">
        <v>130</v>
      </c>
      <c r="B24" s="162"/>
      <c r="C24" s="162"/>
      <c r="D24" s="162"/>
      <c r="E24" s="162">
        <f t="shared" si="2"/>
        <v>0</v>
      </c>
      <c r="F24" s="162">
        <f t="shared" si="3"/>
        <v>0</v>
      </c>
      <c r="G24" s="162">
        <f t="shared" si="4"/>
        <v>0</v>
      </c>
      <c r="H24" s="163">
        <f t="shared" si="1"/>
        <v>0</v>
      </c>
    </row>
    <row r="25" spans="1:9">
      <c r="A25" s="164" t="s">
        <v>131</v>
      </c>
      <c r="B25" s="162">
        <v>20100</v>
      </c>
      <c r="C25" s="162"/>
      <c r="D25" s="162">
        <v>38634.089999999997</v>
      </c>
      <c r="E25" s="162">
        <f t="shared" si="2"/>
        <v>10670.02635</v>
      </c>
      <c r="F25" s="162">
        <f t="shared" si="3"/>
        <v>5783.6763624999994</v>
      </c>
      <c r="G25" s="162">
        <f t="shared" si="4"/>
        <v>5286.0680999999995</v>
      </c>
      <c r="H25" s="163">
        <f t="shared" si="1"/>
        <v>80473.860812500003</v>
      </c>
    </row>
    <row r="26" spans="1:9" ht="16.5" thickBot="1">
      <c r="A26" s="164" t="s">
        <v>132</v>
      </c>
      <c r="B26" s="162"/>
      <c r="C26" s="162"/>
      <c r="D26" s="162"/>
      <c r="E26" s="162"/>
      <c r="F26" s="162"/>
      <c r="G26" s="162"/>
      <c r="H26" s="163">
        <f t="shared" si="1"/>
        <v>0</v>
      </c>
    </row>
    <row r="27" spans="1:9" ht="16.5" thickBot="1">
      <c r="A27" s="424" t="s">
        <v>50</v>
      </c>
      <c r="B27" s="425">
        <f t="shared" ref="B27:H27" si="5">+SUM(B3:B26)</f>
        <v>629497.02600000007</v>
      </c>
      <c r="C27" s="425">
        <f t="shared" si="5"/>
        <v>182867.4</v>
      </c>
      <c r="D27" s="425">
        <f t="shared" si="5"/>
        <v>257560.59999999998</v>
      </c>
      <c r="E27" s="425">
        <f t="shared" si="5"/>
        <v>183110.92139000003</v>
      </c>
      <c r="F27" s="425">
        <f t="shared" si="5"/>
        <v>99255.07894916668</v>
      </c>
      <c r="G27" s="425">
        <f t="shared" si="5"/>
        <v>90715.502340000006</v>
      </c>
      <c r="H27" s="426">
        <f t="shared" si="5"/>
        <v>1443006.5286791669</v>
      </c>
      <c r="I27" s="162"/>
    </row>
    <row r="29" spans="1:9" ht="16.5" thickBot="1"/>
    <row r="30" spans="1:9" ht="16.5" thickBot="1">
      <c r="B30" s="403">
        <v>2017</v>
      </c>
      <c r="C30" s="404"/>
      <c r="D30" s="404"/>
      <c r="E30" s="404"/>
      <c r="F30" s="404"/>
      <c r="G30" s="404"/>
      <c r="H30" s="405"/>
    </row>
    <row r="31" spans="1:9" ht="16.5" thickBot="1">
      <c r="B31" s="158" t="s">
        <v>136</v>
      </c>
      <c r="C31" s="159" t="s">
        <v>137</v>
      </c>
      <c r="D31" s="159" t="s">
        <v>138</v>
      </c>
      <c r="E31" s="159" t="s">
        <v>110</v>
      </c>
      <c r="F31" s="159" t="s">
        <v>111</v>
      </c>
      <c r="G31" s="159" t="s">
        <v>112</v>
      </c>
      <c r="H31" s="160" t="s">
        <v>50</v>
      </c>
    </row>
    <row r="32" spans="1:9">
      <c r="A32" s="161" t="s">
        <v>113</v>
      </c>
      <c r="B32" s="162">
        <v>211050</v>
      </c>
      <c r="C32" s="162">
        <v>67000</v>
      </c>
      <c r="D32" s="162">
        <v>0</v>
      </c>
      <c r="E32" s="162">
        <f>+(SUM(B32)/12)*1.09*2</f>
        <v>38340.75</v>
      </c>
      <c r="F32" s="162">
        <f>+(B32+E32)/12</f>
        <v>20782.5625</v>
      </c>
      <c r="G32" s="162">
        <f>+B32*9%</f>
        <v>18994.5</v>
      </c>
      <c r="H32" s="163">
        <f>+SUM(B32:G32)</f>
        <v>356167.8125</v>
      </c>
    </row>
    <row r="33" spans="1:8">
      <c r="A33" s="164" t="s">
        <v>114</v>
      </c>
      <c r="B33" s="162">
        <v>80400</v>
      </c>
      <c r="C33" s="162">
        <v>20100</v>
      </c>
      <c r="D33" s="162">
        <v>0</v>
      </c>
      <c r="E33" s="162">
        <f>+(SUM(B33:D33)/12)*1.09*2</f>
        <v>18257.5</v>
      </c>
      <c r="F33" s="162">
        <f>+SUM(B33:E33)/12</f>
        <v>9896.4583333333339</v>
      </c>
      <c r="G33" s="162">
        <f>+SUM(B33:D33)*9%</f>
        <v>9045</v>
      </c>
      <c r="H33" s="163">
        <f t="shared" ref="H33:H54" si="6">+SUM(B33:G33)</f>
        <v>137698.95833333331</v>
      </c>
    </row>
    <row r="34" spans="1:8">
      <c r="A34" s="164" t="s">
        <v>115</v>
      </c>
      <c r="B34" s="162">
        <v>80400</v>
      </c>
      <c r="C34" s="162">
        <v>12060</v>
      </c>
      <c r="D34" s="162">
        <v>0</v>
      </c>
      <c r="E34" s="162">
        <f t="shared" ref="E34:E54" si="7">+(SUM(B34:D34)/12)*1.09*2</f>
        <v>16796.900000000001</v>
      </c>
      <c r="F34" s="162">
        <f t="shared" ref="F34:F54" si="8">+SUM(B34:E34)/12</f>
        <v>9104.7416666666668</v>
      </c>
      <c r="G34" s="162">
        <f t="shared" ref="G34:G54" si="9">+SUM(B34:D34)*9%</f>
        <v>8321.4</v>
      </c>
      <c r="H34" s="163">
        <f t="shared" si="6"/>
        <v>126683.04166666666</v>
      </c>
    </row>
    <row r="35" spans="1:8">
      <c r="A35" s="164" t="s">
        <v>133</v>
      </c>
      <c r="B35" s="162">
        <v>24120</v>
      </c>
      <c r="C35" s="162">
        <v>8040</v>
      </c>
      <c r="D35" s="162">
        <v>0</v>
      </c>
      <c r="E35" s="162">
        <f t="shared" si="7"/>
        <v>5842.4000000000005</v>
      </c>
      <c r="F35" s="162">
        <f t="shared" si="8"/>
        <v>3166.8666666666668</v>
      </c>
      <c r="G35" s="162">
        <f t="shared" si="9"/>
        <v>2894.4</v>
      </c>
      <c r="H35" s="163">
        <f t="shared" si="6"/>
        <v>44063.666666666672</v>
      </c>
    </row>
    <row r="36" spans="1:8">
      <c r="A36" s="164" t="s">
        <v>134</v>
      </c>
      <c r="B36" s="162">
        <v>24120</v>
      </c>
      <c r="C36" s="162">
        <v>16080</v>
      </c>
      <c r="D36" s="162">
        <v>32160</v>
      </c>
      <c r="E36" s="162">
        <f t="shared" si="7"/>
        <v>13145.400000000001</v>
      </c>
      <c r="F36" s="162">
        <f t="shared" si="8"/>
        <v>7125.45</v>
      </c>
      <c r="G36" s="162">
        <f t="shared" si="9"/>
        <v>6512.4</v>
      </c>
      <c r="H36" s="163">
        <f t="shared" si="6"/>
        <v>99143.249999999985</v>
      </c>
    </row>
    <row r="37" spans="1:8">
      <c r="A37" s="164" t="s">
        <v>116</v>
      </c>
      <c r="B37" s="162">
        <v>20100</v>
      </c>
      <c r="C37" s="162">
        <v>8040</v>
      </c>
      <c r="D37" s="162">
        <v>24120</v>
      </c>
      <c r="E37" s="162">
        <f t="shared" si="7"/>
        <v>9493.9000000000015</v>
      </c>
      <c r="F37" s="162">
        <f t="shared" si="8"/>
        <v>5146.1583333333338</v>
      </c>
      <c r="G37" s="162">
        <f t="shared" si="9"/>
        <v>4703.3999999999996</v>
      </c>
      <c r="H37" s="163">
        <f t="shared" si="6"/>
        <v>71603.458333333328</v>
      </c>
    </row>
    <row r="38" spans="1:8">
      <c r="A38" s="164" t="s">
        <v>117</v>
      </c>
      <c r="B38" s="162">
        <v>20100</v>
      </c>
      <c r="C38" s="162">
        <v>8040</v>
      </c>
      <c r="D38" s="162">
        <v>24120</v>
      </c>
      <c r="E38" s="162">
        <f t="shared" si="7"/>
        <v>9493.9000000000015</v>
      </c>
      <c r="F38" s="162">
        <f t="shared" si="8"/>
        <v>5146.1583333333338</v>
      </c>
      <c r="G38" s="162">
        <f t="shared" si="9"/>
        <v>4703.3999999999996</v>
      </c>
      <c r="H38" s="163">
        <f t="shared" si="6"/>
        <v>71603.458333333328</v>
      </c>
    </row>
    <row r="39" spans="1:8">
      <c r="A39" s="164" t="s">
        <v>118</v>
      </c>
      <c r="B39" s="162">
        <v>20100</v>
      </c>
      <c r="C39" s="162">
        <v>8040</v>
      </c>
      <c r="D39" s="162">
        <v>24120</v>
      </c>
      <c r="E39" s="162">
        <f t="shared" si="7"/>
        <v>9493.9000000000015</v>
      </c>
      <c r="F39" s="162">
        <f t="shared" si="8"/>
        <v>5146.1583333333338</v>
      </c>
      <c r="G39" s="162">
        <f t="shared" si="9"/>
        <v>4703.3999999999996</v>
      </c>
      <c r="H39" s="163">
        <f t="shared" si="6"/>
        <v>71603.458333333328</v>
      </c>
    </row>
    <row r="40" spans="1:8">
      <c r="A40" s="164" t="s">
        <v>119</v>
      </c>
      <c r="B40" s="162">
        <v>20100</v>
      </c>
      <c r="C40" s="162">
        <v>8040</v>
      </c>
      <c r="D40" s="162">
        <v>24120</v>
      </c>
      <c r="E40" s="162">
        <f t="shared" si="7"/>
        <v>9493.9000000000015</v>
      </c>
      <c r="F40" s="162">
        <f t="shared" si="8"/>
        <v>5146.1583333333338</v>
      </c>
      <c r="G40" s="162">
        <f t="shared" si="9"/>
        <v>4703.3999999999996</v>
      </c>
      <c r="H40" s="163">
        <f t="shared" si="6"/>
        <v>71603.458333333328</v>
      </c>
    </row>
    <row r="41" spans="1:8">
      <c r="A41" s="164" t="s">
        <v>122</v>
      </c>
      <c r="B41" s="162"/>
      <c r="C41" s="162"/>
      <c r="D41" s="162"/>
      <c r="E41" s="162">
        <f t="shared" si="7"/>
        <v>0</v>
      </c>
      <c r="F41" s="162">
        <f t="shared" si="8"/>
        <v>0</v>
      </c>
      <c r="G41" s="162">
        <f t="shared" si="9"/>
        <v>0</v>
      </c>
      <c r="H41" s="163">
        <f t="shared" si="6"/>
        <v>0</v>
      </c>
    </row>
    <row r="42" spans="1:8">
      <c r="A42" s="164" t="s">
        <v>123</v>
      </c>
      <c r="B42" s="162"/>
      <c r="C42" s="162"/>
      <c r="D42" s="162"/>
      <c r="E42" s="162">
        <f t="shared" si="7"/>
        <v>0</v>
      </c>
      <c r="F42" s="162">
        <f t="shared" si="8"/>
        <v>0</v>
      </c>
      <c r="G42" s="162">
        <f t="shared" si="9"/>
        <v>0</v>
      </c>
      <c r="H42" s="163">
        <f t="shared" si="6"/>
        <v>0</v>
      </c>
    </row>
    <row r="43" spans="1:8">
      <c r="A43" s="164" t="s">
        <v>135</v>
      </c>
      <c r="B43" s="162">
        <v>24120</v>
      </c>
      <c r="C43" s="162">
        <v>16080</v>
      </c>
      <c r="D43" s="162">
        <v>32160</v>
      </c>
      <c r="E43" s="162">
        <f t="shared" si="7"/>
        <v>13145.400000000001</v>
      </c>
      <c r="F43" s="162">
        <f t="shared" si="8"/>
        <v>7125.45</v>
      </c>
      <c r="G43" s="162">
        <f t="shared" si="9"/>
        <v>6512.4</v>
      </c>
      <c r="H43" s="163">
        <f t="shared" si="6"/>
        <v>99143.249999999985</v>
      </c>
    </row>
    <row r="44" spans="1:8">
      <c r="A44" s="164" t="s">
        <v>120</v>
      </c>
      <c r="B44" s="162">
        <v>20100</v>
      </c>
      <c r="C44" s="162">
        <v>8040</v>
      </c>
      <c r="D44" s="162">
        <v>0</v>
      </c>
      <c r="E44" s="162">
        <f t="shared" si="7"/>
        <v>5112.1000000000004</v>
      </c>
      <c r="F44" s="162">
        <f t="shared" si="8"/>
        <v>2771.0083333333332</v>
      </c>
      <c r="G44" s="162">
        <f t="shared" si="9"/>
        <v>2532.6</v>
      </c>
      <c r="H44" s="163">
        <f t="shared" si="6"/>
        <v>38555.708333333328</v>
      </c>
    </row>
    <row r="45" spans="1:8">
      <c r="A45" s="164" t="s">
        <v>121</v>
      </c>
      <c r="B45" s="162">
        <v>1050</v>
      </c>
      <c r="C45" s="162">
        <v>4020</v>
      </c>
      <c r="D45" s="162">
        <v>0</v>
      </c>
      <c r="E45" s="162">
        <f t="shared" si="7"/>
        <v>921.05000000000007</v>
      </c>
      <c r="F45" s="162">
        <f t="shared" si="8"/>
        <v>499.25416666666666</v>
      </c>
      <c r="G45" s="162">
        <f t="shared" si="9"/>
        <v>456.3</v>
      </c>
      <c r="H45" s="163">
        <f t="shared" si="6"/>
        <v>6946.604166666667</v>
      </c>
    </row>
    <row r="46" spans="1:8">
      <c r="A46" s="164" t="s">
        <v>124</v>
      </c>
      <c r="B46" s="162">
        <v>28140</v>
      </c>
      <c r="C46" s="162">
        <v>16080</v>
      </c>
      <c r="D46" s="162">
        <v>0</v>
      </c>
      <c r="E46" s="162">
        <f t="shared" si="7"/>
        <v>8033.3</v>
      </c>
      <c r="F46" s="162">
        <f t="shared" si="8"/>
        <v>4354.4416666666666</v>
      </c>
      <c r="G46" s="162">
        <f t="shared" si="9"/>
        <v>3979.7999999999997</v>
      </c>
      <c r="H46" s="163">
        <f t="shared" si="6"/>
        <v>60587.541666666672</v>
      </c>
    </row>
    <row r="47" spans="1:8">
      <c r="A47" s="164" t="s">
        <v>125</v>
      </c>
      <c r="B47" s="162">
        <v>20100</v>
      </c>
      <c r="C47" s="162">
        <v>8040</v>
      </c>
      <c r="D47" s="162">
        <v>0</v>
      </c>
      <c r="E47" s="162">
        <f t="shared" si="7"/>
        <v>5112.1000000000004</v>
      </c>
      <c r="F47" s="162">
        <f t="shared" si="8"/>
        <v>2771.0083333333332</v>
      </c>
      <c r="G47" s="162">
        <f t="shared" si="9"/>
        <v>2532.6</v>
      </c>
      <c r="H47" s="163">
        <f t="shared" si="6"/>
        <v>38555.708333333328</v>
      </c>
    </row>
    <row r="48" spans="1:8">
      <c r="A48" s="164" t="s">
        <v>126</v>
      </c>
      <c r="B48" s="162"/>
      <c r="C48" s="162"/>
      <c r="D48" s="162"/>
      <c r="E48" s="162">
        <f t="shared" si="7"/>
        <v>0</v>
      </c>
      <c r="F48" s="162">
        <f t="shared" si="8"/>
        <v>0</v>
      </c>
      <c r="G48" s="162">
        <f t="shared" si="9"/>
        <v>0</v>
      </c>
      <c r="H48" s="163">
        <f t="shared" si="6"/>
        <v>0</v>
      </c>
    </row>
    <row r="49" spans="1:8">
      <c r="A49" s="164" t="s">
        <v>127</v>
      </c>
      <c r="B49" s="162">
        <v>20100</v>
      </c>
      <c r="C49" s="162">
        <v>8040</v>
      </c>
      <c r="D49" s="162">
        <v>4020</v>
      </c>
      <c r="E49" s="162">
        <f t="shared" si="7"/>
        <v>5842.4000000000005</v>
      </c>
      <c r="F49" s="162">
        <f t="shared" si="8"/>
        <v>3166.8666666666668</v>
      </c>
      <c r="G49" s="162">
        <f t="shared" si="9"/>
        <v>2894.4</v>
      </c>
      <c r="H49" s="163">
        <f t="shared" si="6"/>
        <v>44063.666666666672</v>
      </c>
    </row>
    <row r="50" spans="1:8">
      <c r="A50" s="164" t="s">
        <v>128</v>
      </c>
      <c r="B50" s="162">
        <v>20100</v>
      </c>
      <c r="C50" s="162">
        <v>8040</v>
      </c>
      <c r="D50" s="162">
        <v>4020</v>
      </c>
      <c r="E50" s="162">
        <f t="shared" si="7"/>
        <v>5842.4000000000005</v>
      </c>
      <c r="F50" s="162">
        <f t="shared" si="8"/>
        <v>3166.8666666666668</v>
      </c>
      <c r="G50" s="162">
        <f t="shared" si="9"/>
        <v>2894.4</v>
      </c>
      <c r="H50" s="163">
        <f t="shared" si="6"/>
        <v>44063.666666666672</v>
      </c>
    </row>
    <row r="51" spans="1:8">
      <c r="A51" s="164" t="s">
        <v>129</v>
      </c>
      <c r="B51" s="162">
        <v>8375</v>
      </c>
      <c r="C51" s="162">
        <v>3350</v>
      </c>
      <c r="D51" s="162">
        <v>1675</v>
      </c>
      <c r="E51" s="162">
        <f t="shared" si="7"/>
        <v>2434.3333333333335</v>
      </c>
      <c r="F51" s="162">
        <f t="shared" si="8"/>
        <v>1319.5277777777778</v>
      </c>
      <c r="G51" s="162">
        <f t="shared" si="9"/>
        <v>1206</v>
      </c>
      <c r="H51" s="163">
        <f t="shared" si="6"/>
        <v>18359.861111111113</v>
      </c>
    </row>
    <row r="52" spans="1:8">
      <c r="A52" s="164" t="s">
        <v>130</v>
      </c>
      <c r="B52" s="162">
        <v>16884</v>
      </c>
      <c r="C52" s="162">
        <v>8040</v>
      </c>
      <c r="D52" s="162">
        <v>6934.5</v>
      </c>
      <c r="E52" s="162">
        <f t="shared" si="7"/>
        <v>5787.6275000000005</v>
      </c>
      <c r="F52" s="162">
        <f t="shared" si="8"/>
        <v>3137.1772916666669</v>
      </c>
      <c r="G52" s="162">
        <f t="shared" si="9"/>
        <v>2867.2649999999999</v>
      </c>
      <c r="H52" s="163">
        <f t="shared" si="6"/>
        <v>43650.569791666669</v>
      </c>
    </row>
    <row r="53" spans="1:8">
      <c r="A53" s="164" t="s">
        <v>131</v>
      </c>
      <c r="B53" s="162">
        <v>20100</v>
      </c>
      <c r="C53" s="162">
        <v>0</v>
      </c>
      <c r="D53" s="162">
        <v>32160</v>
      </c>
      <c r="E53" s="162">
        <f t="shared" si="7"/>
        <v>9493.9000000000015</v>
      </c>
      <c r="F53" s="162">
        <f t="shared" si="8"/>
        <v>5146.1583333333338</v>
      </c>
      <c r="G53" s="162">
        <f t="shared" si="9"/>
        <v>4703.3999999999996</v>
      </c>
      <c r="H53" s="163">
        <f t="shared" si="6"/>
        <v>71603.458333333328</v>
      </c>
    </row>
    <row r="54" spans="1:8" ht="16.5" thickBot="1">
      <c r="A54" s="164" t="s">
        <v>132</v>
      </c>
      <c r="B54" s="162">
        <v>20100</v>
      </c>
      <c r="C54" s="162">
        <v>0</v>
      </c>
      <c r="D54" s="162">
        <v>32160</v>
      </c>
      <c r="E54" s="162">
        <f t="shared" si="7"/>
        <v>9493.9000000000015</v>
      </c>
      <c r="F54" s="162">
        <f t="shared" si="8"/>
        <v>5146.1583333333338</v>
      </c>
      <c r="G54" s="162">
        <f t="shared" si="9"/>
        <v>4703.3999999999996</v>
      </c>
      <c r="H54" s="163">
        <f t="shared" si="6"/>
        <v>71603.458333333328</v>
      </c>
    </row>
    <row r="55" spans="1:8" ht="16.5" thickBot="1">
      <c r="A55" s="424" t="s">
        <v>50</v>
      </c>
      <c r="B55" s="425">
        <f t="shared" ref="B55:H55" si="10">+SUM(B32:B54)</f>
        <v>699659</v>
      </c>
      <c r="C55" s="425">
        <f t="shared" si="10"/>
        <v>235170</v>
      </c>
      <c r="D55" s="425">
        <f t="shared" si="10"/>
        <v>241769.5</v>
      </c>
      <c r="E55" s="425">
        <f t="shared" si="10"/>
        <v>201577.06083333326</v>
      </c>
      <c r="F55" s="425">
        <f t="shared" si="10"/>
        <v>109264.63006944447</v>
      </c>
      <c r="G55" s="425">
        <f t="shared" si="10"/>
        <v>99863.865000000005</v>
      </c>
      <c r="H55" s="426">
        <f t="shared" si="10"/>
        <v>1587304.0559027777</v>
      </c>
    </row>
    <row r="57" spans="1:8" ht="16.5" thickBot="1"/>
    <row r="58" spans="1:8" ht="16.5" thickBot="1">
      <c r="B58" s="403">
        <v>2018</v>
      </c>
      <c r="C58" s="404"/>
      <c r="D58" s="404"/>
      <c r="E58" s="404"/>
      <c r="F58" s="404"/>
      <c r="G58" s="404"/>
      <c r="H58" s="405"/>
    </row>
    <row r="59" spans="1:8" ht="16.5" thickBot="1">
      <c r="B59" s="158" t="s">
        <v>136</v>
      </c>
      <c r="C59" s="159" t="s">
        <v>137</v>
      </c>
      <c r="D59" s="159" t="s">
        <v>138</v>
      </c>
      <c r="E59" s="159" t="s">
        <v>110</v>
      </c>
      <c r="F59" s="159" t="s">
        <v>111</v>
      </c>
      <c r="G59" s="159" t="s">
        <v>112</v>
      </c>
      <c r="H59" s="160" t="s">
        <v>50</v>
      </c>
    </row>
    <row r="60" spans="1:8">
      <c r="A60" s="161" t="s">
        <v>113</v>
      </c>
      <c r="B60" s="162">
        <v>221602.5</v>
      </c>
      <c r="C60" s="162">
        <v>70350</v>
      </c>
      <c r="D60" s="162">
        <v>0</v>
      </c>
      <c r="E60" s="162">
        <f>+(SUM(B60)/12)*1.09*2</f>
        <v>40257.787500000006</v>
      </c>
      <c r="F60" s="162">
        <f>+(B60+E60)/12</f>
        <v>21821.690624999999</v>
      </c>
      <c r="G60" s="162">
        <f>+B60*9%</f>
        <v>19944.224999999999</v>
      </c>
      <c r="H60" s="163">
        <f>+SUM(B60:G60)</f>
        <v>373976.20312499994</v>
      </c>
    </row>
    <row r="61" spans="1:8">
      <c r="A61" s="164" t="s">
        <v>114</v>
      </c>
      <c r="B61" s="162">
        <v>84420</v>
      </c>
      <c r="C61" s="162">
        <v>21105</v>
      </c>
      <c r="D61" s="162">
        <v>0</v>
      </c>
      <c r="E61" s="162">
        <f>+(SUM(B61:D61)/12)*1.09*2</f>
        <v>19170.375</v>
      </c>
      <c r="F61" s="162">
        <f>+SUM(B61:E61)/12</f>
        <v>10391.28125</v>
      </c>
      <c r="G61" s="162">
        <f>+SUM(B61:D61)*9%</f>
        <v>9497.25</v>
      </c>
      <c r="H61" s="163">
        <f t="shared" ref="H61:H84" si="11">+SUM(B61:G61)</f>
        <v>144583.90625</v>
      </c>
    </row>
    <row r="62" spans="1:8">
      <c r="A62" s="164" t="s">
        <v>115</v>
      </c>
      <c r="B62" s="162">
        <v>84420</v>
      </c>
      <c r="C62" s="162">
        <v>12663</v>
      </c>
      <c r="D62" s="162">
        <v>0</v>
      </c>
      <c r="E62" s="162">
        <f t="shared" ref="E62:E84" si="12">+(SUM(B62:D62)/12)*1.09*2</f>
        <v>17636.745000000003</v>
      </c>
      <c r="F62" s="162">
        <f t="shared" ref="F62:F84" si="13">+SUM(B62:E62)/12</f>
        <v>9559.9787500000002</v>
      </c>
      <c r="G62" s="162">
        <f t="shared" ref="G62:G84" si="14">+SUM(B62:D62)*9%</f>
        <v>8737.4699999999993</v>
      </c>
      <c r="H62" s="163">
        <f t="shared" si="11"/>
        <v>133017.19374999998</v>
      </c>
    </row>
    <row r="63" spans="1:8">
      <c r="A63" s="164" t="s">
        <v>133</v>
      </c>
      <c r="B63" s="162">
        <v>25326</v>
      </c>
      <c r="C63" s="162">
        <v>8442</v>
      </c>
      <c r="D63" s="162">
        <v>0</v>
      </c>
      <c r="E63" s="162">
        <f t="shared" si="12"/>
        <v>6134.52</v>
      </c>
      <c r="F63" s="162">
        <f t="shared" si="13"/>
        <v>3325.2100000000005</v>
      </c>
      <c r="G63" s="162">
        <f t="shared" si="14"/>
        <v>3039.12</v>
      </c>
      <c r="H63" s="163">
        <f t="shared" si="11"/>
        <v>46266.850000000006</v>
      </c>
    </row>
    <row r="64" spans="1:8">
      <c r="A64" s="164" t="s">
        <v>134</v>
      </c>
      <c r="B64" s="162">
        <v>25326</v>
      </c>
      <c r="C64" s="162">
        <v>16884</v>
      </c>
      <c r="D64" s="162">
        <v>36984</v>
      </c>
      <c r="E64" s="162">
        <f t="shared" si="12"/>
        <v>14386.910000000002</v>
      </c>
      <c r="F64" s="162">
        <f t="shared" si="13"/>
        <v>7798.4091666666673</v>
      </c>
      <c r="G64" s="162">
        <f t="shared" si="14"/>
        <v>7127.46</v>
      </c>
      <c r="H64" s="163">
        <f t="shared" si="11"/>
        <v>108506.77916666667</v>
      </c>
    </row>
    <row r="65" spans="1:8">
      <c r="A65" s="164" t="s">
        <v>116</v>
      </c>
      <c r="B65" s="162">
        <v>21105</v>
      </c>
      <c r="C65" s="162">
        <v>8442</v>
      </c>
      <c r="D65" s="162">
        <v>27737.999999999996</v>
      </c>
      <c r="E65" s="162">
        <f t="shared" si="12"/>
        <v>10406.775000000001</v>
      </c>
      <c r="F65" s="162">
        <f t="shared" si="13"/>
        <v>5640.9812499999998</v>
      </c>
      <c r="G65" s="162">
        <f t="shared" si="14"/>
        <v>5155.6499999999996</v>
      </c>
      <c r="H65" s="163">
        <f t="shared" si="11"/>
        <v>78488.406249999985</v>
      </c>
    </row>
    <row r="66" spans="1:8">
      <c r="A66" s="164" t="s">
        <v>117</v>
      </c>
      <c r="B66" s="162">
        <v>21105</v>
      </c>
      <c r="C66" s="162">
        <v>8442</v>
      </c>
      <c r="D66" s="162">
        <v>27737.999999999996</v>
      </c>
      <c r="E66" s="162">
        <f t="shared" si="12"/>
        <v>10406.775000000001</v>
      </c>
      <c r="F66" s="162">
        <f t="shared" si="13"/>
        <v>5640.9812499999998</v>
      </c>
      <c r="G66" s="162">
        <f t="shared" si="14"/>
        <v>5155.6499999999996</v>
      </c>
      <c r="H66" s="163">
        <f t="shared" si="11"/>
        <v>78488.406249999985</v>
      </c>
    </row>
    <row r="67" spans="1:8">
      <c r="A67" s="164" t="s">
        <v>118</v>
      </c>
      <c r="B67" s="162">
        <v>21105</v>
      </c>
      <c r="C67" s="162">
        <v>8442</v>
      </c>
      <c r="D67" s="162">
        <v>27737.999999999996</v>
      </c>
      <c r="E67" s="162">
        <f t="shared" si="12"/>
        <v>10406.775000000001</v>
      </c>
      <c r="F67" s="162">
        <f t="shared" si="13"/>
        <v>5640.9812499999998</v>
      </c>
      <c r="G67" s="162">
        <f t="shared" si="14"/>
        <v>5155.6499999999996</v>
      </c>
      <c r="H67" s="163">
        <f t="shared" si="11"/>
        <v>78488.406249999985</v>
      </c>
    </row>
    <row r="68" spans="1:8">
      <c r="A68" s="164" t="s">
        <v>119</v>
      </c>
      <c r="B68" s="162">
        <v>21105</v>
      </c>
      <c r="C68" s="162">
        <v>8442</v>
      </c>
      <c r="D68" s="162">
        <v>27737.999999999996</v>
      </c>
      <c r="E68" s="162">
        <f t="shared" si="12"/>
        <v>10406.775000000001</v>
      </c>
      <c r="F68" s="162">
        <f t="shared" si="13"/>
        <v>5640.9812499999998</v>
      </c>
      <c r="G68" s="162">
        <f t="shared" si="14"/>
        <v>5155.6499999999996</v>
      </c>
      <c r="H68" s="163">
        <f t="shared" si="11"/>
        <v>78488.406249999985</v>
      </c>
    </row>
    <row r="69" spans="1:8">
      <c r="A69" s="164" t="s">
        <v>122</v>
      </c>
      <c r="B69" s="162">
        <v>21105</v>
      </c>
      <c r="C69" s="162">
        <v>8442</v>
      </c>
      <c r="D69" s="162">
        <v>27737.999999999996</v>
      </c>
      <c r="E69" s="162">
        <f t="shared" si="12"/>
        <v>10406.775000000001</v>
      </c>
      <c r="F69" s="162">
        <f t="shared" si="13"/>
        <v>5640.9812499999998</v>
      </c>
      <c r="G69" s="162">
        <f t="shared" si="14"/>
        <v>5155.6499999999996</v>
      </c>
      <c r="H69" s="163">
        <f t="shared" si="11"/>
        <v>78488.406249999985</v>
      </c>
    </row>
    <row r="70" spans="1:8">
      <c r="A70" s="164" t="s">
        <v>123</v>
      </c>
      <c r="B70" s="162">
        <v>21105</v>
      </c>
      <c r="C70" s="162">
        <v>8442</v>
      </c>
      <c r="D70" s="162">
        <v>27737.999999999996</v>
      </c>
      <c r="E70" s="162">
        <f t="shared" si="12"/>
        <v>10406.775000000001</v>
      </c>
      <c r="F70" s="162">
        <f t="shared" si="13"/>
        <v>5640.9812499999998</v>
      </c>
      <c r="G70" s="162">
        <f t="shared" si="14"/>
        <v>5155.6499999999996</v>
      </c>
      <c r="H70" s="163">
        <f t="shared" si="11"/>
        <v>78488.406249999985</v>
      </c>
    </row>
    <row r="71" spans="1:8">
      <c r="A71" s="164" t="s">
        <v>393</v>
      </c>
      <c r="B71" s="162">
        <v>21105</v>
      </c>
      <c r="C71" s="162">
        <v>8442</v>
      </c>
      <c r="D71" s="162">
        <v>27737.999999999996</v>
      </c>
      <c r="E71" s="162">
        <f t="shared" ref="E71" si="15">+(SUM(B71:D71)/12)*1.09*2</f>
        <v>10406.775000000001</v>
      </c>
      <c r="F71" s="162">
        <f t="shared" ref="F71" si="16">+SUM(B71:E71)/12</f>
        <v>5640.9812499999998</v>
      </c>
      <c r="G71" s="162">
        <f t="shared" ref="G71" si="17">+SUM(B71:D71)*9%</f>
        <v>5155.6499999999996</v>
      </c>
      <c r="H71" s="163">
        <f t="shared" ref="H71" si="18">+SUM(B71:G71)</f>
        <v>78488.406249999985</v>
      </c>
    </row>
    <row r="72" spans="1:8">
      <c r="A72" s="164" t="s">
        <v>135</v>
      </c>
      <c r="B72" s="162">
        <v>25326</v>
      </c>
      <c r="C72" s="162">
        <v>16884</v>
      </c>
      <c r="D72" s="162">
        <v>36984</v>
      </c>
      <c r="E72" s="162">
        <f t="shared" si="12"/>
        <v>14386.910000000002</v>
      </c>
      <c r="F72" s="162">
        <f t="shared" si="13"/>
        <v>7798.4091666666673</v>
      </c>
      <c r="G72" s="162">
        <f t="shared" si="14"/>
        <v>7127.46</v>
      </c>
      <c r="H72" s="163">
        <f t="shared" si="11"/>
        <v>108506.77916666667</v>
      </c>
    </row>
    <row r="73" spans="1:8">
      <c r="A73" s="164" t="s">
        <v>120</v>
      </c>
      <c r="B73" s="162">
        <v>21105</v>
      </c>
      <c r="C73" s="162">
        <v>8442</v>
      </c>
      <c r="D73" s="162">
        <v>0</v>
      </c>
      <c r="E73" s="162">
        <f t="shared" si="12"/>
        <v>5367.7050000000008</v>
      </c>
      <c r="F73" s="162">
        <f t="shared" si="13"/>
        <v>2909.5587500000001</v>
      </c>
      <c r="G73" s="162">
        <f t="shared" si="14"/>
        <v>2659.23</v>
      </c>
      <c r="H73" s="163">
        <f t="shared" si="11"/>
        <v>40483.493750000001</v>
      </c>
    </row>
    <row r="74" spans="1:8">
      <c r="A74" s="164" t="s">
        <v>121</v>
      </c>
      <c r="B74" s="162">
        <v>21105</v>
      </c>
      <c r="C74" s="162">
        <v>8442</v>
      </c>
      <c r="D74" s="162">
        <v>0</v>
      </c>
      <c r="E74" s="162">
        <f t="shared" si="12"/>
        <v>5367.7050000000008</v>
      </c>
      <c r="F74" s="162">
        <f t="shared" si="13"/>
        <v>2909.5587500000001</v>
      </c>
      <c r="G74" s="162">
        <f t="shared" si="14"/>
        <v>2659.23</v>
      </c>
      <c r="H74" s="163">
        <f t="shared" si="11"/>
        <v>40483.493750000001</v>
      </c>
    </row>
    <row r="75" spans="1:8">
      <c r="A75" s="164" t="s">
        <v>124</v>
      </c>
      <c r="B75" s="162">
        <v>29547</v>
      </c>
      <c r="C75" s="162">
        <v>16884</v>
      </c>
      <c r="D75" s="162">
        <v>0</v>
      </c>
      <c r="E75" s="162">
        <f t="shared" si="12"/>
        <v>8434.9650000000001</v>
      </c>
      <c r="F75" s="162">
        <f t="shared" si="13"/>
        <v>4572.1637499999997</v>
      </c>
      <c r="G75" s="162">
        <f t="shared" si="14"/>
        <v>4178.79</v>
      </c>
      <c r="H75" s="163">
        <f t="shared" si="11"/>
        <v>63616.918749999997</v>
      </c>
    </row>
    <row r="76" spans="1:8">
      <c r="A76" s="164" t="s">
        <v>125</v>
      </c>
      <c r="B76" s="162">
        <v>21105</v>
      </c>
      <c r="C76" s="162">
        <v>8442</v>
      </c>
      <c r="D76" s="162">
        <v>0</v>
      </c>
      <c r="E76" s="162">
        <f t="shared" si="12"/>
        <v>5367.7050000000008</v>
      </c>
      <c r="F76" s="162">
        <f t="shared" si="13"/>
        <v>2909.5587500000001</v>
      </c>
      <c r="G76" s="162">
        <f t="shared" si="14"/>
        <v>2659.23</v>
      </c>
      <c r="H76" s="163">
        <f t="shared" si="11"/>
        <v>40483.493750000001</v>
      </c>
    </row>
    <row r="77" spans="1:8">
      <c r="A77" s="164" t="s">
        <v>126</v>
      </c>
      <c r="B77" s="162">
        <v>21105</v>
      </c>
      <c r="C77" s="162">
        <v>8442</v>
      </c>
      <c r="D77" s="162">
        <v>0</v>
      </c>
      <c r="E77" s="162">
        <f t="shared" si="12"/>
        <v>5367.7050000000008</v>
      </c>
      <c r="F77" s="162">
        <f t="shared" si="13"/>
        <v>2909.5587500000001</v>
      </c>
      <c r="G77" s="162">
        <f t="shared" si="14"/>
        <v>2659.23</v>
      </c>
      <c r="H77" s="163">
        <f t="shared" si="11"/>
        <v>40483.493750000001</v>
      </c>
    </row>
    <row r="78" spans="1:8">
      <c r="A78" s="164" t="s">
        <v>127</v>
      </c>
      <c r="B78" s="162">
        <v>21105</v>
      </c>
      <c r="C78" s="162">
        <v>8442</v>
      </c>
      <c r="D78" s="162">
        <v>4623</v>
      </c>
      <c r="E78" s="162">
        <f t="shared" si="12"/>
        <v>6207.55</v>
      </c>
      <c r="F78" s="162">
        <f t="shared" si="13"/>
        <v>3364.7958333333336</v>
      </c>
      <c r="G78" s="162">
        <f t="shared" si="14"/>
        <v>3075.2999999999997</v>
      </c>
      <c r="H78" s="163">
        <f t="shared" si="11"/>
        <v>46817.645833333343</v>
      </c>
    </row>
    <row r="79" spans="1:8">
      <c r="A79" s="164" t="s">
        <v>128</v>
      </c>
      <c r="B79" s="162">
        <v>21105</v>
      </c>
      <c r="C79" s="162">
        <v>8442</v>
      </c>
      <c r="D79" s="162">
        <v>4623</v>
      </c>
      <c r="E79" s="162">
        <f t="shared" si="12"/>
        <v>6207.55</v>
      </c>
      <c r="F79" s="162">
        <f t="shared" si="13"/>
        <v>3364.7958333333336</v>
      </c>
      <c r="G79" s="162">
        <f t="shared" si="14"/>
        <v>3075.2999999999997</v>
      </c>
      <c r="H79" s="163">
        <f t="shared" si="11"/>
        <v>46817.645833333343</v>
      </c>
    </row>
    <row r="80" spans="1:8">
      <c r="A80" s="164" t="s">
        <v>129</v>
      </c>
      <c r="B80" s="162">
        <v>21105</v>
      </c>
      <c r="C80" s="162">
        <v>8442</v>
      </c>
      <c r="D80" s="162">
        <v>4623</v>
      </c>
      <c r="E80" s="162">
        <f t="shared" si="12"/>
        <v>6207.55</v>
      </c>
      <c r="F80" s="162">
        <f t="shared" si="13"/>
        <v>3364.7958333333336</v>
      </c>
      <c r="G80" s="162">
        <f t="shared" si="14"/>
        <v>3075.2999999999997</v>
      </c>
      <c r="H80" s="163">
        <f t="shared" si="11"/>
        <v>46817.645833333343</v>
      </c>
    </row>
    <row r="81" spans="1:8">
      <c r="A81" s="164" t="s">
        <v>404</v>
      </c>
      <c r="B81" s="162">
        <v>21105</v>
      </c>
      <c r="C81" s="162">
        <v>8442</v>
      </c>
      <c r="D81" s="162">
        <v>4623</v>
      </c>
      <c r="E81" s="162">
        <f t="shared" ref="E81" si="19">+(SUM(B81:D81)/12)*1.09*2</f>
        <v>6207.55</v>
      </c>
      <c r="F81" s="162">
        <f t="shared" ref="F81" si="20">+SUM(B81:E81)/12</f>
        <v>3364.7958333333336</v>
      </c>
      <c r="G81" s="162">
        <f t="shared" ref="G81" si="21">+SUM(B81:D81)*9%</f>
        <v>3075.2999999999997</v>
      </c>
      <c r="H81" s="163">
        <f t="shared" ref="H81" si="22">+SUM(B81:G81)</f>
        <v>46817.645833333343</v>
      </c>
    </row>
    <row r="82" spans="1:8">
      <c r="A82" s="164" t="s">
        <v>130</v>
      </c>
      <c r="B82" s="162">
        <v>33768</v>
      </c>
      <c r="C82" s="162">
        <v>16884</v>
      </c>
      <c r="D82" s="162">
        <v>13868.999999999998</v>
      </c>
      <c r="E82" s="162">
        <f t="shared" si="12"/>
        <v>11721.315000000001</v>
      </c>
      <c r="F82" s="162">
        <f t="shared" si="13"/>
        <v>6353.5262499999999</v>
      </c>
      <c r="G82" s="162">
        <f t="shared" si="14"/>
        <v>5806.8899999999994</v>
      </c>
      <c r="H82" s="163">
        <f t="shared" si="11"/>
        <v>88402.731249999997</v>
      </c>
    </row>
    <row r="83" spans="1:8">
      <c r="A83" s="164" t="s">
        <v>131</v>
      </c>
      <c r="B83" s="162">
        <v>21105</v>
      </c>
      <c r="C83" s="162">
        <v>0</v>
      </c>
      <c r="D83" s="162">
        <v>36984</v>
      </c>
      <c r="E83" s="162">
        <f t="shared" si="12"/>
        <v>10552.835000000001</v>
      </c>
      <c r="F83" s="162">
        <f t="shared" si="13"/>
        <v>5720.1529166666669</v>
      </c>
      <c r="G83" s="162">
        <f t="shared" si="14"/>
        <v>5228.01</v>
      </c>
      <c r="H83" s="163">
        <f t="shared" si="11"/>
        <v>79589.997916666674</v>
      </c>
    </row>
    <row r="84" spans="1:8" ht="16.5" thickBot="1">
      <c r="A84" s="164" t="s">
        <v>132</v>
      </c>
      <c r="B84" s="162">
        <v>21105</v>
      </c>
      <c r="C84" s="162">
        <v>0</v>
      </c>
      <c r="D84" s="162">
        <v>36984</v>
      </c>
      <c r="E84" s="162">
        <f t="shared" si="12"/>
        <v>10552.835000000001</v>
      </c>
      <c r="F84" s="162">
        <f t="shared" si="13"/>
        <v>5720.1529166666669</v>
      </c>
      <c r="G84" s="162">
        <f t="shared" si="14"/>
        <v>5228.01</v>
      </c>
      <c r="H84" s="163">
        <f t="shared" si="11"/>
        <v>79589.997916666674</v>
      </c>
    </row>
    <row r="85" spans="1:8" ht="16.5" thickBot="1">
      <c r="A85" s="424" t="s">
        <v>50</v>
      </c>
      <c r="B85" s="425">
        <f t="shared" ref="B85:H85" si="23">+SUM(B60:B84)</f>
        <v>888520.5</v>
      </c>
      <c r="C85" s="425">
        <f t="shared" si="23"/>
        <v>306726</v>
      </c>
      <c r="D85" s="425">
        <f t="shared" si="23"/>
        <v>374463</v>
      </c>
      <c r="E85" s="425">
        <f t="shared" si="23"/>
        <v>272383.6424999999</v>
      </c>
      <c r="F85" s="425">
        <f t="shared" si="23"/>
        <v>147645.261875</v>
      </c>
      <c r="G85" s="425">
        <f t="shared" si="23"/>
        <v>134942.35499999998</v>
      </c>
      <c r="H85" s="426">
        <f t="shared" si="23"/>
        <v>2124680.7593749994</v>
      </c>
    </row>
    <row r="87" spans="1:8" ht="16.5" thickBot="1"/>
    <row r="88" spans="1:8" ht="16.5" thickBot="1">
      <c r="B88" s="403">
        <v>2019</v>
      </c>
      <c r="C88" s="404"/>
      <c r="D88" s="404"/>
      <c r="E88" s="404"/>
      <c r="F88" s="404"/>
      <c r="G88" s="404"/>
      <c r="H88" s="405"/>
    </row>
    <row r="89" spans="1:8" ht="16.5" thickBot="1">
      <c r="B89" s="158" t="s">
        <v>136</v>
      </c>
      <c r="C89" s="159" t="s">
        <v>137</v>
      </c>
      <c r="D89" s="159" t="s">
        <v>138</v>
      </c>
      <c r="E89" s="159" t="s">
        <v>110</v>
      </c>
      <c r="F89" s="159" t="s">
        <v>111</v>
      </c>
      <c r="G89" s="159" t="s">
        <v>112</v>
      </c>
      <c r="H89" s="160" t="s">
        <v>50</v>
      </c>
    </row>
    <row r="90" spans="1:8">
      <c r="A90" s="161" t="s">
        <v>113</v>
      </c>
      <c r="B90" s="162">
        <v>232682.625</v>
      </c>
      <c r="C90" s="162">
        <v>73867.5</v>
      </c>
      <c r="D90" s="162">
        <v>0</v>
      </c>
      <c r="E90" s="162">
        <f>+(SUM(B90)/12)*1.09*2</f>
        <v>42270.676875000005</v>
      </c>
      <c r="F90" s="162">
        <f>+(B90+E90)/12</f>
        <v>22912.775156250002</v>
      </c>
      <c r="G90" s="162">
        <f>+B90*9%</f>
        <v>20941.436249999999</v>
      </c>
      <c r="H90" s="163">
        <f>+SUM(B90:G90)</f>
        <v>392675.01328125002</v>
      </c>
    </row>
    <row r="91" spans="1:8">
      <c r="A91" s="164" t="s">
        <v>114</v>
      </c>
      <c r="B91" s="162">
        <v>88641</v>
      </c>
      <c r="C91" s="162">
        <v>22160.25</v>
      </c>
      <c r="D91" s="162">
        <v>0</v>
      </c>
      <c r="E91" s="162">
        <f>+(SUM(B91:D91)/12)*1.09*2</f>
        <v>20128.893750000003</v>
      </c>
      <c r="F91" s="162">
        <f>+SUM(B91:E91)/12</f>
        <v>10910.8453125</v>
      </c>
      <c r="G91" s="162">
        <f>+SUM(B91:D91)*9%</f>
        <v>9972.1124999999993</v>
      </c>
      <c r="H91" s="163">
        <f t="shared" ref="H91:H114" si="24">+SUM(B91:G91)</f>
        <v>151813.1015625</v>
      </c>
    </row>
    <row r="92" spans="1:8">
      <c r="A92" s="164" t="s">
        <v>115</v>
      </c>
      <c r="B92" s="162">
        <v>88641</v>
      </c>
      <c r="C92" s="162">
        <v>13296.150000000001</v>
      </c>
      <c r="D92" s="162">
        <v>0</v>
      </c>
      <c r="E92" s="162">
        <f t="shared" ref="E92:E114" si="25">+(SUM(B92:D92)/12)*1.09*2</f>
        <v>18518.582249999999</v>
      </c>
      <c r="F92" s="162">
        <f t="shared" ref="F92:F114" si="26">+SUM(B92:E92)/12</f>
        <v>10037.977687500001</v>
      </c>
      <c r="G92" s="162">
        <f t="shared" ref="G92:G114" si="27">+SUM(B92:D92)*9%</f>
        <v>9174.343499999999</v>
      </c>
      <c r="H92" s="163">
        <f t="shared" si="24"/>
        <v>139668.0534375</v>
      </c>
    </row>
    <row r="93" spans="1:8">
      <c r="A93" s="164" t="s">
        <v>133</v>
      </c>
      <c r="B93" s="162">
        <v>26592.300000000003</v>
      </c>
      <c r="C93" s="162">
        <v>8864.1</v>
      </c>
      <c r="D93" s="162">
        <v>0</v>
      </c>
      <c r="E93" s="162">
        <f t="shared" si="25"/>
        <v>6441.246000000001</v>
      </c>
      <c r="F93" s="162">
        <f t="shared" si="26"/>
        <v>3491.4704999999999</v>
      </c>
      <c r="G93" s="162">
        <f t="shared" si="27"/>
        <v>3191.076</v>
      </c>
      <c r="H93" s="163">
        <f t="shared" si="24"/>
        <v>48580.192500000005</v>
      </c>
    </row>
    <row r="94" spans="1:8">
      <c r="A94" s="164" t="s">
        <v>134</v>
      </c>
      <c r="B94" s="162">
        <v>26592.300000000003</v>
      </c>
      <c r="C94" s="162">
        <v>17728.2</v>
      </c>
      <c r="D94" s="162">
        <v>40682.400000000001</v>
      </c>
      <c r="E94" s="162">
        <f t="shared" si="25"/>
        <v>15442.193500000001</v>
      </c>
      <c r="F94" s="162">
        <f t="shared" si="26"/>
        <v>8370.424458333333</v>
      </c>
      <c r="G94" s="162">
        <f t="shared" si="27"/>
        <v>7650.2609999999995</v>
      </c>
      <c r="H94" s="163">
        <f t="shared" si="24"/>
        <v>116465.77895833332</v>
      </c>
    </row>
    <row r="95" spans="1:8">
      <c r="A95" s="164" t="s">
        <v>116</v>
      </c>
      <c r="B95" s="162">
        <v>22160.25</v>
      </c>
      <c r="C95" s="162">
        <v>8864.1</v>
      </c>
      <c r="D95" s="162">
        <v>30511.8</v>
      </c>
      <c r="E95" s="162">
        <f t="shared" si="25"/>
        <v>11179.06725</v>
      </c>
      <c r="F95" s="162">
        <f t="shared" si="26"/>
        <v>6059.6014374999986</v>
      </c>
      <c r="G95" s="162">
        <f t="shared" si="27"/>
        <v>5538.2534999999989</v>
      </c>
      <c r="H95" s="163">
        <f t="shared" si="24"/>
        <v>84313.072187499987</v>
      </c>
    </row>
    <row r="96" spans="1:8">
      <c r="A96" s="164" t="s">
        <v>117</v>
      </c>
      <c r="B96" s="162">
        <v>22160.25</v>
      </c>
      <c r="C96" s="162">
        <v>8864.1</v>
      </c>
      <c r="D96" s="162">
        <v>30511.8</v>
      </c>
      <c r="E96" s="162">
        <f t="shared" si="25"/>
        <v>11179.06725</v>
      </c>
      <c r="F96" s="162">
        <f t="shared" si="26"/>
        <v>6059.6014374999986</v>
      </c>
      <c r="G96" s="162">
        <f t="shared" si="27"/>
        <v>5538.2534999999989</v>
      </c>
      <c r="H96" s="163">
        <f t="shared" si="24"/>
        <v>84313.072187499987</v>
      </c>
    </row>
    <row r="97" spans="1:8">
      <c r="A97" s="164" t="s">
        <v>118</v>
      </c>
      <c r="B97" s="162">
        <v>22160.25</v>
      </c>
      <c r="C97" s="162">
        <v>8864.1</v>
      </c>
      <c r="D97" s="162">
        <v>30511.8</v>
      </c>
      <c r="E97" s="162">
        <f t="shared" si="25"/>
        <v>11179.06725</v>
      </c>
      <c r="F97" s="162">
        <f t="shared" si="26"/>
        <v>6059.6014374999986</v>
      </c>
      <c r="G97" s="162">
        <f t="shared" si="27"/>
        <v>5538.2534999999989</v>
      </c>
      <c r="H97" s="163">
        <f t="shared" si="24"/>
        <v>84313.072187499987</v>
      </c>
    </row>
    <row r="98" spans="1:8">
      <c r="A98" s="164" t="s">
        <v>119</v>
      </c>
      <c r="B98" s="162">
        <v>22160.25</v>
      </c>
      <c r="C98" s="162">
        <v>8864.1</v>
      </c>
      <c r="D98" s="162">
        <v>30511.8</v>
      </c>
      <c r="E98" s="162">
        <f t="shared" si="25"/>
        <v>11179.06725</v>
      </c>
      <c r="F98" s="162">
        <f t="shared" si="26"/>
        <v>6059.6014374999986</v>
      </c>
      <c r="G98" s="162">
        <f t="shared" si="27"/>
        <v>5538.2534999999989</v>
      </c>
      <c r="H98" s="163">
        <f t="shared" si="24"/>
        <v>84313.072187499987</v>
      </c>
    </row>
    <row r="99" spans="1:8">
      <c r="A99" s="164" t="s">
        <v>122</v>
      </c>
      <c r="B99" s="162">
        <v>22160.25</v>
      </c>
      <c r="C99" s="162">
        <v>8864.1</v>
      </c>
      <c r="D99" s="162">
        <v>30511.8</v>
      </c>
      <c r="E99" s="162">
        <f t="shared" si="25"/>
        <v>11179.06725</v>
      </c>
      <c r="F99" s="162">
        <f t="shared" si="26"/>
        <v>6059.6014374999986</v>
      </c>
      <c r="G99" s="162">
        <f t="shared" si="27"/>
        <v>5538.2534999999989</v>
      </c>
      <c r="H99" s="163">
        <f t="shared" si="24"/>
        <v>84313.072187499987</v>
      </c>
    </row>
    <row r="100" spans="1:8">
      <c r="A100" s="164" t="s">
        <v>123</v>
      </c>
      <c r="B100" s="162">
        <v>22160.25</v>
      </c>
      <c r="C100" s="162">
        <v>8864.1</v>
      </c>
      <c r="D100" s="162">
        <v>30511.8</v>
      </c>
      <c r="E100" s="162">
        <f t="shared" si="25"/>
        <v>11179.06725</v>
      </c>
      <c r="F100" s="162">
        <f t="shared" si="26"/>
        <v>6059.6014374999986</v>
      </c>
      <c r="G100" s="162">
        <f t="shared" si="27"/>
        <v>5538.2534999999989</v>
      </c>
      <c r="H100" s="163">
        <f t="shared" si="24"/>
        <v>84313.072187499987</v>
      </c>
    </row>
    <row r="101" spans="1:8">
      <c r="A101" s="164" t="s">
        <v>393</v>
      </c>
      <c r="B101" s="162">
        <v>22160.25</v>
      </c>
      <c r="C101" s="162">
        <v>8864.1</v>
      </c>
      <c r="D101" s="162">
        <v>30511.8</v>
      </c>
      <c r="E101" s="162">
        <f t="shared" ref="E101" si="28">+(SUM(B101:D101)/12)*1.09*2</f>
        <v>11179.06725</v>
      </c>
      <c r="F101" s="162">
        <f t="shared" ref="F101" si="29">+SUM(B101:E101)/12</f>
        <v>6059.6014374999986</v>
      </c>
      <c r="G101" s="162">
        <f t="shared" ref="G101" si="30">+SUM(B101:D101)*9%</f>
        <v>5538.2534999999989</v>
      </c>
      <c r="H101" s="163">
        <f t="shared" ref="H101" si="31">+SUM(B101:G101)</f>
        <v>84313.072187499987</v>
      </c>
    </row>
    <row r="102" spans="1:8">
      <c r="A102" s="164" t="s">
        <v>135</v>
      </c>
      <c r="B102" s="162">
        <v>26592.300000000003</v>
      </c>
      <c r="C102" s="162">
        <v>17728.2</v>
      </c>
      <c r="D102" s="162">
        <v>40682.400000000001</v>
      </c>
      <c r="E102" s="162">
        <f t="shared" si="25"/>
        <v>15442.193500000001</v>
      </c>
      <c r="F102" s="162">
        <f t="shared" si="26"/>
        <v>8370.424458333333</v>
      </c>
      <c r="G102" s="162">
        <f t="shared" si="27"/>
        <v>7650.2609999999995</v>
      </c>
      <c r="H102" s="163">
        <f t="shared" si="24"/>
        <v>116465.77895833332</v>
      </c>
    </row>
    <row r="103" spans="1:8">
      <c r="A103" s="164" t="s">
        <v>120</v>
      </c>
      <c r="B103" s="162">
        <v>22160.25</v>
      </c>
      <c r="C103" s="162">
        <v>8864.1</v>
      </c>
      <c r="D103" s="162">
        <v>0</v>
      </c>
      <c r="E103" s="162">
        <f t="shared" si="25"/>
        <v>5636.0902500000002</v>
      </c>
      <c r="F103" s="162">
        <f t="shared" si="26"/>
        <v>3055.0366875</v>
      </c>
      <c r="G103" s="162">
        <f t="shared" si="27"/>
        <v>2792.1914999999999</v>
      </c>
      <c r="H103" s="163">
        <f t="shared" si="24"/>
        <v>42507.668437500004</v>
      </c>
    </row>
    <row r="104" spans="1:8">
      <c r="A104" s="164" t="s">
        <v>121</v>
      </c>
      <c r="B104" s="162">
        <v>22160.25</v>
      </c>
      <c r="C104" s="162">
        <v>8864.1</v>
      </c>
      <c r="D104" s="162">
        <v>0</v>
      </c>
      <c r="E104" s="162">
        <f t="shared" si="25"/>
        <v>5636.0902500000002</v>
      </c>
      <c r="F104" s="162">
        <f t="shared" si="26"/>
        <v>3055.0366875</v>
      </c>
      <c r="G104" s="162">
        <f t="shared" si="27"/>
        <v>2792.1914999999999</v>
      </c>
      <c r="H104" s="163">
        <f t="shared" si="24"/>
        <v>42507.668437500004</v>
      </c>
    </row>
    <row r="105" spans="1:8">
      <c r="A105" s="164" t="s">
        <v>124</v>
      </c>
      <c r="B105" s="162">
        <v>31024.350000000002</v>
      </c>
      <c r="C105" s="162">
        <v>17728.2</v>
      </c>
      <c r="D105" s="162">
        <v>0</v>
      </c>
      <c r="E105" s="162">
        <f t="shared" si="25"/>
        <v>8856.7132500000007</v>
      </c>
      <c r="F105" s="162">
        <f t="shared" si="26"/>
        <v>4800.7719375000006</v>
      </c>
      <c r="G105" s="162">
        <f t="shared" si="27"/>
        <v>4387.7295000000004</v>
      </c>
      <c r="H105" s="163">
        <f t="shared" si="24"/>
        <v>66797.764687500006</v>
      </c>
    </row>
    <row r="106" spans="1:8">
      <c r="A106" s="164" t="s">
        <v>125</v>
      </c>
      <c r="B106" s="162">
        <v>22160.25</v>
      </c>
      <c r="C106" s="162">
        <v>8864.1</v>
      </c>
      <c r="D106" s="162">
        <v>0</v>
      </c>
      <c r="E106" s="162">
        <f t="shared" si="25"/>
        <v>5636.0902500000002</v>
      </c>
      <c r="F106" s="162">
        <f t="shared" si="26"/>
        <v>3055.0366875</v>
      </c>
      <c r="G106" s="162">
        <f t="shared" si="27"/>
        <v>2792.1914999999999</v>
      </c>
      <c r="H106" s="163">
        <f t="shared" si="24"/>
        <v>42507.668437500004</v>
      </c>
    </row>
    <row r="107" spans="1:8">
      <c r="A107" s="164" t="s">
        <v>126</v>
      </c>
      <c r="B107" s="162">
        <v>22160.25</v>
      </c>
      <c r="C107" s="162">
        <v>8864.1</v>
      </c>
      <c r="D107" s="162">
        <v>0</v>
      </c>
      <c r="E107" s="162">
        <f t="shared" si="25"/>
        <v>5636.0902500000002</v>
      </c>
      <c r="F107" s="162">
        <f t="shared" si="26"/>
        <v>3055.0366875</v>
      </c>
      <c r="G107" s="162">
        <f t="shared" si="27"/>
        <v>2792.1914999999999</v>
      </c>
      <c r="H107" s="163">
        <f t="shared" si="24"/>
        <v>42507.668437500004</v>
      </c>
    </row>
    <row r="108" spans="1:8">
      <c r="A108" s="164" t="s">
        <v>127</v>
      </c>
      <c r="B108" s="162">
        <v>22160.25</v>
      </c>
      <c r="C108" s="162">
        <v>8864.1</v>
      </c>
      <c r="D108" s="162">
        <v>5085.3</v>
      </c>
      <c r="E108" s="162">
        <f t="shared" si="25"/>
        <v>6559.9197500000009</v>
      </c>
      <c r="F108" s="162">
        <f t="shared" si="26"/>
        <v>3555.797479166667</v>
      </c>
      <c r="G108" s="162">
        <f t="shared" si="27"/>
        <v>3249.8685</v>
      </c>
      <c r="H108" s="163">
        <f t="shared" si="24"/>
        <v>49475.235729166663</v>
      </c>
    </row>
    <row r="109" spans="1:8">
      <c r="A109" s="164" t="s">
        <v>128</v>
      </c>
      <c r="B109" s="162">
        <v>22160.25</v>
      </c>
      <c r="C109" s="162">
        <v>8864.1</v>
      </c>
      <c r="D109" s="162">
        <v>5085.3</v>
      </c>
      <c r="E109" s="162">
        <f t="shared" si="25"/>
        <v>6559.9197500000009</v>
      </c>
      <c r="F109" s="162">
        <f t="shared" si="26"/>
        <v>3555.797479166667</v>
      </c>
      <c r="G109" s="162">
        <f t="shared" si="27"/>
        <v>3249.8685</v>
      </c>
      <c r="H109" s="163">
        <f t="shared" si="24"/>
        <v>49475.235729166663</v>
      </c>
    </row>
    <row r="110" spans="1:8">
      <c r="A110" s="164" t="s">
        <v>129</v>
      </c>
      <c r="B110" s="162">
        <v>22160.25</v>
      </c>
      <c r="C110" s="162">
        <v>8864.1</v>
      </c>
      <c r="D110" s="162">
        <v>5085.3</v>
      </c>
      <c r="E110" s="162">
        <f t="shared" si="25"/>
        <v>6559.9197500000009</v>
      </c>
      <c r="F110" s="162">
        <f t="shared" si="26"/>
        <v>3555.797479166667</v>
      </c>
      <c r="G110" s="162">
        <f t="shared" si="27"/>
        <v>3249.8685</v>
      </c>
      <c r="H110" s="163">
        <f t="shared" si="24"/>
        <v>49475.235729166663</v>
      </c>
    </row>
    <row r="111" spans="1:8">
      <c r="A111" s="164" t="s">
        <v>404</v>
      </c>
      <c r="B111" s="162">
        <v>22160.25</v>
      </c>
      <c r="C111" s="162">
        <v>8864.1</v>
      </c>
      <c r="D111" s="162">
        <v>5085.3</v>
      </c>
      <c r="E111" s="162">
        <f t="shared" ref="E111" si="32">+(SUM(B111:D111)/12)*1.09*2</f>
        <v>6559.9197500000009</v>
      </c>
      <c r="F111" s="162">
        <f t="shared" ref="F111" si="33">+SUM(B111:E111)/12</f>
        <v>3555.797479166667</v>
      </c>
      <c r="G111" s="162">
        <f t="shared" ref="G111" si="34">+SUM(B111:D111)*9%</f>
        <v>3249.8685</v>
      </c>
      <c r="H111" s="163">
        <f t="shared" ref="H111" si="35">+SUM(B111:G111)</f>
        <v>49475.235729166663</v>
      </c>
    </row>
    <row r="112" spans="1:8">
      <c r="A112" s="164" t="s">
        <v>130</v>
      </c>
      <c r="B112" s="162">
        <v>35456.400000000001</v>
      </c>
      <c r="C112" s="162">
        <v>17728.2</v>
      </c>
      <c r="D112" s="162">
        <v>15255.9</v>
      </c>
      <c r="E112" s="162">
        <f t="shared" si="25"/>
        <v>12433.3575</v>
      </c>
      <c r="F112" s="162">
        <f t="shared" si="26"/>
        <v>6739.4881249999999</v>
      </c>
      <c r="G112" s="162">
        <f t="shared" si="27"/>
        <v>6159.6449999999995</v>
      </c>
      <c r="H112" s="163">
        <f t="shared" si="24"/>
        <v>93772.990625000006</v>
      </c>
    </row>
    <row r="113" spans="1:8">
      <c r="A113" s="164" t="s">
        <v>131</v>
      </c>
      <c r="B113" s="162">
        <v>22160.25</v>
      </c>
      <c r="C113" s="162">
        <v>0</v>
      </c>
      <c r="D113" s="162">
        <v>40682.400000000001</v>
      </c>
      <c r="E113" s="162">
        <f t="shared" si="25"/>
        <v>11416.41475</v>
      </c>
      <c r="F113" s="162">
        <f t="shared" si="26"/>
        <v>6188.2553958333338</v>
      </c>
      <c r="G113" s="162">
        <f t="shared" si="27"/>
        <v>5655.8384999999998</v>
      </c>
      <c r="H113" s="163">
        <f t="shared" si="24"/>
        <v>86103.158645833333</v>
      </c>
    </row>
    <row r="114" spans="1:8" ht="16.5" thickBot="1">
      <c r="A114" s="164" t="s">
        <v>132</v>
      </c>
      <c r="B114" s="162">
        <v>22160.25</v>
      </c>
      <c r="C114" s="162">
        <v>0</v>
      </c>
      <c r="D114" s="162">
        <v>40682.400000000001</v>
      </c>
      <c r="E114" s="162">
        <f t="shared" si="25"/>
        <v>11416.41475</v>
      </c>
      <c r="F114" s="162">
        <f t="shared" si="26"/>
        <v>6188.2553958333338</v>
      </c>
      <c r="G114" s="162">
        <f t="shared" si="27"/>
        <v>5655.8384999999998</v>
      </c>
      <c r="H114" s="163">
        <f t="shared" si="24"/>
        <v>86103.158645833333</v>
      </c>
    </row>
    <row r="115" spans="1:8" ht="16.5" thickBot="1">
      <c r="A115" s="424" t="s">
        <v>50</v>
      </c>
      <c r="B115" s="425">
        <f t="shared" ref="B115:H115" si="36">+SUM(B90:B114)</f>
        <v>932946.52500000002</v>
      </c>
      <c r="C115" s="425">
        <f t="shared" si="36"/>
        <v>322062.3</v>
      </c>
      <c r="D115" s="425">
        <f t="shared" si="36"/>
        <v>411909.3</v>
      </c>
      <c r="E115" s="425">
        <f t="shared" si="36"/>
        <v>289404.19687499997</v>
      </c>
      <c r="F115" s="425">
        <f t="shared" si="36"/>
        <v>156871.23515625004</v>
      </c>
      <c r="G115" s="425">
        <f t="shared" si="36"/>
        <v>143374.55624999999</v>
      </c>
      <c r="H115" s="426">
        <f t="shared" si="36"/>
        <v>2256568.1132812509</v>
      </c>
    </row>
  </sheetData>
  <mergeCells count="4">
    <mergeCell ref="B30:H30"/>
    <mergeCell ref="B58:H58"/>
    <mergeCell ref="B88:H88"/>
    <mergeCell ref="B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0" workbookViewId="0">
      <selection activeCell="C10" sqref="C10"/>
    </sheetView>
  </sheetViews>
  <sheetFormatPr baseColWidth="10" defaultColWidth="10.875" defaultRowHeight="15.75"/>
  <cols>
    <col min="1" max="1" width="12.875" style="13" customWidth="1"/>
    <col min="2" max="2" width="27.125" style="13" customWidth="1"/>
    <col min="3" max="5" width="15.375" style="13" customWidth="1"/>
    <col min="6" max="6" width="11.875" style="13" customWidth="1"/>
    <col min="7" max="16384" width="10.875" style="13"/>
  </cols>
  <sheetData>
    <row r="1" spans="1:6">
      <c r="A1" s="123" t="s">
        <v>186</v>
      </c>
    </row>
    <row r="2" spans="1:6">
      <c r="A2" s="123" t="s">
        <v>187</v>
      </c>
    </row>
    <row r="3" spans="1:6">
      <c r="A3" s="123" t="s">
        <v>188</v>
      </c>
    </row>
    <row r="4" spans="1:6" ht="16.5" thickBot="1"/>
    <row r="5" spans="1:6" ht="48" thickBot="1">
      <c r="A5" s="124">
        <v>2017</v>
      </c>
      <c r="B5" s="125" t="s">
        <v>175</v>
      </c>
      <c r="C5" s="125" t="s">
        <v>171</v>
      </c>
      <c r="D5" s="125" t="s">
        <v>185</v>
      </c>
      <c r="E5" s="125" t="s">
        <v>183</v>
      </c>
      <c r="F5" s="126" t="s">
        <v>184</v>
      </c>
    </row>
    <row r="6" spans="1:6">
      <c r="A6" s="127" t="s">
        <v>174</v>
      </c>
      <c r="B6" s="128">
        <v>4</v>
      </c>
      <c r="C6" s="128">
        <v>639</v>
      </c>
      <c r="D6" s="128">
        <v>1162</v>
      </c>
      <c r="E6" s="128">
        <f>52*8*B6</f>
        <v>1664</v>
      </c>
      <c r="F6" s="129">
        <f>+D6/E6</f>
        <v>0.69831730769230771</v>
      </c>
    </row>
    <row r="7" spans="1:6">
      <c r="A7" s="127" t="s">
        <v>176</v>
      </c>
      <c r="B7" s="128">
        <v>2</v>
      </c>
      <c r="C7" s="128">
        <v>330</v>
      </c>
      <c r="D7" s="128">
        <f t="shared" ref="D7:D9" si="0">+C7/0.55</f>
        <v>600</v>
      </c>
      <c r="E7" s="128">
        <f t="shared" ref="E7:E9" si="1">52*8*B7</f>
        <v>832</v>
      </c>
      <c r="F7" s="129">
        <f>+D7/E7</f>
        <v>0.72115384615384615</v>
      </c>
    </row>
    <row r="8" spans="1:6">
      <c r="A8" s="127" t="s">
        <v>177</v>
      </c>
      <c r="B8" s="128">
        <v>1</v>
      </c>
      <c r="C8" s="128">
        <v>175</v>
      </c>
      <c r="D8" s="128">
        <v>318</v>
      </c>
      <c r="E8" s="128">
        <f t="shared" si="1"/>
        <v>416</v>
      </c>
      <c r="F8" s="129">
        <f>+D8/E8</f>
        <v>0.76442307692307687</v>
      </c>
    </row>
    <row r="9" spans="1:6" ht="16.5" thickBot="1">
      <c r="A9" s="127" t="s">
        <v>178</v>
      </c>
      <c r="B9" s="130">
        <v>0</v>
      </c>
      <c r="C9" s="128">
        <f t="shared" ref="C9" si="2">+((1204-120)/7)*B9</f>
        <v>0</v>
      </c>
      <c r="D9" s="128">
        <f t="shared" si="0"/>
        <v>0</v>
      </c>
      <c r="E9" s="128">
        <f t="shared" si="1"/>
        <v>0</v>
      </c>
      <c r="F9" s="129"/>
    </row>
    <row r="10" spans="1:6" ht="16.5" thickBot="1">
      <c r="A10" s="131" t="s">
        <v>50</v>
      </c>
      <c r="B10" s="132">
        <f>+SUM(B6:B9)</f>
        <v>7</v>
      </c>
      <c r="C10" s="132">
        <f>+SUM(C6:C9)</f>
        <v>1144</v>
      </c>
      <c r="D10" s="132">
        <f>+SUM(D6:D9)</f>
        <v>2080</v>
      </c>
      <c r="E10" s="132">
        <f>+SUM(E6:E9)</f>
        <v>2912</v>
      </c>
      <c r="F10" s="133">
        <f>+D10/E10</f>
        <v>0.7142857142857143</v>
      </c>
    </row>
    <row r="11" spans="1:6" ht="16.5" thickBot="1"/>
    <row r="12" spans="1:6" ht="48" thickBot="1">
      <c r="A12" s="124">
        <v>2018</v>
      </c>
      <c r="B12" s="125" t="s">
        <v>175</v>
      </c>
      <c r="C12" s="125" t="s">
        <v>171</v>
      </c>
      <c r="D12" s="125" t="s">
        <v>173</v>
      </c>
      <c r="E12" s="125" t="s">
        <v>172</v>
      </c>
      <c r="F12" s="126" t="s">
        <v>184</v>
      </c>
    </row>
    <row r="13" spans="1:6">
      <c r="A13" s="127" t="s">
        <v>174</v>
      </c>
      <c r="B13" s="128">
        <v>4</v>
      </c>
      <c r="C13" s="128">
        <v>598</v>
      </c>
      <c r="D13" s="128">
        <f>+C13/0.5</f>
        <v>1196</v>
      </c>
      <c r="E13" s="128">
        <f>52*8*B13</f>
        <v>1664</v>
      </c>
      <c r="F13" s="129">
        <f>+D13/E13</f>
        <v>0.71875</v>
      </c>
    </row>
    <row r="14" spans="1:6">
      <c r="A14" s="127" t="s">
        <v>176</v>
      </c>
      <c r="B14" s="128">
        <v>2</v>
      </c>
      <c r="C14" s="128">
        <v>299</v>
      </c>
      <c r="D14" s="128">
        <f t="shared" ref="D14:D16" si="3">+C14/0.5</f>
        <v>598</v>
      </c>
      <c r="E14" s="128">
        <f t="shared" ref="E14:E16" si="4">52*8*B14</f>
        <v>832</v>
      </c>
      <c r="F14" s="129">
        <f>+D14/E14</f>
        <v>0.71875</v>
      </c>
    </row>
    <row r="15" spans="1:6">
      <c r="A15" s="127" t="s">
        <v>177</v>
      </c>
      <c r="B15" s="128">
        <v>1</v>
      </c>
      <c r="C15" s="128">
        <v>150</v>
      </c>
      <c r="D15" s="128">
        <f t="shared" si="3"/>
        <v>300</v>
      </c>
      <c r="E15" s="128">
        <f t="shared" si="4"/>
        <v>416</v>
      </c>
      <c r="F15" s="129">
        <f>+D15/E15</f>
        <v>0.72115384615384615</v>
      </c>
    </row>
    <row r="16" spans="1:6" ht="16.5" thickBot="1">
      <c r="A16" s="127" t="s">
        <v>178</v>
      </c>
      <c r="B16" s="130">
        <v>1</v>
      </c>
      <c r="C16" s="128">
        <v>150</v>
      </c>
      <c r="D16" s="128">
        <f t="shared" si="3"/>
        <v>300</v>
      </c>
      <c r="E16" s="128">
        <f t="shared" si="4"/>
        <v>416</v>
      </c>
      <c r="F16" s="129">
        <f>+D16/E16</f>
        <v>0.72115384615384615</v>
      </c>
    </row>
    <row r="17" spans="1:6" ht="16.5" thickBot="1">
      <c r="A17" s="131" t="s">
        <v>50</v>
      </c>
      <c r="B17" s="132">
        <f>+SUM(B13:B16)</f>
        <v>8</v>
      </c>
      <c r="C17" s="132">
        <f>+(1356-160)</f>
        <v>1196</v>
      </c>
      <c r="D17" s="132">
        <f>+SUM(D13:D16)</f>
        <v>2394</v>
      </c>
      <c r="E17" s="132">
        <f>+SUM(E13:E16)</f>
        <v>3328</v>
      </c>
      <c r="F17" s="133">
        <f>+D17/E17</f>
        <v>0.71935096153846156</v>
      </c>
    </row>
    <row r="18" spans="1:6" ht="16.5" thickBot="1"/>
    <row r="19" spans="1:6" ht="48" thickBot="1">
      <c r="A19" s="124">
        <v>2019</v>
      </c>
      <c r="B19" s="125" t="s">
        <v>175</v>
      </c>
      <c r="C19" s="125" t="s">
        <v>171</v>
      </c>
      <c r="D19" s="125" t="s">
        <v>173</v>
      </c>
      <c r="E19" s="125" t="s">
        <v>172</v>
      </c>
      <c r="F19" s="126" t="s">
        <v>184</v>
      </c>
    </row>
    <row r="20" spans="1:6">
      <c r="A20" s="127" t="s">
        <v>174</v>
      </c>
      <c r="B20" s="128">
        <v>4</v>
      </c>
      <c r="C20" s="128">
        <v>689</v>
      </c>
      <c r="D20" s="128">
        <f>+C20/0.5</f>
        <v>1378</v>
      </c>
      <c r="E20" s="128">
        <f>52*8*B20</f>
        <v>1664</v>
      </c>
      <c r="F20" s="129">
        <f>+D20/E20</f>
        <v>0.828125</v>
      </c>
    </row>
    <row r="21" spans="1:6">
      <c r="A21" s="127" t="s">
        <v>176</v>
      </c>
      <c r="B21" s="128">
        <v>2</v>
      </c>
      <c r="C21" s="128">
        <v>345</v>
      </c>
      <c r="D21" s="128">
        <f t="shared" ref="D21:D23" si="5">+C21/0.5</f>
        <v>690</v>
      </c>
      <c r="E21" s="128">
        <f t="shared" ref="E21:E23" si="6">52*8*B21</f>
        <v>832</v>
      </c>
      <c r="F21" s="129">
        <f>+D21/E21</f>
        <v>0.82932692307692313</v>
      </c>
    </row>
    <row r="22" spans="1:6">
      <c r="A22" s="127" t="s">
        <v>177</v>
      </c>
      <c r="B22" s="128">
        <v>1</v>
      </c>
      <c r="C22" s="128">
        <v>172</v>
      </c>
      <c r="D22" s="128">
        <f t="shared" si="5"/>
        <v>344</v>
      </c>
      <c r="E22" s="128">
        <f t="shared" si="6"/>
        <v>416</v>
      </c>
      <c r="F22" s="129">
        <f>+D22/E22</f>
        <v>0.82692307692307687</v>
      </c>
    </row>
    <row r="23" spans="1:6" ht="16.5" thickBot="1">
      <c r="A23" s="127" t="s">
        <v>178</v>
      </c>
      <c r="B23" s="130">
        <v>1</v>
      </c>
      <c r="C23" s="128">
        <v>172</v>
      </c>
      <c r="D23" s="128">
        <f t="shared" si="5"/>
        <v>344</v>
      </c>
      <c r="E23" s="128">
        <f t="shared" si="6"/>
        <v>416</v>
      </c>
      <c r="F23" s="129">
        <f>+D23/E23</f>
        <v>0.82692307692307687</v>
      </c>
    </row>
    <row r="24" spans="1:6" ht="16.5" thickBot="1">
      <c r="A24" s="131" t="s">
        <v>50</v>
      </c>
      <c r="B24" s="132">
        <f>+SUM(B20:B23)</f>
        <v>8</v>
      </c>
      <c r="C24" s="132">
        <f>1568-190</f>
        <v>1378</v>
      </c>
      <c r="D24" s="132">
        <f>+SUM(D20:D23)</f>
        <v>2756</v>
      </c>
      <c r="E24" s="132">
        <f>+SUM(E20:E23)</f>
        <v>3328</v>
      </c>
      <c r="F24" s="133">
        <f>+D24/E24</f>
        <v>0.828125</v>
      </c>
    </row>
    <row r="26" spans="1:6" ht="16.5" thickBot="1"/>
    <row r="27" spans="1:6" ht="32.25" thickBot="1">
      <c r="A27" s="124">
        <v>2017</v>
      </c>
      <c r="B27" s="125" t="s">
        <v>182</v>
      </c>
      <c r="C27" s="126" t="s">
        <v>171</v>
      </c>
    </row>
    <row r="28" spans="1:6">
      <c r="A28" s="127" t="s">
        <v>179</v>
      </c>
      <c r="B28" s="128">
        <v>1</v>
      </c>
      <c r="C28" s="134">
        <v>60</v>
      </c>
    </row>
    <row r="29" spans="1:6">
      <c r="A29" s="127" t="s">
        <v>180</v>
      </c>
      <c r="B29" s="128">
        <v>0</v>
      </c>
      <c r="C29" s="134">
        <f t="shared" ref="C29:C30" si="7">+(1204/8)*B29</f>
        <v>0</v>
      </c>
    </row>
    <row r="30" spans="1:6" ht="16.5" thickBot="1">
      <c r="A30" s="127" t="s">
        <v>181</v>
      </c>
      <c r="B30" s="128">
        <v>0</v>
      </c>
      <c r="C30" s="134">
        <f t="shared" si="7"/>
        <v>0</v>
      </c>
    </row>
    <row r="31" spans="1:6" ht="16.5" thickBot="1">
      <c r="A31" s="131" t="s">
        <v>50</v>
      </c>
      <c r="B31" s="135">
        <f>+SUM(B28:B30)</f>
        <v>1</v>
      </c>
      <c r="C31" s="136">
        <f>+SUM(C28:C30)</f>
        <v>60</v>
      </c>
    </row>
    <row r="32" spans="1:6" ht="16.5" thickBot="1">
      <c r="B32" s="122"/>
    </row>
    <row r="33" spans="1:3" ht="32.25" thickBot="1">
      <c r="A33" s="124">
        <v>2018</v>
      </c>
      <c r="B33" s="125" t="s">
        <v>182</v>
      </c>
      <c r="C33" s="126" t="s">
        <v>171</v>
      </c>
    </row>
    <row r="34" spans="1:3">
      <c r="A34" s="127" t="s">
        <v>179</v>
      </c>
      <c r="B34" s="128">
        <v>1</v>
      </c>
      <c r="C34" s="134">
        <v>80</v>
      </c>
    </row>
    <row r="35" spans="1:3">
      <c r="A35" s="127" t="s">
        <v>180</v>
      </c>
      <c r="B35" s="128">
        <v>1</v>
      </c>
      <c r="C35" s="134">
        <v>40</v>
      </c>
    </row>
    <row r="36" spans="1:3" ht="16.5" thickBot="1">
      <c r="A36" s="127" t="s">
        <v>181</v>
      </c>
      <c r="B36" s="128">
        <v>1</v>
      </c>
      <c r="C36" s="134">
        <v>40</v>
      </c>
    </row>
    <row r="37" spans="1:3" ht="16.5" thickBot="1">
      <c r="A37" s="131" t="s">
        <v>50</v>
      </c>
      <c r="B37" s="135">
        <f>+SUM(B34:B36)</f>
        <v>3</v>
      </c>
      <c r="C37" s="136">
        <f>+SUM(C34:C36)</f>
        <v>160</v>
      </c>
    </row>
    <row r="38" spans="1:3" ht="16.5" thickBot="1">
      <c r="B38" s="122"/>
    </row>
    <row r="39" spans="1:3" ht="32.25" thickBot="1">
      <c r="A39" s="124">
        <v>2019</v>
      </c>
      <c r="B39" s="125" t="s">
        <v>182</v>
      </c>
      <c r="C39" s="126" t="s">
        <v>171</v>
      </c>
    </row>
    <row r="40" spans="1:3">
      <c r="A40" s="127" t="s">
        <v>179</v>
      </c>
      <c r="B40" s="128">
        <v>2</v>
      </c>
      <c r="C40" s="134">
        <v>90</v>
      </c>
    </row>
    <row r="41" spans="1:3">
      <c r="A41" s="127" t="s">
        <v>180</v>
      </c>
      <c r="B41" s="128">
        <v>1</v>
      </c>
      <c r="C41" s="134">
        <v>50</v>
      </c>
    </row>
    <row r="42" spans="1:3" ht="16.5" thickBot="1">
      <c r="A42" s="127" t="s">
        <v>181</v>
      </c>
      <c r="B42" s="128">
        <v>1</v>
      </c>
      <c r="C42" s="134">
        <v>50</v>
      </c>
    </row>
    <row r="43" spans="1:3" ht="16.5" thickBot="1">
      <c r="A43" s="131" t="s">
        <v>50</v>
      </c>
      <c r="B43" s="135">
        <f>+SUM(B40:B42)</f>
        <v>4</v>
      </c>
      <c r="C43" s="136">
        <f>+SUM(C40:C42)</f>
        <v>190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0"/>
  <sheetViews>
    <sheetView zoomScale="130" zoomScaleNormal="130" zoomScalePageLayoutView="130" workbookViewId="0">
      <selection activeCell="B20" sqref="B20"/>
    </sheetView>
  </sheetViews>
  <sheetFormatPr baseColWidth="10" defaultColWidth="10.875" defaultRowHeight="12"/>
  <cols>
    <col min="1" max="1" width="3" style="21" customWidth="1"/>
    <col min="2" max="2" width="31.875" style="21" bestFit="1" customWidth="1"/>
    <col min="3" max="4" width="14.875" style="21" customWidth="1"/>
    <col min="5" max="5" width="11.875" style="21" customWidth="1"/>
    <col min="6" max="6" width="13.5" style="21" customWidth="1"/>
    <col min="7" max="7" width="12" style="21" customWidth="1"/>
    <col min="8" max="8" width="10.875" style="21"/>
    <col min="9" max="9" width="11.5" style="21" customWidth="1"/>
    <col min="10" max="16384" width="10.875" style="21"/>
  </cols>
  <sheetData>
    <row r="1" spans="2:11" ht="17.100000000000001" customHeight="1" thickBot="1">
      <c r="B1" s="35" t="s">
        <v>147</v>
      </c>
      <c r="C1" s="381">
        <v>2016</v>
      </c>
      <c r="D1" s="382"/>
      <c r="E1" s="381">
        <v>2017</v>
      </c>
      <c r="F1" s="382"/>
      <c r="G1" s="381">
        <v>2018</v>
      </c>
      <c r="H1" s="383"/>
      <c r="I1" s="381">
        <v>2019</v>
      </c>
      <c r="J1" s="382"/>
    </row>
    <row r="2" spans="2:11" ht="15.95" customHeight="1">
      <c r="B2" s="384" t="s">
        <v>67</v>
      </c>
      <c r="C2" s="386" t="s">
        <v>50</v>
      </c>
      <c r="D2" s="388" t="s">
        <v>240</v>
      </c>
      <c r="E2" s="386" t="s">
        <v>50</v>
      </c>
      <c r="F2" s="388" t="s">
        <v>240</v>
      </c>
      <c r="G2" s="386" t="s">
        <v>50</v>
      </c>
      <c r="H2" s="388" t="s">
        <v>240</v>
      </c>
      <c r="I2" s="386" t="s">
        <v>50</v>
      </c>
      <c r="J2" s="388" t="s">
        <v>240</v>
      </c>
    </row>
    <row r="3" spans="2:11" ht="18.95" customHeight="1" thickBot="1">
      <c r="B3" s="385"/>
      <c r="C3" s="387"/>
      <c r="D3" s="389"/>
      <c r="E3" s="387"/>
      <c r="F3" s="389"/>
      <c r="G3" s="387"/>
      <c r="H3" s="389"/>
      <c r="I3" s="387"/>
      <c r="J3" s="389"/>
    </row>
    <row r="4" spans="2:11" ht="18.95" customHeight="1" thickBot="1">
      <c r="B4" s="226" t="s">
        <v>269</v>
      </c>
      <c r="C4" s="229">
        <v>891</v>
      </c>
      <c r="D4" s="228"/>
      <c r="E4" s="227">
        <v>1204</v>
      </c>
      <c r="F4" s="276">
        <f>+E4/C4</f>
        <v>1.351290684624018</v>
      </c>
      <c r="G4" s="227">
        <v>1384</v>
      </c>
      <c r="H4" s="276">
        <f>+G4/E4</f>
        <v>1.1495016611295681</v>
      </c>
      <c r="I4" s="227">
        <v>1592</v>
      </c>
      <c r="J4" s="276">
        <f>+I4/G4</f>
        <v>1.1502890173410405</v>
      </c>
    </row>
    <row r="5" spans="2:11" ht="12.75" thickBot="1">
      <c r="B5" s="277" t="s">
        <v>369</v>
      </c>
      <c r="C5" s="278">
        <f>-C9/C4</f>
        <v>1024.8856053872055</v>
      </c>
      <c r="D5" s="228"/>
      <c r="E5" s="278">
        <f>-E9/E4</f>
        <v>423.75558139534888</v>
      </c>
      <c r="F5" s="228"/>
      <c r="G5" s="278">
        <f>-G9/G4</f>
        <v>417.44257004765041</v>
      </c>
      <c r="H5" s="228"/>
      <c r="I5" s="278">
        <f>-I9/I4</f>
        <v>419.40052678738601</v>
      </c>
      <c r="J5" s="228"/>
    </row>
    <row r="6" spans="2:11" ht="12.75" thickBot="1">
      <c r="B6" s="277" t="s">
        <v>370</v>
      </c>
      <c r="C6" s="278">
        <f>-C10/C4</f>
        <v>366.90081196969697</v>
      </c>
      <c r="D6" s="228"/>
      <c r="E6" s="278">
        <f>-E10/E4</f>
        <v>241.99063122923585</v>
      </c>
      <c r="F6" s="228"/>
      <c r="G6" s="278">
        <f>-G10/G4</f>
        <v>222.78339559248556</v>
      </c>
      <c r="H6" s="228"/>
      <c r="I6" s="278">
        <f>-I10/I4</f>
        <v>229.37822864321609</v>
      </c>
      <c r="J6" s="228"/>
      <c r="K6" s="21" t="s">
        <v>371</v>
      </c>
    </row>
    <row r="7" spans="2:11" ht="18.95" customHeight="1" thickBot="1">
      <c r="B7" s="186"/>
      <c r="C7" s="225"/>
      <c r="D7" s="187"/>
      <c r="E7" s="225"/>
      <c r="F7" s="187"/>
      <c r="G7" s="225"/>
      <c r="H7" s="187"/>
      <c r="I7" s="225"/>
      <c r="J7" s="187"/>
    </row>
    <row r="8" spans="2:11" ht="12.75" thickBot="1">
      <c r="B8" s="22" t="s">
        <v>139</v>
      </c>
      <c r="C8" s="23">
        <f>+'TAA S.A. 2015-2016'!N24</f>
        <v>5151217.2849816252</v>
      </c>
      <c r="D8" s="24">
        <v>1</v>
      </c>
      <c r="E8" s="23">
        <f>+'PROYECCION DE VENTAS'!T54</f>
        <v>6118912.6799999997</v>
      </c>
      <c r="F8" s="24">
        <v>1</v>
      </c>
      <c r="G8" s="25">
        <f>+'PROYECCION DE VENTAS'!T108</f>
        <v>7221237.1447769459</v>
      </c>
      <c r="H8" s="24">
        <v>1</v>
      </c>
      <c r="I8" s="25">
        <f>+'PROYECCION DE VENTAS'!T162</f>
        <v>8734520.1860638428</v>
      </c>
      <c r="J8" s="24">
        <v>1</v>
      </c>
    </row>
    <row r="9" spans="2:11">
      <c r="B9" s="34" t="s">
        <v>191</v>
      </c>
      <c r="C9" s="26">
        <f>'TAA S.A. 2015-2016'!N27+'TAA S.A. 2015-2016'!N26</f>
        <v>-913173.07440000004</v>
      </c>
      <c r="D9" s="27">
        <f>+C9/C$8</f>
        <v>-0.17727325870379343</v>
      </c>
      <c r="E9" s="26">
        <f>-'PROYECCION DE VENTAS'!U54</f>
        <v>-510201.72000000003</v>
      </c>
      <c r="F9" s="27">
        <f>+E9/E$8</f>
        <v>-8.3381108161197037E-2</v>
      </c>
      <c r="G9" s="26">
        <f>-'PROYECCION DE VENTAS'!U108</f>
        <v>-577740.51694594813</v>
      </c>
      <c r="H9" s="27">
        <f>+G9/G$8</f>
        <v>-8.0005753219698994E-2</v>
      </c>
      <c r="I9" s="26">
        <f>-'PROYECCION DE VENTAS'!U162</f>
        <v>-667685.63864551857</v>
      </c>
      <c r="J9" s="27">
        <f>+I9/I$8</f>
        <v>-7.6442165616701946E-2</v>
      </c>
    </row>
    <row r="10" spans="2:11" ht="12.75" thickBot="1">
      <c r="B10" s="34" t="s">
        <v>152</v>
      </c>
      <c r="C10" s="28">
        <f>+'TAA S.A. 2015-2016'!N27*0.45</f>
        <v>-326908.62346500001</v>
      </c>
      <c r="D10" s="27">
        <f>+C10/C$8</f>
        <v>-6.346240225938482E-2</v>
      </c>
      <c r="E10" s="28">
        <v>-291356.71999999997</v>
      </c>
      <c r="F10" s="27">
        <f>+E10/E$8</f>
        <v>-4.761576692413267E-2</v>
      </c>
      <c r="G10" s="28">
        <v>-308332.21950000001</v>
      </c>
      <c r="H10" s="27">
        <f>+G10/G$8</f>
        <v>-4.2697977274297638E-2</v>
      </c>
      <c r="I10" s="28">
        <v>-365170.14</v>
      </c>
      <c r="J10" s="27">
        <f>+I10/I$8</f>
        <v>-4.1807693178457429E-2</v>
      </c>
    </row>
    <row r="11" spans="2:11" ht="12.75" thickBot="1">
      <c r="B11" s="22" t="s">
        <v>20</v>
      </c>
      <c r="C11" s="23">
        <f>+C8+C9+C10</f>
        <v>3911135.5871166247</v>
      </c>
      <c r="D11" s="24">
        <f>+C11/C$8</f>
        <v>0.75926433903682167</v>
      </c>
      <c r="E11" s="23">
        <f>+E8+E9+E10</f>
        <v>5317354.24</v>
      </c>
      <c r="F11" s="24">
        <f>+E11/E$8</f>
        <v>0.86900312491467036</v>
      </c>
      <c r="G11" s="23">
        <f>+G8+G9+G10</f>
        <v>6335164.4083309984</v>
      </c>
      <c r="H11" s="24">
        <f>+G11/G$8</f>
        <v>0.87729626950600348</v>
      </c>
      <c r="I11" s="23">
        <f>+I8+I9+I10</f>
        <v>7701664.4074183246</v>
      </c>
      <c r="J11" s="24">
        <f>+I11/I$8</f>
        <v>0.88175014120484063</v>
      </c>
    </row>
    <row r="12" spans="2:11" ht="12.75" thickBot="1">
      <c r="B12" s="34"/>
      <c r="C12" s="29"/>
      <c r="D12" s="30"/>
      <c r="E12" s="29"/>
      <c r="F12" s="30"/>
      <c r="G12" s="31"/>
      <c r="H12" s="30"/>
      <c r="I12" s="31"/>
      <c r="J12" s="30"/>
    </row>
    <row r="13" spans="2:11" ht="12.75" thickBot="1">
      <c r="B13" s="22" t="s">
        <v>153</v>
      </c>
      <c r="C13" s="23">
        <f>SUM(C15:C31)</f>
        <v>-2449245.5548591632</v>
      </c>
      <c r="D13" s="24">
        <f t="shared" ref="D13:D32" si="0">+C13/C$8</f>
        <v>-0.47546927635918973</v>
      </c>
      <c r="E13" s="23">
        <f>SUM(E15:E31)</f>
        <v>-3413982.4459027774</v>
      </c>
      <c r="F13" s="24">
        <f t="shared" ref="F13:H30" si="1">+E13/E$8</f>
        <v>-0.55793939617108212</v>
      </c>
      <c r="G13" s="23">
        <f>SUM(G15:G31)</f>
        <v>-3998712.2093749996</v>
      </c>
      <c r="H13" s="24">
        <f t="shared" si="1"/>
        <v>-0.55374337238976168</v>
      </c>
      <c r="I13" s="23">
        <f>SUM(I15:I31)</f>
        <v>-4260707.1628452763</v>
      </c>
      <c r="J13" s="24">
        <f t="shared" ref="J13" si="2">+I13/I$8</f>
        <v>-0.4878009406450679</v>
      </c>
    </row>
    <row r="14" spans="2:11">
      <c r="B14" s="34" t="s">
        <v>373</v>
      </c>
      <c r="C14" s="28"/>
      <c r="D14" s="32"/>
      <c r="E14" s="28"/>
      <c r="F14" s="32"/>
      <c r="G14" s="28"/>
      <c r="H14" s="32"/>
      <c r="I14" s="28"/>
      <c r="J14" s="32"/>
    </row>
    <row r="15" spans="2:11">
      <c r="B15" s="279" t="s">
        <v>374</v>
      </c>
      <c r="C15" s="280">
        <v>-106364.15217323061</v>
      </c>
      <c r="D15" s="281">
        <f t="shared" si="0"/>
        <v>-2.0648352862795229E-2</v>
      </c>
      <c r="E15" s="280">
        <v>-511432.65</v>
      </c>
      <c r="F15" s="281">
        <f t="shared" si="1"/>
        <v>-8.3582276255002877E-2</v>
      </c>
      <c r="G15" s="280">
        <v>-586826.44999999995</v>
      </c>
      <c r="H15" s="281">
        <f t="shared" si="1"/>
        <v>-8.1263977104594348E-2</v>
      </c>
      <c r="I15" s="280">
        <v>-695991.15</v>
      </c>
      <c r="J15" s="281">
        <f t="shared" ref="J15" si="3">+I15/I$8</f>
        <v>-7.9682814301634139E-2</v>
      </c>
    </row>
    <row r="16" spans="2:11">
      <c r="B16" s="34" t="s">
        <v>155</v>
      </c>
      <c r="C16" s="28">
        <v>-20788.00746017589</v>
      </c>
      <c r="D16" s="32">
        <f t="shared" si="0"/>
        <v>-4.0355524354958447E-3</v>
      </c>
      <c r="E16" s="28">
        <v>-7200</v>
      </c>
      <c r="F16" s="32">
        <f t="shared" si="1"/>
        <v>-1.1766796449855532E-3</v>
      </c>
      <c r="G16" s="28">
        <v>-7500</v>
      </c>
      <c r="H16" s="32">
        <f t="shared" si="1"/>
        <v>-1.0386031990965261E-3</v>
      </c>
      <c r="I16" s="28">
        <v>-7500</v>
      </c>
      <c r="J16" s="32">
        <f t="shared" ref="J16" si="4">+I16/I$8</f>
        <v>-8.5866193451203507E-4</v>
      </c>
    </row>
    <row r="17" spans="2:11">
      <c r="B17" s="34" t="s">
        <v>156</v>
      </c>
      <c r="C17" s="28">
        <v>-7954.6416556912964</v>
      </c>
      <c r="D17" s="32">
        <f t="shared" si="0"/>
        <v>-1.5442256103005119E-3</v>
      </c>
      <c r="E17" s="28">
        <v>-8200</v>
      </c>
      <c r="F17" s="32">
        <f t="shared" si="1"/>
        <v>-1.340107373455769E-3</v>
      </c>
      <c r="G17" s="28">
        <v>-7600</v>
      </c>
      <c r="H17" s="32">
        <f t="shared" si="1"/>
        <v>-1.0524512417511465E-3</v>
      </c>
      <c r="I17" s="28">
        <v>-7600</v>
      </c>
      <c r="J17" s="32">
        <f t="shared" ref="J17" si="5">+I17/I$8</f>
        <v>-8.7011076030552893E-4</v>
      </c>
    </row>
    <row r="18" spans="2:11">
      <c r="B18" s="34" t="s">
        <v>157</v>
      </c>
      <c r="C18" s="28">
        <v>-440427.665501729</v>
      </c>
      <c r="D18" s="32">
        <f t="shared" si="0"/>
        <v>-8.5499725819331268E-2</v>
      </c>
      <c r="E18" s="28">
        <f>-(+Salarios!C55+Salarios!D55)</f>
        <v>-476939.5</v>
      </c>
      <c r="F18" s="32">
        <f t="shared" si="1"/>
        <v>-7.7945139102720454E-2</v>
      </c>
      <c r="G18" s="28">
        <f>-(Salarios!D85+Salarios!C85)</f>
        <v>-681189</v>
      </c>
      <c r="H18" s="32">
        <f t="shared" si="1"/>
        <v>-9.4331343278581808E-2</v>
      </c>
      <c r="I18" s="28">
        <f>-(Salarios!D115+Salarios!C115)</f>
        <v>-733971.6</v>
      </c>
      <c r="J18" s="32">
        <f t="shared" ref="J18" si="6">+I18/I$8</f>
        <v>-8.4031129857719142E-2</v>
      </c>
    </row>
    <row r="19" spans="2:11">
      <c r="B19" s="34" t="s">
        <v>158</v>
      </c>
      <c r="C19" s="28">
        <v>-25252.949926313948</v>
      </c>
      <c r="D19" s="32">
        <f t="shared" si="0"/>
        <v>-4.9023266791596871E-3</v>
      </c>
      <c r="E19" s="28">
        <v>-32400</v>
      </c>
      <c r="F19" s="32">
        <f t="shared" si="1"/>
        <v>-5.2950584024349899E-3</v>
      </c>
      <c r="G19" s="28">
        <v>-28800</v>
      </c>
      <c r="H19" s="32">
        <f t="shared" si="1"/>
        <v>-3.9882362845306604E-3</v>
      </c>
      <c r="I19" s="28">
        <v>-28800</v>
      </c>
      <c r="J19" s="32">
        <f t="shared" ref="J19" si="7">+I19/I$8</f>
        <v>-3.2972618285262148E-3</v>
      </c>
    </row>
    <row r="20" spans="2:11">
      <c r="B20" s="34" t="s">
        <v>159</v>
      </c>
      <c r="C20" s="28">
        <v>-37507.15</v>
      </c>
      <c r="D20" s="32">
        <f t="shared" si="0"/>
        <v>-7.2812207144420217E-3</v>
      </c>
      <c r="E20" s="28">
        <v>-100800</v>
      </c>
      <c r="F20" s="32">
        <f t="shared" si="1"/>
        <v>-1.6473515029797745E-2</v>
      </c>
      <c r="G20" s="28">
        <v>-34000</v>
      </c>
      <c r="H20" s="32">
        <f t="shared" si="1"/>
        <v>-4.7083345025709187E-3</v>
      </c>
      <c r="I20" s="28">
        <v>-34000</v>
      </c>
      <c r="J20" s="32">
        <f t="shared" ref="J20" si="8">+I20/I$8</f>
        <v>-3.8926007697878923E-3</v>
      </c>
    </row>
    <row r="21" spans="2:11">
      <c r="B21" s="34" t="s">
        <v>160</v>
      </c>
      <c r="C21" s="28">
        <v>-15252.032647058822</v>
      </c>
      <c r="D21" s="32">
        <f t="shared" si="0"/>
        <v>-2.9608598906371367E-3</v>
      </c>
      <c r="E21" s="28">
        <v>-97499.94</v>
      </c>
      <c r="F21" s="32">
        <f t="shared" si="1"/>
        <v>-1.5934193720182326E-2</v>
      </c>
      <c r="G21" s="28">
        <v>-102500</v>
      </c>
      <c r="H21" s="32">
        <f t="shared" si="1"/>
        <v>-1.4194243720985857E-2</v>
      </c>
      <c r="I21" s="28">
        <v>-107499.93</v>
      </c>
      <c r="J21" s="32">
        <f t="shared" ref="J21" si="9">+I21/I$8</f>
        <v>-1.230747971382778E-2</v>
      </c>
    </row>
    <row r="22" spans="2:11">
      <c r="B22" s="34" t="s">
        <v>161</v>
      </c>
      <c r="C22" s="28">
        <v>-18211.492886906377</v>
      </c>
      <c r="D22" s="32">
        <f t="shared" si="0"/>
        <v>-3.5353765681758343E-3</v>
      </c>
      <c r="E22" s="28">
        <v>-57000</v>
      </c>
      <c r="F22" s="32">
        <f t="shared" si="1"/>
        <v>-9.3153805228022961E-3</v>
      </c>
      <c r="G22" s="28">
        <v>-22800</v>
      </c>
      <c r="H22" s="32">
        <f t="shared" si="1"/>
        <v>-3.1573537252534392E-3</v>
      </c>
      <c r="I22" s="28">
        <v>-22800</v>
      </c>
      <c r="J22" s="32">
        <f t="shared" ref="J22" si="10">+I22/I$8</f>
        <v>-2.6103322809165868E-3</v>
      </c>
    </row>
    <row r="23" spans="2:11">
      <c r="B23" s="34" t="s">
        <v>162</v>
      </c>
      <c r="C23" s="28">
        <v>-1002578.7008941279</v>
      </c>
      <c r="D23" s="32">
        <f t="shared" si="0"/>
        <v>-0.19462947210888315</v>
      </c>
      <c r="E23" s="28">
        <f>-(Salarios!B55+Salarios!E55+Salarios!F55+Salarios!G55)</f>
        <v>-1110364.5559027777</v>
      </c>
      <c r="F23" s="32">
        <f t="shared" si="1"/>
        <v>-0.18146435714503084</v>
      </c>
      <c r="G23" s="28">
        <f>-(Salarios!B85+Salarios!E85+Salarios!F85+Salarios!G85)</f>
        <v>-1443491.7593749999</v>
      </c>
      <c r="H23" s="32">
        <f t="shared" si="1"/>
        <v>-0.1998953545541797</v>
      </c>
      <c r="I23" s="28">
        <f>-(Salarios!B115+Salarios!E115+Salarios!F115+Salarios!G115)</f>
        <v>-1522596.5132812499</v>
      </c>
      <c r="J23" s="32">
        <f t="shared" ref="J23" si="11">+I23/I$8</f>
        <v>-0.17431942234338102</v>
      </c>
    </row>
    <row r="24" spans="2:11">
      <c r="B24" s="34" t="s">
        <v>163</v>
      </c>
      <c r="C24" s="28">
        <v>-12508.689963476732</v>
      </c>
      <c r="D24" s="32">
        <f t="shared" si="0"/>
        <v>-2.4282978704753574E-3</v>
      </c>
      <c r="E24" s="28">
        <v>-10560</v>
      </c>
      <c r="F24" s="32">
        <f t="shared" si="1"/>
        <v>-1.7257968126454782E-3</v>
      </c>
      <c r="G24" s="28">
        <v>-11200</v>
      </c>
      <c r="H24" s="32">
        <f t="shared" si="1"/>
        <v>-1.550980777317479E-3</v>
      </c>
      <c r="I24" s="28">
        <v>-11200</v>
      </c>
      <c r="J24" s="32">
        <f t="shared" ref="J24" si="12">+I24/I$8</f>
        <v>-1.2822684888713057E-3</v>
      </c>
    </row>
    <row r="25" spans="2:11">
      <c r="B25" s="34" t="s">
        <v>164</v>
      </c>
      <c r="C25" s="28">
        <v>-185919.55937499998</v>
      </c>
      <c r="D25" s="32">
        <f t="shared" si="0"/>
        <v>-3.6092354309543204E-2</v>
      </c>
      <c r="E25" s="28">
        <v>-401160</v>
      </c>
      <c r="F25" s="32">
        <f t="shared" si="1"/>
        <v>-6.556066755311174E-2</v>
      </c>
      <c r="G25" s="28">
        <v>-411400</v>
      </c>
      <c r="H25" s="32">
        <f t="shared" si="1"/>
        <v>-5.697084748110811E-2</v>
      </c>
      <c r="I25" s="28">
        <v>-411400</v>
      </c>
      <c r="J25" s="32">
        <f t="shared" ref="J25" si="13">+I25/I$8</f>
        <v>-4.7100469314433499E-2</v>
      </c>
    </row>
    <row r="26" spans="2:11">
      <c r="B26" s="34" t="s">
        <v>165</v>
      </c>
      <c r="C26" s="28">
        <v>-66833.141516963151</v>
      </c>
      <c r="D26" s="32">
        <f t="shared" si="0"/>
        <v>-1.2974242362444151E-2</v>
      </c>
      <c r="E26" s="28">
        <v>-144025.79999999999</v>
      </c>
      <c r="F26" s="32">
        <f t="shared" si="1"/>
        <v>-2.3537809335105596E-2</v>
      </c>
      <c r="G26" s="28">
        <v>-182005</v>
      </c>
      <c r="H26" s="32">
        <f t="shared" si="1"/>
        <v>-2.5204130033541765E-2</v>
      </c>
      <c r="I26" s="28">
        <v>-191947.96956402605</v>
      </c>
      <c r="J26" s="32">
        <f t="shared" ref="J26" si="14">+I26/I$8</f>
        <v>-2.1975788649533846E-2</v>
      </c>
    </row>
    <row r="27" spans="2:11">
      <c r="B27" s="34" t="s">
        <v>166</v>
      </c>
      <c r="C27" s="28">
        <v>-82215.923850888939</v>
      </c>
      <c r="D27" s="32">
        <f t="shared" si="0"/>
        <v>-1.596048454228275E-2</v>
      </c>
      <c r="E27" s="28">
        <v>-56400</v>
      </c>
      <c r="F27" s="32">
        <f t="shared" si="1"/>
        <v>-9.2173238857201668E-3</v>
      </c>
      <c r="G27" s="28">
        <v>-56400</v>
      </c>
      <c r="H27" s="32">
        <f t="shared" si="1"/>
        <v>-7.8102960572058759E-3</v>
      </c>
      <c r="I27" s="28">
        <v>-56400</v>
      </c>
      <c r="J27" s="32">
        <f t="shared" ref="J27" si="15">+I27/I$8</f>
        <v>-6.4571377475305036E-3</v>
      </c>
      <c r="K27" s="21" t="s">
        <v>372</v>
      </c>
    </row>
    <row r="28" spans="2:11">
      <c r="B28" s="34" t="s">
        <v>167</v>
      </c>
      <c r="C28" s="28">
        <v>-170539.90857457151</v>
      </c>
      <c r="D28" s="32">
        <f t="shared" si="0"/>
        <v>-3.3106720050769485E-2</v>
      </c>
      <c r="E28" s="28">
        <v>-330000</v>
      </c>
      <c r="F28" s="32">
        <f t="shared" si="1"/>
        <v>-5.3931150395171192E-2</v>
      </c>
      <c r="G28" s="28">
        <v>-330000</v>
      </c>
      <c r="H28" s="32">
        <f t="shared" si="1"/>
        <v>-4.5698540760247146E-2</v>
      </c>
      <c r="I28" s="28">
        <v>-330000</v>
      </c>
      <c r="J28" s="32">
        <f t="shared" ref="J28" si="16">+I28/I$8</f>
        <v>-3.7781125118529546E-2</v>
      </c>
    </row>
    <row r="29" spans="2:11">
      <c r="B29" s="34" t="s">
        <v>168</v>
      </c>
      <c r="C29" s="28">
        <v>-152507.28599081084</v>
      </c>
      <c r="D29" s="32">
        <f t="shared" si="0"/>
        <v>-2.9606067372744273E-2</v>
      </c>
      <c r="E29" s="28">
        <v>-20000</v>
      </c>
      <c r="F29" s="32">
        <f t="shared" si="1"/>
        <v>-3.2685545694043148E-3</v>
      </c>
      <c r="G29" s="28">
        <v>-25000</v>
      </c>
      <c r="H29" s="32">
        <f t="shared" si="1"/>
        <v>-3.4620106636550868E-3</v>
      </c>
      <c r="I29" s="28">
        <v>-25000</v>
      </c>
      <c r="J29" s="32">
        <f t="shared" ref="J29" si="17">+I29/I$8</f>
        <v>-2.8622064483734503E-3</v>
      </c>
    </row>
    <row r="30" spans="2:11">
      <c r="B30" s="34" t="s">
        <v>169</v>
      </c>
      <c r="C30" s="28">
        <v>-66898.005720566289</v>
      </c>
      <c r="D30" s="32">
        <f t="shared" si="0"/>
        <v>-1.2986834377110715E-2</v>
      </c>
      <c r="E30" s="28">
        <v>-50000</v>
      </c>
      <c r="F30" s="32">
        <f t="shared" si="1"/>
        <v>-8.1713864235107864E-3</v>
      </c>
      <c r="G30" s="28">
        <v>-68000</v>
      </c>
      <c r="H30" s="32">
        <f t="shared" si="1"/>
        <v>-9.4166690051418374E-3</v>
      </c>
      <c r="I30" s="28">
        <v>-74000</v>
      </c>
      <c r="J30" s="32">
        <f t="shared" ref="J30" si="18">+I30/I$8</f>
        <v>-8.4721310871854125E-3</v>
      </c>
    </row>
    <row r="31" spans="2:11" ht="12.75" thickBot="1">
      <c r="B31" s="34" t="s">
        <v>368</v>
      </c>
      <c r="C31" s="28">
        <v>-37486.246721651776</v>
      </c>
      <c r="D31" s="32">
        <f t="shared" si="0"/>
        <v>-7.277162784599076E-3</v>
      </c>
      <c r="E31" s="28"/>
      <c r="F31" s="32"/>
      <c r="G31" s="28"/>
      <c r="H31" s="32"/>
      <c r="I31" s="28"/>
      <c r="J31" s="32"/>
    </row>
    <row r="32" spans="2:11" ht="12.75" thickBot="1">
      <c r="B32" s="22" t="s">
        <v>170</v>
      </c>
      <c r="C32" s="23">
        <f>+C11+C13</f>
        <v>1461890.0322574615</v>
      </c>
      <c r="D32" s="24">
        <f t="shared" si="0"/>
        <v>0.28379506267763194</v>
      </c>
      <c r="E32" s="23">
        <f>+E11+E13</f>
        <v>1903371.7940972229</v>
      </c>
      <c r="F32" s="24">
        <f t="shared" ref="F32:H32" si="19">+E32/E$8</f>
        <v>0.31106372874358829</v>
      </c>
      <c r="G32" s="23">
        <f>+G11+G13</f>
        <v>2336452.1989559988</v>
      </c>
      <c r="H32" s="24">
        <f t="shared" si="19"/>
        <v>0.3235528971162418</v>
      </c>
      <c r="I32" s="23">
        <f>+I11+I13</f>
        <v>3440957.2445730483</v>
      </c>
      <c r="J32" s="24">
        <f t="shared" ref="J32:J33" si="20">+I32/I$8</f>
        <v>0.39394920055977273</v>
      </c>
    </row>
    <row r="33" spans="2:10">
      <c r="J33" s="21">
        <f t="shared" si="20"/>
        <v>0</v>
      </c>
    </row>
    <row r="34" spans="2:10" ht="12.75" thickBot="1"/>
    <row r="35" spans="2:10" ht="12.75" thickBot="1">
      <c r="B35" s="35" t="s">
        <v>148</v>
      </c>
      <c r="C35" s="188"/>
      <c r="D35" s="188"/>
      <c r="E35" s="381">
        <v>2017</v>
      </c>
      <c r="F35" s="382"/>
      <c r="G35" s="381">
        <v>2018</v>
      </c>
      <c r="H35" s="383"/>
      <c r="I35" s="381">
        <v>2019</v>
      </c>
      <c r="J35" s="382"/>
    </row>
    <row r="36" spans="2:10" ht="15.95" customHeight="1">
      <c r="B36" s="384" t="s">
        <v>67</v>
      </c>
      <c r="C36" s="33"/>
      <c r="D36" s="33"/>
      <c r="E36" s="391" t="s">
        <v>50</v>
      </c>
      <c r="F36" s="393" t="s">
        <v>109</v>
      </c>
      <c r="G36" s="391" t="s">
        <v>50</v>
      </c>
      <c r="H36" s="395" t="s">
        <v>109</v>
      </c>
      <c r="I36" s="391" t="s">
        <v>50</v>
      </c>
      <c r="J36" s="396" t="s">
        <v>109</v>
      </c>
    </row>
    <row r="37" spans="2:10" ht="17.100000000000001" customHeight="1" thickBot="1">
      <c r="B37" s="390"/>
      <c r="C37" s="33"/>
      <c r="D37" s="33"/>
      <c r="E37" s="392"/>
      <c r="F37" s="394"/>
      <c r="G37" s="392"/>
      <c r="H37" s="395"/>
      <c r="I37" s="392"/>
      <c r="J37" s="396"/>
    </row>
    <row r="38" spans="2:10" ht="12.75" thickBot="1">
      <c r="B38" s="22" t="s">
        <v>139</v>
      </c>
      <c r="C38" s="22"/>
      <c r="D38" s="22"/>
      <c r="E38" s="23">
        <v>5332010.8420000002</v>
      </c>
      <c r="F38" s="24">
        <v>1</v>
      </c>
      <c r="G38" s="25">
        <f>+E38*1.04</f>
        <v>5545291.27568</v>
      </c>
      <c r="H38" s="24">
        <v>1</v>
      </c>
      <c r="I38" s="25">
        <f>+G38*1.05</f>
        <v>5822555.8394640004</v>
      </c>
      <c r="J38" s="24">
        <v>1</v>
      </c>
    </row>
    <row r="39" spans="2:10">
      <c r="B39" s="34" t="s">
        <v>191</v>
      </c>
      <c r="C39" s="34"/>
      <c r="D39" s="34"/>
      <c r="E39" s="26">
        <f>+(E9/E$8)*E38</f>
        <v>-444588.97273347731</v>
      </c>
      <c r="F39" s="27">
        <f>+E39/E$8</f>
        <v>-7.2658165916738876E-2</v>
      </c>
      <c r="G39" s="26">
        <f>+(G9/G$8)*G38</f>
        <v>-443655.20533340389</v>
      </c>
      <c r="H39" s="27">
        <f>+G39/G$8</f>
        <v>-6.1437562074013262E-2</v>
      </c>
      <c r="I39" s="26">
        <f>+(I9/I$8)*I38</f>
        <v>-445088.77779280214</v>
      </c>
      <c r="J39" s="27">
        <f>+I39/I$8</f>
        <v>-5.095743879588864E-2</v>
      </c>
    </row>
    <row r="40" spans="2:10" ht="12.75" thickBot="1">
      <c r="B40" s="34" t="s">
        <v>152</v>
      </c>
      <c r="C40" s="34"/>
      <c r="D40" s="34"/>
      <c r="E40" s="28">
        <f>+(E10/E$8)*E$38</f>
        <v>-253887.78548962041</v>
      </c>
      <c r="F40" s="27">
        <f>+E40/E$8</f>
        <v>-4.1492304068902065E-2</v>
      </c>
      <c r="G40" s="28">
        <f>+(G10/G$8)*G$38</f>
        <v>-236772.72086834561</v>
      </c>
      <c r="H40" s="27">
        <f>+G40/G$8</f>
        <v>-3.2788387380353674E-2</v>
      </c>
      <c r="I40" s="28">
        <f>+(I10/I$8)*I$38</f>
        <v>-243427.62805074657</v>
      </c>
      <c r="J40" s="27">
        <f>+I40/I$8</f>
        <v>-2.7869605068764024E-2</v>
      </c>
    </row>
    <row r="41" spans="2:10" ht="12.75" thickBot="1">
      <c r="B41" s="22" t="s">
        <v>20</v>
      </c>
      <c r="C41" s="22"/>
      <c r="D41" s="22"/>
      <c r="E41" s="23">
        <f>+E38+E39+E40</f>
        <v>4633534.0837769024</v>
      </c>
      <c r="F41" s="24">
        <f>+E41/E$8</f>
        <v>0.75724795010098145</v>
      </c>
      <c r="G41" s="23">
        <f>+G38+G39+G40</f>
        <v>4864863.3494782504</v>
      </c>
      <c r="H41" s="24">
        <f>+G41/G$8</f>
        <v>0.67368835172474029</v>
      </c>
      <c r="I41" s="23">
        <f>+I38+I39+I40</f>
        <v>5134039.4336204519</v>
      </c>
      <c r="J41" s="24">
        <f>+I41/I$8</f>
        <v>0.58778723092448137</v>
      </c>
    </row>
    <row r="42" spans="2:10" ht="12.75" thickBot="1">
      <c r="B42" s="34"/>
      <c r="C42" s="34"/>
      <c r="D42" s="34"/>
      <c r="E42" s="29"/>
      <c r="F42" s="30"/>
      <c r="G42" s="31"/>
      <c r="H42" s="30"/>
      <c r="I42" s="31"/>
      <c r="J42" s="30"/>
    </row>
    <row r="43" spans="2:10" ht="12.75" thickBot="1">
      <c r="B43" s="22" t="s">
        <v>153</v>
      </c>
      <c r="C43" s="22"/>
      <c r="D43" s="22"/>
      <c r="E43" s="23">
        <f>SUM(E44:E59)</f>
        <v>-2918650.29</v>
      </c>
      <c r="F43" s="24">
        <f t="shared" ref="F43" si="21">+E43/E$8</f>
        <v>-0.47698838709363639</v>
      </c>
      <c r="G43" s="23">
        <f>SUM(G44:G59)</f>
        <v>-3035395.7525793798</v>
      </c>
      <c r="H43" s="24">
        <f t="shared" ref="H43" si="22">+G43/G$8</f>
        <v>-0.42034289855372686</v>
      </c>
      <c r="I43" s="23">
        <f>SUM(I44:I59)</f>
        <v>-3187166.1276309676</v>
      </c>
      <c r="J43" s="24">
        <f t="shared" ref="J43" si="23">+I43/I$8</f>
        <v>-0.3648930977017118</v>
      </c>
    </row>
    <row r="44" spans="2:10">
      <c r="B44" s="34" t="s">
        <v>154</v>
      </c>
      <c r="C44" s="34"/>
      <c r="D44" s="34"/>
      <c r="E44" s="28">
        <v>-177251</v>
      </c>
      <c r="F44" s="32">
        <f t="shared" ref="F44" si="24">+E44/E$8</f>
        <v>-2.8967728299074208E-2</v>
      </c>
      <c r="G44" s="28">
        <v>-349317</v>
      </c>
      <c r="H44" s="32">
        <f t="shared" ref="H44" si="25">+G44/G$8</f>
        <v>-4.8373567159840161E-2</v>
      </c>
      <c r="I44" s="28">
        <v>-466659.8</v>
      </c>
      <c r="J44" s="32">
        <f t="shared" ref="J44" si="26">+I44/I$8</f>
        <v>-5.3427067550266584E-2</v>
      </c>
    </row>
    <row r="45" spans="2:10">
      <c r="B45" s="34" t="s">
        <v>155</v>
      </c>
      <c r="C45" s="34"/>
      <c r="D45" s="34"/>
      <c r="E45" s="28">
        <v>-7200</v>
      </c>
      <c r="F45" s="32">
        <f t="shared" ref="F45" si="27">+E45/E$8</f>
        <v>-1.1766796449855532E-3</v>
      </c>
      <c r="G45" s="28">
        <v>-7500</v>
      </c>
      <c r="H45" s="32">
        <f t="shared" ref="H45" si="28">+G45/G$8</f>
        <v>-1.0386031990965261E-3</v>
      </c>
      <c r="I45" s="28">
        <v>-7500</v>
      </c>
      <c r="J45" s="32">
        <f t="shared" ref="J45" si="29">+I45/I$8</f>
        <v>-8.5866193451203507E-4</v>
      </c>
    </row>
    <row r="46" spans="2:10">
      <c r="B46" s="34" t="s">
        <v>156</v>
      </c>
      <c r="C46" s="34"/>
      <c r="D46" s="34"/>
      <c r="E46" s="28">
        <v>-8200</v>
      </c>
      <c r="F46" s="32">
        <f t="shared" ref="F46" si="30">+E46/E$8</f>
        <v>-1.340107373455769E-3</v>
      </c>
      <c r="G46" s="28">
        <v>-7600</v>
      </c>
      <c r="H46" s="32">
        <f t="shared" ref="H46" si="31">+G46/G$8</f>
        <v>-1.0524512417511465E-3</v>
      </c>
      <c r="I46" s="28">
        <v>-7600</v>
      </c>
      <c r="J46" s="32">
        <f t="shared" ref="J46" si="32">+I46/I$8</f>
        <v>-8.7011076030552893E-4</v>
      </c>
    </row>
    <row r="47" spans="2:10">
      <c r="B47" s="34" t="s">
        <v>157</v>
      </c>
      <c r="C47" s="34"/>
      <c r="D47" s="34"/>
      <c r="E47" s="28">
        <v>-461965</v>
      </c>
      <c r="F47" s="32">
        <f t="shared" ref="F47" si="33">+E47/E$8</f>
        <v>-7.5497890582743213E-2</v>
      </c>
      <c r="G47" s="28">
        <f>+E47*1.02</f>
        <v>-471204.3</v>
      </c>
      <c r="H47" s="32">
        <f t="shared" ref="H47" si="34">+G47/G$8</f>
        <v>-6.525257245440523E-2</v>
      </c>
      <c r="I47" s="28">
        <f>+G47*1.02</f>
        <v>-480628.386</v>
      </c>
      <c r="J47" s="32">
        <f t="shared" ref="J47" si="35">+I47/I$8</f>
        <v>-5.5026306627220953E-2</v>
      </c>
    </row>
    <row r="48" spans="2:10">
      <c r="B48" s="34" t="s">
        <v>158</v>
      </c>
      <c r="C48" s="34"/>
      <c r="D48" s="34"/>
      <c r="E48" s="28">
        <v>-32400</v>
      </c>
      <c r="F48" s="32">
        <f t="shared" ref="F48" si="36">+E48/E$8</f>
        <v>-5.2950584024349899E-3</v>
      </c>
      <c r="G48" s="28">
        <v>-28800</v>
      </c>
      <c r="H48" s="32">
        <f t="shared" ref="H48" si="37">+G48/G$8</f>
        <v>-3.9882362845306604E-3</v>
      </c>
      <c r="I48" s="28">
        <v>-28800</v>
      </c>
      <c r="J48" s="32">
        <f t="shared" ref="J48" si="38">+I48/I$8</f>
        <v>-3.2972618285262148E-3</v>
      </c>
    </row>
    <row r="49" spans="2:10">
      <c r="B49" s="34" t="s">
        <v>159</v>
      </c>
      <c r="C49" s="34"/>
      <c r="D49" s="34"/>
      <c r="E49" s="28">
        <v>-100800</v>
      </c>
      <c r="F49" s="32">
        <f t="shared" ref="F49" si="39">+E49/E$8</f>
        <v>-1.6473515029797745E-2</v>
      </c>
      <c r="G49" s="28">
        <v>-34000</v>
      </c>
      <c r="H49" s="32">
        <f t="shared" ref="H49" si="40">+G49/G$8</f>
        <v>-4.7083345025709187E-3</v>
      </c>
      <c r="I49" s="28">
        <v>-34000</v>
      </c>
      <c r="J49" s="32">
        <f t="shared" ref="J49" si="41">+I49/I$8</f>
        <v>-3.8926007697878923E-3</v>
      </c>
    </row>
    <row r="50" spans="2:10">
      <c r="B50" s="34" t="s">
        <v>160</v>
      </c>
      <c r="C50" s="34"/>
      <c r="D50" s="34"/>
      <c r="E50" s="28">
        <v>0</v>
      </c>
      <c r="F50" s="32">
        <f t="shared" ref="F50" si="42">+E50/E$8</f>
        <v>0</v>
      </c>
      <c r="G50" s="28">
        <v>0</v>
      </c>
      <c r="H50" s="32">
        <f t="shared" ref="H50" si="43">+G50/G$8</f>
        <v>0</v>
      </c>
      <c r="I50" s="28">
        <v>0</v>
      </c>
      <c r="J50" s="32">
        <f t="shared" ref="J50" si="44">+I50/I$8</f>
        <v>0</v>
      </c>
    </row>
    <row r="51" spans="2:10">
      <c r="B51" s="34" t="s">
        <v>161</v>
      </c>
      <c r="C51" s="34"/>
      <c r="D51" s="34"/>
      <c r="E51" s="28">
        <v>-57000</v>
      </c>
      <c r="F51" s="32">
        <f t="shared" ref="F51" si="45">+E51/E$8</f>
        <v>-9.3153805228022961E-3</v>
      </c>
      <c r="G51" s="28">
        <v>-22800</v>
      </c>
      <c r="H51" s="32">
        <f t="shared" ref="H51" si="46">+G51/G$8</f>
        <v>-3.1573537252534392E-3</v>
      </c>
      <c r="I51" s="28">
        <v>-22800</v>
      </c>
      <c r="J51" s="32">
        <f t="shared" ref="J51" si="47">+I51/I$8</f>
        <v>-2.6103322809165868E-3</v>
      </c>
    </row>
    <row r="52" spans="2:10">
      <c r="B52" s="34" t="s">
        <v>162</v>
      </c>
      <c r="C52" s="34"/>
      <c r="D52" s="34"/>
      <c r="E52" s="28">
        <v>-1081688.49</v>
      </c>
      <c r="F52" s="32">
        <f t="shared" ref="F52" si="48">+E52/E$8</f>
        <v>-0.17677789283307765</v>
      </c>
      <c r="G52" s="28">
        <f>+E52*1.02</f>
        <v>-1103322.2598000001</v>
      </c>
      <c r="H52" s="32">
        <f t="shared" ref="H52" si="49">+G52/G$8</f>
        <v>-0.15278853715502516</v>
      </c>
      <c r="I52" s="28">
        <f>+G52*1.02</f>
        <v>-1125388.704996</v>
      </c>
      <c r="J52" s="32">
        <f t="shared" ref="J52" si="50">+I52/I$8</f>
        <v>-0.12884379233464791</v>
      </c>
    </row>
    <row r="53" spans="2:10">
      <c r="B53" s="34" t="s">
        <v>163</v>
      </c>
      <c r="C53" s="34"/>
      <c r="D53" s="34"/>
      <c r="E53" s="28">
        <v>-10560</v>
      </c>
      <c r="F53" s="32">
        <f t="shared" ref="F53" si="51">+E53/E$8</f>
        <v>-1.7257968126454782E-3</v>
      </c>
      <c r="G53" s="28">
        <v>-11200</v>
      </c>
      <c r="H53" s="32">
        <f t="shared" ref="H53" si="52">+G53/G$8</f>
        <v>-1.550980777317479E-3</v>
      </c>
      <c r="I53" s="28">
        <v>-11200</v>
      </c>
      <c r="J53" s="32">
        <f t="shared" ref="J53" si="53">+I53/I$8</f>
        <v>-1.2822684888713057E-3</v>
      </c>
    </row>
    <row r="54" spans="2:10">
      <c r="B54" s="34" t="s">
        <v>164</v>
      </c>
      <c r="C54" s="34"/>
      <c r="D54" s="34"/>
      <c r="E54" s="28">
        <v>-401160</v>
      </c>
      <c r="F54" s="32">
        <f t="shared" ref="F54" si="54">+E54/E$8</f>
        <v>-6.556066755311174E-2</v>
      </c>
      <c r="G54" s="28">
        <v>-411400</v>
      </c>
      <c r="H54" s="32">
        <f t="shared" ref="H54" si="55">+G54/G$8</f>
        <v>-5.697084748110811E-2</v>
      </c>
      <c r="I54" s="28">
        <v>-411400</v>
      </c>
      <c r="J54" s="32">
        <f t="shared" ref="J54" si="56">+I54/I$8</f>
        <v>-4.7100469314433499E-2</v>
      </c>
    </row>
    <row r="55" spans="2:10">
      <c r="B55" s="34" t="s">
        <v>165</v>
      </c>
      <c r="C55" s="34"/>
      <c r="D55" s="34"/>
      <c r="E55" s="28">
        <v>-144025.79999999999</v>
      </c>
      <c r="F55" s="32">
        <f t="shared" ref="F55" si="57">+E55/E$8</f>
        <v>-2.3537809335105596E-2</v>
      </c>
      <c r="G55" s="28">
        <f>+G52*0.1331</f>
        <v>-146852.19277938001</v>
      </c>
      <c r="H55" s="32">
        <f t="shared" ref="H55" si="58">+G55/G$8</f>
        <v>-2.0336154295333846E-2</v>
      </c>
      <c r="I55" s="28">
        <f>+I52*0.1331</f>
        <v>-149789.23663496762</v>
      </c>
      <c r="J55" s="32">
        <f t="shared" ref="J55" si="59">+I55/I$8</f>
        <v>-1.7149108759741637E-2</v>
      </c>
    </row>
    <row r="56" spans="2:10">
      <c r="B56" s="34" t="s">
        <v>166</v>
      </c>
      <c r="C56" s="34"/>
      <c r="D56" s="34"/>
      <c r="E56" s="28">
        <v>-56400</v>
      </c>
      <c r="F56" s="32">
        <f t="shared" ref="F56" si="60">+E56/E$8</f>
        <v>-9.2173238857201668E-3</v>
      </c>
      <c r="G56" s="28">
        <v>-56400</v>
      </c>
      <c r="H56" s="32">
        <f t="shared" ref="H56" si="61">+G56/G$8</f>
        <v>-7.8102960572058759E-3</v>
      </c>
      <c r="I56" s="28">
        <v>-56400</v>
      </c>
      <c r="J56" s="32">
        <f t="shared" ref="J56" si="62">+I56/I$8</f>
        <v>-6.4571377475305036E-3</v>
      </c>
    </row>
    <row r="57" spans="2:10">
      <c r="B57" s="34" t="s">
        <v>167</v>
      </c>
      <c r="C57" s="34"/>
      <c r="D57" s="34"/>
      <c r="E57" s="28">
        <v>-330000</v>
      </c>
      <c r="F57" s="32">
        <f t="shared" ref="F57" si="63">+E57/E$8</f>
        <v>-5.3931150395171192E-2</v>
      </c>
      <c r="G57" s="28">
        <v>-330000</v>
      </c>
      <c r="H57" s="32">
        <f t="shared" ref="H57" si="64">+G57/G$8</f>
        <v>-4.5698540760247146E-2</v>
      </c>
      <c r="I57" s="28">
        <v>-330000</v>
      </c>
      <c r="J57" s="32">
        <f t="shared" ref="J57" si="65">+I57/I$8</f>
        <v>-3.7781125118529546E-2</v>
      </c>
    </row>
    <row r="58" spans="2:10">
      <c r="B58" s="34" t="s">
        <v>168</v>
      </c>
      <c r="C58" s="34"/>
      <c r="D58" s="34"/>
      <c r="E58" s="28">
        <v>-20000</v>
      </c>
      <c r="F58" s="32">
        <f t="shared" ref="F58" si="66">+E58/E$8</f>
        <v>-3.2685545694043148E-3</v>
      </c>
      <c r="G58" s="28">
        <v>-25000</v>
      </c>
      <c r="H58" s="32">
        <f t="shared" ref="H58" si="67">+G58/G$8</f>
        <v>-3.4620106636550868E-3</v>
      </c>
      <c r="I58" s="28">
        <v>-25000</v>
      </c>
      <c r="J58" s="32">
        <f t="shared" ref="J58" si="68">+I58/I$8</f>
        <v>-2.8622064483734503E-3</v>
      </c>
    </row>
    <row r="59" spans="2:10" ht="12.75" thickBot="1">
      <c r="B59" s="34" t="s">
        <v>169</v>
      </c>
      <c r="C59" s="34"/>
      <c r="D59" s="34"/>
      <c r="E59" s="28">
        <v>-30000</v>
      </c>
      <c r="F59" s="32">
        <f t="shared" ref="F59" si="69">+E59/E$8</f>
        <v>-4.902831854106472E-3</v>
      </c>
      <c r="G59" s="28">
        <v>-30000</v>
      </c>
      <c r="H59" s="32">
        <f t="shared" ref="H59" si="70">+G59/G$8</f>
        <v>-4.1544127963861043E-3</v>
      </c>
      <c r="I59" s="28">
        <v>-30000</v>
      </c>
      <c r="J59" s="32">
        <f t="shared" ref="J59" si="71">+I59/I$8</f>
        <v>-3.4346477380481403E-3</v>
      </c>
    </row>
    <row r="60" spans="2:10" ht="12.75" thickBot="1">
      <c r="B60" s="22" t="s">
        <v>170</v>
      </c>
      <c r="C60" s="22"/>
      <c r="D60" s="22"/>
      <c r="E60" s="23">
        <f>+E41+E43</f>
        <v>1714883.7937769024</v>
      </c>
      <c r="F60" s="24">
        <f t="shared" ref="F60" si="72">+E60/E$8</f>
        <v>0.28025956300734506</v>
      </c>
      <c r="G60" s="23">
        <f>+G41+G43</f>
        <v>1829467.5968988705</v>
      </c>
      <c r="H60" s="24">
        <f t="shared" ref="H60" si="73">+G60/G$8</f>
        <v>0.25334545317101342</v>
      </c>
      <c r="I60" s="23">
        <f>+I41+I43</f>
        <v>1946873.3059894843</v>
      </c>
      <c r="J60" s="24">
        <f t="shared" ref="J60" si="74">+I60/I$8</f>
        <v>0.22289413322276957</v>
      </c>
    </row>
  </sheetData>
  <mergeCells count="23">
    <mergeCell ref="E35:F35"/>
    <mergeCell ref="G35:H35"/>
    <mergeCell ref="I35:J35"/>
    <mergeCell ref="B36:B37"/>
    <mergeCell ref="E36:E37"/>
    <mergeCell ref="F36:F37"/>
    <mergeCell ref="G36:G37"/>
    <mergeCell ref="H36:H37"/>
    <mergeCell ref="I36:I37"/>
    <mergeCell ref="J36:J37"/>
    <mergeCell ref="E1:F1"/>
    <mergeCell ref="G1:H1"/>
    <mergeCell ref="I1:J1"/>
    <mergeCell ref="B2:B3"/>
    <mergeCell ref="E2:E3"/>
    <mergeCell ref="F2:F3"/>
    <mergeCell ref="G2:G3"/>
    <mergeCell ref="H2:H3"/>
    <mergeCell ref="I2:I3"/>
    <mergeCell ref="J2:J3"/>
    <mergeCell ref="C1:D1"/>
    <mergeCell ref="C2:C3"/>
    <mergeCell ref="D2:D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topLeftCell="A7" zoomScale="120" zoomScaleNormal="120" zoomScalePageLayoutView="120" workbookViewId="0">
      <selection activeCell="A3" sqref="A3:D10"/>
    </sheetView>
  </sheetViews>
  <sheetFormatPr baseColWidth="10" defaultColWidth="10.875" defaultRowHeight="15.75"/>
  <cols>
    <col min="1" max="1" width="28.125" style="13" customWidth="1"/>
    <col min="2" max="4" width="13.5" style="13" customWidth="1"/>
    <col min="5" max="16384" width="10.875" style="13"/>
  </cols>
  <sheetData>
    <row r="3" spans="1:4">
      <c r="A3" s="1" t="s">
        <v>143</v>
      </c>
    </row>
    <row r="4" spans="1:4">
      <c r="A4" s="2"/>
      <c r="B4" s="3">
        <v>2017</v>
      </c>
      <c r="C4" s="3">
        <v>2018</v>
      </c>
      <c r="D4" s="3">
        <v>2019</v>
      </c>
    </row>
    <row r="5" spans="1:4">
      <c r="A5" s="2" t="s">
        <v>0</v>
      </c>
      <c r="B5" s="2"/>
      <c r="C5" s="2"/>
      <c r="D5" s="2"/>
    </row>
    <row r="6" spans="1:4">
      <c r="A6" s="2" t="s">
        <v>1</v>
      </c>
      <c r="B6" s="4">
        <f>+((('Estado de resultados'!C6)/12)*11)+11709.79</f>
        <v>5620713.0799999991</v>
      </c>
      <c r="C6" s="4">
        <f>+(('Estado de resultados'!C6/12)*1)+(('Estado de resultados'!D6/12)*11)</f>
        <v>7129376.7727122009</v>
      </c>
      <c r="D6" s="4">
        <f>(('Estado de resultados'!E6/12)*1)+(('Estado de resultados'!E6/12)*11)</f>
        <v>8734520.1860638428</v>
      </c>
    </row>
    <row r="7" spans="1:4">
      <c r="A7" s="2" t="s">
        <v>2</v>
      </c>
      <c r="B7" s="4">
        <f>+B6</f>
        <v>5620713.0799999991</v>
      </c>
      <c r="C7" s="4">
        <f>+C6</f>
        <v>7129376.7727122009</v>
      </c>
      <c r="D7" s="4">
        <f>+D6</f>
        <v>8734520.1860638428</v>
      </c>
    </row>
    <row r="8" spans="1:4">
      <c r="A8" s="2"/>
      <c r="B8" s="4"/>
      <c r="C8" s="4"/>
      <c r="D8" s="4"/>
    </row>
    <row r="9" spans="1:4">
      <c r="A9" s="2" t="s">
        <v>3</v>
      </c>
      <c r="B9" s="4"/>
      <c r="C9" s="4"/>
      <c r="D9" s="4"/>
    </row>
    <row r="10" spans="1:4">
      <c r="A10" s="2" t="s">
        <v>4</v>
      </c>
      <c r="B10" s="4">
        <f>+'Estado de resultados'!C10</f>
        <v>-801558.44</v>
      </c>
      <c r="C10" s="4">
        <f>+'Estado de resultados'!D10</f>
        <v>-886072.73644594813</v>
      </c>
      <c r="D10" s="4">
        <f>+'Estado de resultados'!E10</f>
        <v>-1032855.7786455186</v>
      </c>
    </row>
    <row r="11" spans="1:4">
      <c r="A11" s="2" t="s">
        <v>5</v>
      </c>
      <c r="B11" s="4">
        <f>+'Estado de resultados'!C15</f>
        <v>-3635745.2451546844</v>
      </c>
      <c r="C11" s="4">
        <f>+'Estado de resultados'!D15</f>
        <v>-4443959.8906060513</v>
      </c>
      <c r="D11" s="4">
        <f>+'Estado de resultados'!E15</f>
        <v>-4797803.4292824706</v>
      </c>
    </row>
    <row r="12" spans="1:4">
      <c r="A12" s="2" t="s">
        <v>6</v>
      </c>
      <c r="B12" s="4">
        <f>+B10+B11</f>
        <v>-4437303.6851546839</v>
      </c>
      <c r="C12" s="4">
        <f>+C10+C11</f>
        <v>-5330032.6270519998</v>
      </c>
      <c r="D12" s="4">
        <f>+D10+D11</f>
        <v>-5830659.2079279888</v>
      </c>
    </row>
    <row r="13" spans="1:4">
      <c r="A13" s="2"/>
      <c r="B13" s="4"/>
      <c r="C13" s="4"/>
      <c r="D13" s="4"/>
    </row>
    <row r="14" spans="1:4">
      <c r="A14" s="2" t="s">
        <v>7</v>
      </c>
      <c r="B14" s="4">
        <v>-236250</v>
      </c>
      <c r="C14" s="4">
        <v>-83250</v>
      </c>
      <c r="D14" s="4">
        <v>-32500</v>
      </c>
    </row>
    <row r="15" spans="1:4">
      <c r="A15" s="2" t="s">
        <v>8</v>
      </c>
      <c r="B15" s="4">
        <f>-'P&amp;L Detallado x años (+ planes)'!E65*18%</f>
        <v>12562.199999999999</v>
      </c>
      <c r="C15" s="4">
        <f>-'P&amp;L Detallado x años (+ planes)'!G65*18%</f>
        <v>14846.4</v>
      </c>
      <c r="D15" s="4">
        <f>-'P&amp;L Detallado x años (+ planes)'!I65*18%</f>
        <v>17130.599999999999</v>
      </c>
    </row>
    <row r="16" spans="1:4">
      <c r="A16" s="2" t="s">
        <v>194</v>
      </c>
      <c r="B16" s="4">
        <f>-'Estado de resultados'!C20</f>
        <v>-470850.51855668845</v>
      </c>
      <c r="C16" s="4">
        <f>-'Estado de resultados'!D20</f>
        <v>-529537.26496298495</v>
      </c>
      <c r="D16" s="4">
        <f>-'Estado de resultados'!E20</f>
        <v>-813081.07387803926</v>
      </c>
    </row>
    <row r="17" spans="1:4">
      <c r="A17" s="2" t="s">
        <v>413</v>
      </c>
      <c r="B17" s="4">
        <f>'Balance proyectado'!D26</f>
        <v>402237.90066666994</v>
      </c>
      <c r="C17" s="4">
        <f>'Balance proyectado'!F26</f>
        <v>-829156.76272967923</v>
      </c>
      <c r="D17" s="4">
        <f>'Balance proyectado'!H26</f>
        <v>-1223737.1340179751</v>
      </c>
    </row>
    <row r="18" spans="1:4">
      <c r="A18" s="2" t="s">
        <v>9</v>
      </c>
      <c r="B18" s="4">
        <f>B7+B12+B14+B15+B16+B17</f>
        <v>891108.9769552967</v>
      </c>
      <c r="C18" s="4">
        <f t="shared" ref="C18:D18" si="0">C7+C12+C14+C15+C16+C17</f>
        <v>372246.51796753681</v>
      </c>
      <c r="D18" s="4">
        <f t="shared" si="0"/>
        <v>851673.37023983989</v>
      </c>
    </row>
    <row r="19" spans="1:4">
      <c r="A19" s="14"/>
      <c r="B19" s="14"/>
      <c r="C19" s="14"/>
      <c r="D19" s="14"/>
    </row>
    <row r="20" spans="1:4">
      <c r="A20" s="2" t="s">
        <v>10</v>
      </c>
      <c r="B20" s="15">
        <f>NPV(B21,B18,C18,D18)</f>
        <v>1803650.8510171059</v>
      </c>
      <c r="C20" s="14"/>
      <c r="D20" s="14"/>
    </row>
    <row r="21" spans="1:4">
      <c r="A21" s="2" t="s">
        <v>11</v>
      </c>
      <c r="B21" s="16">
        <v>8.5199999999999998E-2</v>
      </c>
      <c r="C21" s="14"/>
      <c r="D21" s="14"/>
    </row>
    <row r="25" spans="1:4">
      <c r="A25" s="19" t="s">
        <v>142</v>
      </c>
    </row>
    <row r="26" spans="1:4">
      <c r="A26" s="2"/>
      <c r="B26" s="3">
        <v>2017</v>
      </c>
      <c r="C26" s="3">
        <v>2018</v>
      </c>
      <c r="D26" s="3">
        <v>2019</v>
      </c>
    </row>
    <row r="27" spans="1:4">
      <c r="A27" s="2" t="s">
        <v>0</v>
      </c>
      <c r="B27" s="2"/>
      <c r="C27" s="2"/>
      <c r="D27" s="2"/>
    </row>
    <row r="28" spans="1:4">
      <c r="A28" s="2" t="s">
        <v>1</v>
      </c>
      <c r="B28" s="4">
        <f>+(('Estado de resultados'!C34)/12)*11+11709.79</f>
        <v>4259116.0334621612</v>
      </c>
      <c r="C28" s="4">
        <f>+(('Estado de resultados'!C34/12)*1)+(('Estado de resultados'!D34/12)*11)</f>
        <v>4845585.9106698055</v>
      </c>
      <c r="D28" s="4">
        <f>(('Estado de resultados'!E34/12)*1)+(('Estado de resultados'!E34/12)*11)</f>
        <v>5134039.4336204519</v>
      </c>
    </row>
    <row r="29" spans="1:4">
      <c r="A29" s="2" t="s">
        <v>2</v>
      </c>
      <c r="B29" s="4">
        <f>+B28</f>
        <v>4259116.0334621612</v>
      </c>
      <c r="C29" s="4">
        <f>+C28</f>
        <v>4845585.9106698055</v>
      </c>
      <c r="D29" s="4">
        <f>+D28</f>
        <v>5134039.4336204519</v>
      </c>
    </row>
    <row r="30" spans="1:4">
      <c r="A30" s="2"/>
      <c r="B30" s="4"/>
      <c r="C30" s="4"/>
      <c r="D30" s="4"/>
    </row>
    <row r="31" spans="1:4">
      <c r="A31" s="2" t="s">
        <v>3</v>
      </c>
      <c r="B31" s="4"/>
      <c r="C31" s="4"/>
      <c r="D31" s="4"/>
    </row>
    <row r="32" spans="1:4">
      <c r="A32" s="2" t="s">
        <v>4</v>
      </c>
      <c r="B32" s="4">
        <v>-698477</v>
      </c>
      <c r="C32" s="4">
        <v>-680428</v>
      </c>
      <c r="D32" s="4">
        <v>-688516</v>
      </c>
    </row>
    <row r="33" spans="1:4">
      <c r="A33" s="2" t="s">
        <v>5</v>
      </c>
      <c r="B33" s="4">
        <v>-2918650</v>
      </c>
      <c r="C33" s="4">
        <v>-3035396</v>
      </c>
      <c r="D33" s="4">
        <v>-3187165.8000000003</v>
      </c>
    </row>
    <row r="34" spans="1:4">
      <c r="A34" s="2" t="s">
        <v>6</v>
      </c>
      <c r="B34" s="4">
        <f>+B32+B33</f>
        <v>-3617127</v>
      </c>
      <c r="C34" s="4">
        <f>+C32+C33</f>
        <v>-3715824</v>
      </c>
      <c r="D34" s="4">
        <f>+D32+D33</f>
        <v>-3875681.8000000003</v>
      </c>
    </row>
    <row r="35" spans="1:4">
      <c r="A35" s="2"/>
      <c r="B35" s="4"/>
      <c r="C35" s="4"/>
      <c r="D35" s="4"/>
    </row>
    <row r="36" spans="1:4">
      <c r="A36" s="2" t="s">
        <v>7</v>
      </c>
      <c r="B36" s="4"/>
      <c r="C36" s="4"/>
      <c r="D36" s="4"/>
    </row>
    <row r="37" spans="1:4">
      <c r="A37" s="2" t="s">
        <v>8</v>
      </c>
      <c r="B37" s="4">
        <f>95633.88*0.18</f>
        <v>17214.098399999999</v>
      </c>
      <c r="C37" s="4">
        <f>95633.88*0.18</f>
        <v>17214.098399999999</v>
      </c>
      <c r="D37" s="4">
        <f>95633.88*0.18</f>
        <v>17214.098399999999</v>
      </c>
    </row>
    <row r="38" spans="1:4">
      <c r="A38" s="2" t="s">
        <v>194</v>
      </c>
      <c r="B38" s="4">
        <f>-'Estado de resultados'!C42</f>
        <v>-480167.54345753271</v>
      </c>
      <c r="C38" s="4">
        <f>-'Estado de resultados'!D42</f>
        <v>-512250.85785391013</v>
      </c>
      <c r="D38" s="4">
        <f>-'Estado de resultados'!E42</f>
        <v>-545124.61741372652</v>
      </c>
    </row>
    <row r="39" spans="1:4">
      <c r="A39" s="2"/>
      <c r="B39" s="4"/>
      <c r="C39" s="4"/>
      <c r="D39" s="4"/>
    </row>
    <row r="40" spans="1:4">
      <c r="A40" s="2" t="s">
        <v>9</v>
      </c>
      <c r="B40" s="4">
        <f>B29+B34+B36+B37+B38</f>
        <v>179035.58840462851</v>
      </c>
      <c r="C40" s="4">
        <f t="shared" ref="C40:D40" si="1">C29+C34+C36+C37+C38</f>
        <v>634725.15121589531</v>
      </c>
      <c r="D40" s="4">
        <f t="shared" si="1"/>
        <v>730447.11460672517</v>
      </c>
    </row>
    <row r="41" spans="1:4">
      <c r="A41" s="14"/>
      <c r="B41" s="14"/>
      <c r="C41" s="14"/>
      <c r="D41" s="14"/>
    </row>
    <row r="42" spans="1:4">
      <c r="A42" s="2" t="s">
        <v>10</v>
      </c>
      <c r="B42" s="15">
        <f>NPV(B43,B40,C40,D40)</f>
        <v>1275508.1006244626</v>
      </c>
      <c r="C42" s="14"/>
      <c r="D42" s="14"/>
    </row>
    <row r="43" spans="1:4">
      <c r="A43" s="2" t="s">
        <v>11</v>
      </c>
      <c r="B43" s="16">
        <v>8.5199999999999998E-2</v>
      </c>
      <c r="C43" s="14"/>
      <c r="D43" s="14"/>
    </row>
    <row r="45" spans="1:4">
      <c r="B45" s="17">
        <v>2017</v>
      </c>
      <c r="C45" s="17">
        <v>2018</v>
      </c>
      <c r="D45" s="17">
        <v>2019</v>
      </c>
    </row>
    <row r="46" spans="1:4">
      <c r="A46" s="14" t="s">
        <v>144</v>
      </c>
      <c r="B46" s="4">
        <f>+B18</f>
        <v>891108.9769552967</v>
      </c>
      <c r="C46" s="4">
        <f>+C18</f>
        <v>372246.51796753681</v>
      </c>
      <c r="D46" s="4">
        <f>+D18</f>
        <v>851673.37023983989</v>
      </c>
    </row>
    <row r="47" spans="1:4">
      <c r="A47" s="14" t="s">
        <v>145</v>
      </c>
      <c r="B47" s="4">
        <f>+B40</f>
        <v>179035.58840462851</v>
      </c>
      <c r="C47" s="4">
        <f>+C40</f>
        <v>634725.15121589531</v>
      </c>
      <c r="D47" s="4">
        <f>+D40</f>
        <v>730447.11460672517</v>
      </c>
    </row>
    <row r="48" spans="1:4">
      <c r="A48" s="14" t="s">
        <v>146</v>
      </c>
      <c r="B48" s="4">
        <f>+B46-B47</f>
        <v>712073.38855066826</v>
      </c>
      <c r="C48" s="4">
        <f t="shared" ref="C48:D48" si="2">+C46-C47</f>
        <v>-262478.6332483585</v>
      </c>
      <c r="D48" s="4">
        <f t="shared" si="2"/>
        <v>121226.25563311472</v>
      </c>
    </row>
    <row r="49" spans="1:2">
      <c r="A49" s="14" t="s">
        <v>10</v>
      </c>
      <c r="B49" s="4">
        <f>NPV(B50,B48,C48,D48)</f>
        <v>528142.75039264373</v>
      </c>
    </row>
    <row r="50" spans="1:2">
      <c r="A50" s="14" t="s">
        <v>11</v>
      </c>
      <c r="B50" s="18">
        <v>8.5199999999999998E-2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zoomScale="110" zoomScaleNormal="110" zoomScalePageLayoutView="110" workbookViewId="0">
      <selection activeCell="B9" sqref="B9"/>
    </sheetView>
  </sheetViews>
  <sheetFormatPr baseColWidth="10" defaultColWidth="10.875" defaultRowHeight="15.75"/>
  <cols>
    <col min="1" max="1" width="33.875" style="13" bestFit="1" customWidth="1"/>
    <col min="2" max="5" width="16" style="13" customWidth="1"/>
    <col min="6" max="16384" width="10.875" style="13"/>
  </cols>
  <sheetData>
    <row r="2" spans="1:5" ht="24">
      <c r="A2" s="137" t="s">
        <v>140</v>
      </c>
      <c r="B2" s="138" t="s">
        <v>282</v>
      </c>
      <c r="C2" s="138" t="s">
        <v>12</v>
      </c>
      <c r="D2" s="138" t="s">
        <v>13</v>
      </c>
      <c r="E2" s="138" t="s">
        <v>14</v>
      </c>
    </row>
    <row r="3" spans="1:5">
      <c r="A3" s="5"/>
      <c r="B3" s="5"/>
      <c r="C3" s="6"/>
      <c r="D3" s="6"/>
      <c r="E3" s="6"/>
    </row>
    <row r="4" spans="1:5">
      <c r="A4" s="7" t="s">
        <v>15</v>
      </c>
      <c r="B4" s="320">
        <f>+'P&amp;L Detallado x años (+ planes)'!C4</f>
        <v>891</v>
      </c>
      <c r="C4" s="7">
        <v>1204</v>
      </c>
      <c r="D4" s="7">
        <v>1384</v>
      </c>
      <c r="E4" s="7">
        <v>1592</v>
      </c>
    </row>
    <row r="5" spans="1:5">
      <c r="A5" s="2"/>
      <c r="B5" s="2"/>
      <c r="C5" s="3"/>
      <c r="D5" s="7"/>
      <c r="E5" s="7"/>
    </row>
    <row r="6" spans="1:5">
      <c r="A6" s="8" t="s">
        <v>139</v>
      </c>
      <c r="B6" s="9">
        <f>+'P&amp;L Detallado x años (+ planes)'!C8</f>
        <v>5151217.2849816252</v>
      </c>
      <c r="C6" s="9">
        <f>+'P&amp;L Detallado x años (+ planes)'!E8</f>
        <v>6118912.6799999997</v>
      </c>
      <c r="D6" s="10">
        <f>+'P&amp;L Detallado x años (+ planes)'!G8</f>
        <v>7221237.1447769459</v>
      </c>
      <c r="E6" s="10">
        <f>+'P&amp;L Detallado x años (+ planes)'!I8</f>
        <v>8734520.1860638428</v>
      </c>
    </row>
    <row r="7" spans="1:5">
      <c r="A7" s="2"/>
      <c r="B7" s="2"/>
      <c r="C7" s="2"/>
      <c r="D7" s="2"/>
      <c r="E7" s="2"/>
    </row>
    <row r="8" spans="1:5">
      <c r="A8" s="2" t="s">
        <v>16</v>
      </c>
      <c r="B8" s="4">
        <f>+'P&amp;L Detallado x años (+ planes)'!C9</f>
        <v>-913173.07440000004</v>
      </c>
      <c r="C8" s="4">
        <f>+'P&amp;L Detallado x años (+ planes)'!E9</f>
        <v>-510201.72000000003</v>
      </c>
      <c r="D8" s="4">
        <f>+'P&amp;L Detallado x años (+ planes)'!G9</f>
        <v>-577740.51694594813</v>
      </c>
      <c r="E8" s="4">
        <f>+'P&amp;L Detallado x años (+ planes)'!I9</f>
        <v>-667685.63864551857</v>
      </c>
    </row>
    <row r="9" spans="1:5">
      <c r="A9" s="2" t="s">
        <v>17</v>
      </c>
      <c r="B9" s="4">
        <f>+'P&amp;L Detallado x años (+ planes)'!C10</f>
        <v>-326908.62346500001</v>
      </c>
      <c r="C9" s="4">
        <f>+'P&amp;L Detallado x años (+ planes)'!E10</f>
        <v>-291356.71999999997</v>
      </c>
      <c r="D9" s="4">
        <f>+'P&amp;L Detallado x años (+ planes)'!G10</f>
        <v>-308332.21950000001</v>
      </c>
      <c r="E9" s="4">
        <f>+'P&amp;L Detallado x años (+ planes)'!I10</f>
        <v>-365170.14</v>
      </c>
    </row>
    <row r="10" spans="1:5">
      <c r="A10" s="2" t="s">
        <v>18</v>
      </c>
      <c r="B10" s="4">
        <f>+B8+B9</f>
        <v>-1240081.697865</v>
      </c>
      <c r="C10" s="4">
        <f>+C8+C9</f>
        <v>-801558.44</v>
      </c>
      <c r="D10" s="4">
        <f t="shared" ref="D10:E10" si="0">+D8+D9</f>
        <v>-886072.73644594813</v>
      </c>
      <c r="E10" s="4">
        <f t="shared" si="0"/>
        <v>-1032855.7786455186</v>
      </c>
    </row>
    <row r="11" spans="1:5">
      <c r="A11" s="2"/>
      <c r="B11" s="2"/>
      <c r="C11" s="2"/>
      <c r="D11" s="2"/>
      <c r="E11" s="2"/>
    </row>
    <row r="12" spans="1:5">
      <c r="A12" s="2" t="s">
        <v>19</v>
      </c>
      <c r="B12" s="4">
        <f>+B6+B10</f>
        <v>3911135.5871166252</v>
      </c>
      <c r="C12" s="4">
        <f>+C6+C10</f>
        <v>5317354.24</v>
      </c>
      <c r="D12" s="4">
        <f t="shared" ref="D12:E12" si="1">+D6+D10</f>
        <v>6335164.4083309975</v>
      </c>
      <c r="E12" s="4">
        <f t="shared" si="1"/>
        <v>7701664.4074183246</v>
      </c>
    </row>
    <row r="13" spans="1:5">
      <c r="A13" s="2" t="s">
        <v>20</v>
      </c>
      <c r="B13" s="11">
        <f>+B12/B6</f>
        <v>0.75926433903682178</v>
      </c>
      <c r="C13" s="11">
        <f>+C12/C6</f>
        <v>0.86900312491467036</v>
      </c>
      <c r="D13" s="11">
        <f>+D12/D6</f>
        <v>0.87729626950600337</v>
      </c>
      <c r="E13" s="11">
        <f>+E12/E6</f>
        <v>0.88175014120484063</v>
      </c>
    </row>
    <row r="14" spans="1:5">
      <c r="A14" s="2"/>
      <c r="B14" s="2"/>
      <c r="C14" s="11"/>
      <c r="D14" s="11"/>
      <c r="E14" s="11"/>
    </row>
    <row r="15" spans="1:5">
      <c r="A15" s="2" t="s">
        <v>21</v>
      </c>
      <c r="B15" s="4">
        <f>+'P&amp;L Detallado x años (+ planes)'!C76</f>
        <v>-2467137.5437131035</v>
      </c>
      <c r="C15" s="4">
        <f>+'P&amp;L Detallado x años (+ planes)'!E76</f>
        <v>-3635745.2451546844</v>
      </c>
      <c r="D15" s="4">
        <f>+'P&amp;L Detallado x años (+ planes)'!G76</f>
        <v>-4443959.8906060513</v>
      </c>
      <c r="E15" s="4">
        <f>+'P&amp;L Detallado x años (+ planes)'!I76</f>
        <v>-4797803.4292824706</v>
      </c>
    </row>
    <row r="16" spans="1:5">
      <c r="A16" s="2"/>
      <c r="B16" s="2"/>
      <c r="C16" s="4"/>
      <c r="D16" s="2"/>
      <c r="E16" s="2"/>
    </row>
    <row r="17" spans="1:5">
      <c r="A17" s="2" t="s">
        <v>22</v>
      </c>
      <c r="B17" s="4">
        <f>+B12+B15</f>
        <v>1443998.0434035216</v>
      </c>
      <c r="C17" s="4">
        <f>+C12+C15</f>
        <v>1681608.9948453158</v>
      </c>
      <c r="D17" s="4">
        <f>+D12+D15</f>
        <v>1891204.5177249461</v>
      </c>
      <c r="E17" s="4">
        <f>+E12+E15</f>
        <v>2903860.978135854</v>
      </c>
    </row>
    <row r="18" spans="1:5">
      <c r="A18" s="2" t="s">
        <v>23</v>
      </c>
      <c r="B18" s="12">
        <f>+B17/B6</f>
        <v>0.28032171106691584</v>
      </c>
      <c r="C18" s="12">
        <f>+C17/C6</f>
        <v>0.2748215382026527</v>
      </c>
      <c r="D18" s="12">
        <f>+D17/D6</f>
        <v>0.26189480830065759</v>
      </c>
      <c r="E18" s="12">
        <f>+E17/E6</f>
        <v>0.33245798467201904</v>
      </c>
    </row>
    <row r="20" spans="1:5">
      <c r="A20" s="2" t="s">
        <v>192</v>
      </c>
      <c r="B20" s="4">
        <f>+B17*0.28</f>
        <v>404319.45215298608</v>
      </c>
      <c r="C20" s="4">
        <f>+C17*0.28</f>
        <v>470850.51855668845</v>
      </c>
      <c r="D20" s="4">
        <f t="shared" ref="D20:E20" si="2">+D17*0.28</f>
        <v>529537.26496298495</v>
      </c>
      <c r="E20" s="4">
        <f t="shared" si="2"/>
        <v>813081.07387803926</v>
      </c>
    </row>
    <row r="21" spans="1:5">
      <c r="A21" s="165"/>
      <c r="B21" s="165"/>
      <c r="C21" s="166"/>
      <c r="D21" s="166"/>
      <c r="E21" s="166"/>
    </row>
    <row r="22" spans="1:5">
      <c r="A22" s="2" t="s">
        <v>193</v>
      </c>
      <c r="B22" s="4">
        <f>+B17-B20</f>
        <v>1039678.5912505356</v>
      </c>
      <c r="C22" s="4">
        <f>+C17-C20</f>
        <v>1210758.4762886274</v>
      </c>
      <c r="D22" s="4">
        <f t="shared" ref="D22:E22" si="3">+D17-D20</f>
        <v>1361667.2527619612</v>
      </c>
      <c r="E22" s="4">
        <f t="shared" si="3"/>
        <v>2090779.9042578149</v>
      </c>
    </row>
    <row r="24" spans="1:5" ht="24">
      <c r="A24" s="137" t="s">
        <v>141</v>
      </c>
      <c r="B24" s="138" t="s">
        <v>282</v>
      </c>
      <c r="C24" s="138" t="s">
        <v>12</v>
      </c>
      <c r="D24" s="138" t="s">
        <v>13</v>
      </c>
      <c r="E24" s="138" t="s">
        <v>14</v>
      </c>
    </row>
    <row r="25" spans="1:5">
      <c r="A25" s="5"/>
      <c r="B25" s="6"/>
      <c r="C25" s="6"/>
      <c r="D25" s="6"/>
      <c r="E25" s="6"/>
    </row>
    <row r="26" spans="1:5">
      <c r="A26" s="7" t="s">
        <v>15</v>
      </c>
      <c r="B26" s="7">
        <f>+B4</f>
        <v>891</v>
      </c>
      <c r="C26" s="7">
        <v>912</v>
      </c>
      <c r="D26" s="7">
        <v>948</v>
      </c>
      <c r="E26" s="7">
        <v>996</v>
      </c>
    </row>
    <row r="27" spans="1:5">
      <c r="A27" s="2"/>
      <c r="B27" s="3"/>
      <c r="C27" s="3"/>
      <c r="D27" s="7"/>
      <c r="E27" s="7"/>
    </row>
    <row r="28" spans="1:5">
      <c r="A28" s="8" t="s">
        <v>139</v>
      </c>
      <c r="B28" s="9">
        <f t="shared" ref="B28:B44" si="4">+B6</f>
        <v>5151217.2849816252</v>
      </c>
      <c r="C28" s="9">
        <f>+'P&amp;L Detallado x años'!E38</f>
        <v>5332010.8420000002</v>
      </c>
      <c r="D28" s="10">
        <f>+'P&amp;L Detallado x años'!G38</f>
        <v>5545291.27568</v>
      </c>
      <c r="E28" s="10">
        <f>+'P&amp;L Detallado x años'!I38</f>
        <v>5822555.8394640004</v>
      </c>
    </row>
    <row r="29" spans="1:5">
      <c r="A29" s="2"/>
      <c r="B29" s="2"/>
      <c r="C29" s="2"/>
      <c r="D29" s="2"/>
      <c r="E29" s="2"/>
    </row>
    <row r="30" spans="1:5">
      <c r="A30" s="2" t="s">
        <v>16</v>
      </c>
      <c r="B30" s="4">
        <f t="shared" si="4"/>
        <v>-913173.07440000004</v>
      </c>
      <c r="C30" s="4">
        <f>+'P&amp;L Detallado x años'!E39</f>
        <v>-444588.97273347731</v>
      </c>
      <c r="D30" s="4">
        <f>+'P&amp;L Detallado x años'!G39</f>
        <v>-443655.20533340389</v>
      </c>
      <c r="E30" s="4">
        <f>+'P&amp;L Detallado x años'!I39</f>
        <v>-445088.77779280214</v>
      </c>
    </row>
    <row r="31" spans="1:5">
      <c r="A31" s="2" t="s">
        <v>17</v>
      </c>
      <c r="B31" s="4">
        <f t="shared" si="4"/>
        <v>-326908.62346500001</v>
      </c>
      <c r="C31" s="4">
        <f>+'P&amp;L Detallado x años'!E40</f>
        <v>-253887.78548962041</v>
      </c>
      <c r="D31" s="4">
        <f>+'P&amp;L Detallado x años'!G40</f>
        <v>-236772.72086834561</v>
      </c>
      <c r="E31" s="4">
        <f>+'P&amp;L Detallado x años'!I40</f>
        <v>-243427.62805074657</v>
      </c>
    </row>
    <row r="32" spans="1:5">
      <c r="A32" s="2" t="s">
        <v>18</v>
      </c>
      <c r="B32" s="4">
        <f t="shared" si="4"/>
        <v>-1240081.697865</v>
      </c>
      <c r="C32" s="4">
        <f>+C30+C31</f>
        <v>-698476.75822309777</v>
      </c>
      <c r="D32" s="4">
        <f t="shared" ref="D32" si="5">+D30+D31</f>
        <v>-680427.92620174948</v>
      </c>
      <c r="E32" s="4">
        <f t="shared" ref="E32" si="6">+E30+E31</f>
        <v>-688516.40584354871</v>
      </c>
    </row>
    <row r="33" spans="1:5">
      <c r="A33" s="2"/>
      <c r="B33" s="2"/>
      <c r="C33" s="2"/>
      <c r="D33" s="2"/>
      <c r="E33" s="2"/>
    </row>
    <row r="34" spans="1:5">
      <c r="A34" s="2" t="s">
        <v>19</v>
      </c>
      <c r="B34" s="4">
        <f t="shared" si="4"/>
        <v>3911135.5871166252</v>
      </c>
      <c r="C34" s="4">
        <f>+C28+C32</f>
        <v>4633534.0837769024</v>
      </c>
      <c r="D34" s="4">
        <f t="shared" ref="D34:E34" si="7">+D28+D32</f>
        <v>4864863.3494782504</v>
      </c>
      <c r="E34" s="4">
        <f t="shared" si="7"/>
        <v>5134039.4336204519</v>
      </c>
    </row>
    <row r="35" spans="1:5">
      <c r="A35" s="2" t="s">
        <v>20</v>
      </c>
      <c r="B35" s="11">
        <f t="shared" si="4"/>
        <v>0.75926433903682178</v>
      </c>
      <c r="C35" s="11">
        <f>+C34/C28</f>
        <v>0.86900312491467024</v>
      </c>
      <c r="D35" s="11">
        <f>+D34/D28</f>
        <v>0.87729626950600337</v>
      </c>
      <c r="E35" s="11">
        <f>+E34/E28</f>
        <v>0.88175014120484063</v>
      </c>
    </row>
    <row r="36" spans="1:5">
      <c r="A36" s="2"/>
      <c r="B36" s="11"/>
      <c r="C36" s="11"/>
      <c r="D36" s="11"/>
      <c r="E36" s="11"/>
    </row>
    <row r="37" spans="1:5">
      <c r="A37" s="2" t="s">
        <v>21</v>
      </c>
      <c r="B37" s="4">
        <f t="shared" si="4"/>
        <v>-2467137.5437131035</v>
      </c>
      <c r="C37" s="4">
        <f>-2218650-700000</f>
        <v>-2918650</v>
      </c>
      <c r="D37" s="4">
        <f>+C37*1.04</f>
        <v>-3035396</v>
      </c>
      <c r="E37" s="4">
        <f>+D37*1.05</f>
        <v>-3187165.8000000003</v>
      </c>
    </row>
    <row r="38" spans="1:5">
      <c r="A38" s="2"/>
      <c r="B38" s="4"/>
      <c r="C38" s="4"/>
      <c r="D38" s="2"/>
      <c r="E38" s="2"/>
    </row>
    <row r="39" spans="1:5">
      <c r="A39" s="2" t="s">
        <v>22</v>
      </c>
      <c r="B39" s="4">
        <f t="shared" si="4"/>
        <v>1443998.0434035216</v>
      </c>
      <c r="C39" s="4">
        <f>+C34+C37</f>
        <v>1714884.0837769024</v>
      </c>
      <c r="D39" s="4">
        <f>+D34+D37</f>
        <v>1829467.3494782504</v>
      </c>
      <c r="E39" s="4">
        <f>+E34+E37</f>
        <v>1946873.6336204517</v>
      </c>
    </row>
    <row r="40" spans="1:5">
      <c r="A40" s="2" t="s">
        <v>23</v>
      </c>
      <c r="B40" s="12">
        <f>+B39/B28</f>
        <v>0.28032171106691584</v>
      </c>
      <c r="C40" s="12">
        <f>+C39/C28</f>
        <v>0.32162051702311645</v>
      </c>
      <c r="D40" s="12">
        <f>+D39/D28</f>
        <v>0.32991366161444946</v>
      </c>
      <c r="E40" s="12">
        <f>+E39/E28</f>
        <v>0.33436753331328678</v>
      </c>
    </row>
    <row r="42" spans="1:5">
      <c r="A42" s="2" t="s">
        <v>192</v>
      </c>
      <c r="B42" s="4">
        <f t="shared" si="4"/>
        <v>404319.45215298608</v>
      </c>
      <c r="C42" s="4">
        <f>+C39*0.28</f>
        <v>480167.54345753271</v>
      </c>
      <c r="D42" s="4">
        <f t="shared" ref="D42:E42" si="8">+D39*0.28</f>
        <v>512250.85785391013</v>
      </c>
      <c r="E42" s="4">
        <f t="shared" si="8"/>
        <v>545124.61741372652</v>
      </c>
    </row>
    <row r="43" spans="1:5">
      <c r="A43" s="165"/>
      <c r="B43" s="166"/>
      <c r="C43" s="166"/>
      <c r="D43" s="166"/>
      <c r="E43" s="166"/>
    </row>
    <row r="44" spans="1:5">
      <c r="A44" s="2" t="s">
        <v>193</v>
      </c>
      <c r="B44" s="4">
        <f t="shared" si="4"/>
        <v>1039678.5912505356</v>
      </c>
      <c r="C44" s="4">
        <f>+C39-C42</f>
        <v>1234716.5403193696</v>
      </c>
      <c r="D44" s="4">
        <f t="shared" ref="D44:E44" si="9">+D39-D42</f>
        <v>1317216.4916243402</v>
      </c>
      <c r="E44" s="4">
        <f t="shared" si="9"/>
        <v>1401749.016206725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43"/>
  <sheetViews>
    <sheetView zoomScale="133" zoomScaleNormal="150" zoomScalePageLayoutView="150" workbookViewId="0">
      <selection activeCell="C10" sqref="C10:C11"/>
    </sheetView>
  </sheetViews>
  <sheetFormatPr baseColWidth="10" defaultColWidth="10.875" defaultRowHeight="15.75"/>
  <cols>
    <col min="1" max="1" width="42.5" style="13" customWidth="1"/>
    <col min="2" max="2" width="15.375" style="13" customWidth="1"/>
    <col min="3" max="3" width="14.5" style="13" customWidth="1"/>
    <col min="4" max="4" width="15.5" style="13" customWidth="1"/>
    <col min="5" max="5" width="15.125" style="13" customWidth="1"/>
    <col min="6" max="6" width="18.625" style="13" customWidth="1"/>
    <col min="7" max="7" width="13" style="13" customWidth="1"/>
    <col min="8" max="8" width="21.5" style="13" customWidth="1"/>
    <col min="9" max="9" width="13" style="13" customWidth="1"/>
    <col min="10" max="16384" width="10.875" style="13"/>
  </cols>
  <sheetData>
    <row r="2" spans="1:9" ht="16.5" thickBot="1"/>
    <row r="3" spans="1:9">
      <c r="A3" s="139"/>
      <c r="B3" s="397">
        <v>2016</v>
      </c>
      <c r="C3" s="398"/>
      <c r="D3" s="397">
        <v>2017</v>
      </c>
      <c r="E3" s="398"/>
      <c r="F3" s="397">
        <v>2018</v>
      </c>
      <c r="G3" s="398"/>
      <c r="H3" s="397">
        <v>2019</v>
      </c>
      <c r="I3" s="398"/>
    </row>
    <row r="4" spans="1:9" ht="16.5" thickBot="1">
      <c r="A4" s="140"/>
      <c r="B4" s="156" t="s">
        <v>24</v>
      </c>
      <c r="C4" s="157" t="s">
        <v>25</v>
      </c>
      <c r="D4" s="156" t="s">
        <v>24</v>
      </c>
      <c r="E4" s="157" t="s">
        <v>25</v>
      </c>
      <c r="F4" s="156" t="s">
        <v>24</v>
      </c>
      <c r="G4" s="157" t="s">
        <v>25</v>
      </c>
      <c r="H4" s="156" t="s">
        <v>24</v>
      </c>
      <c r="I4" s="157" t="s">
        <v>25</v>
      </c>
    </row>
    <row r="5" spans="1:9">
      <c r="A5" s="141" t="s">
        <v>26</v>
      </c>
      <c r="B5" s="142">
        <v>2985499.6749999998</v>
      </c>
      <c r="C5" s="143"/>
      <c r="D5" s="142">
        <f>2225753.68433333-SUM('Ppto Operaciones'!D13:D16)</f>
        <v>1936803.68433333</v>
      </c>
      <c r="E5" s="143"/>
      <c r="F5" s="142">
        <v>2346651.3480630089</v>
      </c>
      <c r="G5" s="143"/>
      <c r="H5" s="142">
        <v>3556736.9329809844</v>
      </c>
      <c r="I5" s="143"/>
    </row>
    <row r="6" spans="1:9">
      <c r="A6" s="336" t="s">
        <v>27</v>
      </c>
      <c r="B6" s="145">
        <f>11709.79+243763.22+3301.58</f>
        <v>258774.59</v>
      </c>
      <c r="C6" s="146"/>
      <c r="D6" s="145">
        <v>457086</v>
      </c>
      <c r="E6" s="146"/>
      <c r="F6" s="145">
        <v>776671.375</v>
      </c>
      <c r="G6" s="146"/>
      <c r="H6" s="145">
        <v>703243.05</v>
      </c>
      <c r="I6" s="146"/>
    </row>
    <row r="7" spans="1:9">
      <c r="A7" s="144" t="s">
        <v>28</v>
      </c>
      <c r="B7" s="337">
        <v>410382.99</v>
      </c>
      <c r="C7" s="146"/>
      <c r="D7" s="147">
        <v>320000</v>
      </c>
      <c r="E7" s="146"/>
      <c r="F7" s="147">
        <v>430000</v>
      </c>
      <c r="G7" s="146"/>
      <c r="H7" s="147">
        <v>530000</v>
      </c>
      <c r="I7" s="146"/>
    </row>
    <row r="8" spans="1:9">
      <c r="A8" s="336" t="s">
        <v>29</v>
      </c>
      <c r="B8" s="145">
        <v>127200.22</v>
      </c>
      <c r="C8" s="146"/>
      <c r="D8" s="145">
        <f>+B8+200200-40040-(B8/8)</f>
        <v>271460.19249999995</v>
      </c>
      <c r="E8" s="146"/>
      <c r="F8" s="145">
        <f>+D8+'Ppto Operaciones'!E17-9440-40040-(B8/8)</f>
        <v>253280.16499999995</v>
      </c>
      <c r="G8" s="146"/>
      <c r="H8" s="145">
        <f>+F8-49480-(B8/8)</f>
        <v>187900.13749999995</v>
      </c>
      <c r="I8" s="146"/>
    </row>
    <row r="9" spans="1:9">
      <c r="A9" s="336" t="s">
        <v>30</v>
      </c>
      <c r="B9" s="145">
        <v>812631.22</v>
      </c>
      <c r="C9" s="146"/>
      <c r="D9" s="145">
        <f>+B9+148750-29750-(B9/8)</f>
        <v>830052.3175</v>
      </c>
      <c r="E9" s="146"/>
      <c r="F9" s="145">
        <f>+D9+'Ppto Operaciones'!E13-3250-29750-(B9/8)</f>
        <v>711723.41500000004</v>
      </c>
      <c r="G9" s="146"/>
      <c r="H9" s="145">
        <f>+F9-33000-(B9/8)</f>
        <v>577144.51250000007</v>
      </c>
      <c r="I9" s="146"/>
    </row>
    <row r="10" spans="1:9">
      <c r="A10" s="144" t="s">
        <v>31</v>
      </c>
      <c r="B10" s="147"/>
      <c r="C10" s="148">
        <v>95623.88</v>
      </c>
      <c r="D10" s="147"/>
      <c r="E10" s="148">
        <f>+C10+40040</f>
        <v>135663.88</v>
      </c>
      <c r="F10" s="147"/>
      <c r="G10" s="148">
        <f>+E10+9440+40040</f>
        <v>185143.88</v>
      </c>
      <c r="H10" s="147"/>
      <c r="I10" s="148">
        <f>+G10+9440+40040+9440</f>
        <v>244063.88</v>
      </c>
    </row>
    <row r="11" spans="1:9">
      <c r="A11" s="144" t="s">
        <v>32</v>
      </c>
      <c r="B11" s="147"/>
      <c r="C11" s="148">
        <v>520103.41</v>
      </c>
      <c r="D11" s="147"/>
      <c r="E11" s="148">
        <f>+C11+29750</f>
        <v>549853.40999999992</v>
      </c>
      <c r="F11" s="147"/>
      <c r="G11" s="148">
        <f>+E11+3250+29750</f>
        <v>582853.40999999992</v>
      </c>
      <c r="H11" s="147"/>
      <c r="I11" s="148">
        <f>+G11+3250+29750+3250</f>
        <v>619103.40999999992</v>
      </c>
    </row>
    <row r="12" spans="1:9">
      <c r="A12" s="144" t="s">
        <v>33</v>
      </c>
      <c r="B12" s="147"/>
      <c r="C12" s="146">
        <v>448528.62</v>
      </c>
      <c r="D12" s="147"/>
      <c r="E12" s="146">
        <v>59387.45</v>
      </c>
      <c r="F12" s="147"/>
      <c r="G12" s="146">
        <v>69663.725999999995</v>
      </c>
      <c r="H12" s="147"/>
      <c r="I12" s="146">
        <v>82583.851899999994</v>
      </c>
    </row>
    <row r="13" spans="1:9">
      <c r="A13" s="336" t="s">
        <v>34</v>
      </c>
      <c r="B13" s="147"/>
      <c r="C13" s="146">
        <v>149388.5</v>
      </c>
      <c r="D13" s="147"/>
      <c r="E13" s="146"/>
      <c r="F13" s="147"/>
      <c r="G13" s="146"/>
      <c r="H13" s="147"/>
      <c r="I13" s="146"/>
    </row>
    <row r="14" spans="1:9">
      <c r="A14" s="144" t="s">
        <v>35</v>
      </c>
      <c r="B14" s="147"/>
      <c r="C14" s="146">
        <v>300000</v>
      </c>
      <c r="D14" s="147"/>
      <c r="E14" s="146">
        <v>300000</v>
      </c>
      <c r="F14" s="147"/>
      <c r="G14" s="146">
        <v>300000</v>
      </c>
      <c r="H14" s="147"/>
      <c r="I14" s="146">
        <v>300000</v>
      </c>
    </row>
    <row r="15" spans="1:9">
      <c r="A15" s="144" t="s">
        <v>36</v>
      </c>
      <c r="B15" s="147"/>
      <c r="C15" s="146">
        <v>1893952.1434408594</v>
      </c>
      <c r="D15" s="147"/>
      <c r="E15" s="146">
        <f>1123444-198839.41-117478.93-11010</f>
        <v>796115.65999999992</v>
      </c>
      <c r="F15" s="147"/>
      <c r="G15" s="146">
        <f>1291135+159658-304748.1+57507.96</f>
        <v>1203552.8599999999</v>
      </c>
      <c r="H15" s="147"/>
      <c r="I15" s="146">
        <f>1375639-478112.7+231806.2</f>
        <v>1129332.5</v>
      </c>
    </row>
    <row r="16" spans="1:9" ht="16.5" thickBot="1">
      <c r="A16" s="149" t="s">
        <v>37</v>
      </c>
      <c r="B16" s="150"/>
      <c r="C16" s="151">
        <v>1186892.1415591401</v>
      </c>
      <c r="D16" s="150"/>
      <c r="E16" s="151">
        <f>+'Estado de resultados'!C17</f>
        <v>1681608.9948453158</v>
      </c>
      <c r="F16" s="150"/>
      <c r="G16" s="151">
        <f>+'Estado de resultados'!D17</f>
        <v>1891204.5177249461</v>
      </c>
      <c r="H16" s="150"/>
      <c r="I16" s="151">
        <f>+'Estado de resultados'!E17</f>
        <v>2903860.978135854</v>
      </c>
    </row>
    <row r="17" spans="1:9" ht="16.5" thickBot="1">
      <c r="A17" s="139"/>
      <c r="B17" s="152">
        <f t="shared" ref="B17:I17" si="0">+SUM(B5:B16)</f>
        <v>4594488.6950000003</v>
      </c>
      <c r="C17" s="153">
        <f t="shared" si="0"/>
        <v>4594488.6949999994</v>
      </c>
      <c r="D17" s="152">
        <f t="shared" si="0"/>
        <v>3815402.1943333298</v>
      </c>
      <c r="E17" s="153">
        <f t="shared" si="0"/>
        <v>3522629.3948453157</v>
      </c>
      <c r="F17" s="152">
        <f t="shared" si="0"/>
        <v>4518326.3030630089</v>
      </c>
      <c r="G17" s="153">
        <f t="shared" si="0"/>
        <v>4232418.3937249463</v>
      </c>
      <c r="H17" s="152">
        <f t="shared" si="0"/>
        <v>5555024.6329809846</v>
      </c>
      <c r="I17" s="153">
        <f t="shared" si="0"/>
        <v>5278944.6200358542</v>
      </c>
    </row>
    <row r="18" spans="1:9" ht="3.95" customHeight="1" thickBot="1">
      <c r="D18" s="154"/>
      <c r="F18" s="121"/>
      <c r="H18" s="121"/>
    </row>
    <row r="19" spans="1:9" ht="16.5" thickBot="1">
      <c r="A19" s="155" t="s">
        <v>38</v>
      </c>
      <c r="B19" s="399">
        <f>+C16/(+SUM(B5:B11))</f>
        <v>0.2583295379202451</v>
      </c>
      <c r="C19" s="400"/>
      <c r="D19" s="399">
        <f>+E16/(+SUM(D5:D11))</f>
        <v>0.44074226233419295</v>
      </c>
      <c r="E19" s="400"/>
      <c r="F19" s="399">
        <f>+G16/(+SUM(F5:F11))</f>
        <v>0.41856306757723177</v>
      </c>
      <c r="G19" s="400"/>
      <c r="H19" s="399">
        <f>+I16/(+SUM(H5:H11))</f>
        <v>0.5227449327398499</v>
      </c>
      <c r="I19" s="400"/>
    </row>
    <row r="20" spans="1:9">
      <c r="A20" s="360"/>
      <c r="B20" s="361"/>
      <c r="C20" s="361"/>
      <c r="D20" s="361"/>
      <c r="E20" s="362"/>
      <c r="F20" s="361"/>
      <c r="G20" s="362"/>
      <c r="H20" s="361"/>
      <c r="I20" s="363"/>
    </row>
    <row r="21" spans="1:9">
      <c r="A21" s="360"/>
      <c r="B21" s="362">
        <f>200200/5*4</f>
        <v>160160</v>
      </c>
      <c r="C21" s="361"/>
      <c r="D21" s="362">
        <f>+B21-(200200/5)</f>
        <v>120120</v>
      </c>
      <c r="E21" s="362">
        <f>+E17-D17</f>
        <v>-292772.79948801408</v>
      </c>
      <c r="F21" s="362">
        <f>+D21-(200200/5)</f>
        <v>80080</v>
      </c>
      <c r="G21" s="361"/>
      <c r="H21" s="361"/>
      <c r="I21" s="361"/>
    </row>
    <row r="22" spans="1:9">
      <c r="A22" s="360"/>
      <c r="B22" s="361"/>
      <c r="C22" s="362">
        <f>200200/5</f>
        <v>40040</v>
      </c>
      <c r="D22" s="361"/>
      <c r="E22" s="362">
        <f>+C22+40040</f>
        <v>80080</v>
      </c>
      <c r="F22" s="361"/>
      <c r="G22" s="362">
        <f>+E22+40040</f>
        <v>120120</v>
      </c>
      <c r="H22" s="361"/>
      <c r="I22" s="361"/>
    </row>
    <row r="23" spans="1:9">
      <c r="E23" s="338">
        <f>C15+E16-E15</f>
        <v>2779445.4782861751</v>
      </c>
    </row>
    <row r="24" spans="1:9">
      <c r="B24" s="121">
        <f>SUM(B5:B7)</f>
        <v>3654657.2549999999</v>
      </c>
      <c r="C24" s="121">
        <f>SUM(C12:C13)</f>
        <v>597917.12</v>
      </c>
      <c r="D24" s="121">
        <f>SUM(D5:D7)</f>
        <v>2713889.68433333</v>
      </c>
      <c r="E24" s="121">
        <f>SUM(E12:E13)</f>
        <v>59387.45</v>
      </c>
      <c r="F24" s="121">
        <f>SUM(F5:F7)</f>
        <v>3553322.7230630089</v>
      </c>
      <c r="G24" s="121">
        <f>SUM(G12:G13)</f>
        <v>69663.725999999995</v>
      </c>
      <c r="H24" s="121">
        <f>SUM(H5:H7)</f>
        <v>4789979.9829809843</v>
      </c>
      <c r="I24" s="121">
        <f>SUM(I12:I13)</f>
        <v>82583.851899999994</v>
      </c>
    </row>
    <row r="25" spans="1:9">
      <c r="B25" s="322">
        <f>B24-C24</f>
        <v>3056740.1349999998</v>
      </c>
      <c r="C25" s="121"/>
      <c r="D25" s="322">
        <f>D24-E24</f>
        <v>2654502.2343333298</v>
      </c>
      <c r="E25" s="121"/>
      <c r="F25" s="322">
        <f>F24-G24</f>
        <v>3483658.9970630091</v>
      </c>
      <c r="G25" s="357"/>
      <c r="H25" s="322">
        <f>H24-I24</f>
        <v>4707396.1310809841</v>
      </c>
      <c r="I25" s="359"/>
    </row>
    <row r="26" spans="1:9">
      <c r="D26" s="322">
        <f>B25-D25</f>
        <v>402237.90066666994</v>
      </c>
      <c r="F26" s="322">
        <f>D25-F25</f>
        <v>-829156.76272967923</v>
      </c>
      <c r="G26" s="358"/>
      <c r="H26" s="322">
        <f>F25-H25</f>
        <v>-1223737.1340179751</v>
      </c>
    </row>
    <row r="27" spans="1:9">
      <c r="A27" s="340" t="s">
        <v>429</v>
      </c>
      <c r="C27" s="338">
        <f>C10+C11</f>
        <v>615727.29</v>
      </c>
      <c r="E27" s="338">
        <f>E10+E11</f>
        <v>685517.28999999992</v>
      </c>
    </row>
    <row r="28" spans="1:9">
      <c r="A28" s="351" t="s">
        <v>159</v>
      </c>
      <c r="B28" s="352">
        <f>E10-C10+E11-C11</f>
        <v>69789.999999999942</v>
      </c>
    </row>
    <row r="29" spans="1:9">
      <c r="A29" s="341" t="s">
        <v>425</v>
      </c>
      <c r="B29" s="343">
        <v>1903372</v>
      </c>
    </row>
    <row r="30" spans="1:9">
      <c r="A30" s="341" t="s">
        <v>27</v>
      </c>
      <c r="B30" s="343">
        <f>B6-D6</f>
        <v>-198311.41</v>
      </c>
      <c r="C30" s="13" t="s">
        <v>422</v>
      </c>
    </row>
    <row r="31" spans="1:9">
      <c r="A31" s="341" t="s">
        <v>28</v>
      </c>
      <c r="B31" s="344">
        <f>B7-D7</f>
        <v>90382.989999999991</v>
      </c>
      <c r="C31" s="13" t="s">
        <v>423</v>
      </c>
    </row>
    <row r="32" spans="1:9">
      <c r="A32" s="341" t="s">
        <v>33</v>
      </c>
      <c r="B32" s="344">
        <f>E12-C12-C13</f>
        <v>-538529.66999999993</v>
      </c>
      <c r="C32" s="13" t="s">
        <v>423</v>
      </c>
    </row>
    <row r="33" spans="1:5">
      <c r="A33" s="341" t="s">
        <v>427</v>
      </c>
      <c r="B33" s="344">
        <v>0</v>
      </c>
    </row>
    <row r="34" spans="1:5">
      <c r="A34" s="345" t="s">
        <v>424</v>
      </c>
      <c r="B34" s="346">
        <f>SUM(B30:B32)+B29+B28</f>
        <v>1326703.9100000001</v>
      </c>
    </row>
    <row r="35" spans="1:5">
      <c r="A35" s="341"/>
      <c r="B35" s="342"/>
    </row>
    <row r="36" spans="1:5">
      <c r="A36" s="349" t="s">
        <v>426</v>
      </c>
      <c r="B36" s="350">
        <f>B8-D8</f>
        <v>-144259.97249999995</v>
      </c>
      <c r="E36" s="13">
        <v>235</v>
      </c>
    </row>
    <row r="37" spans="1:5">
      <c r="A37" s="349" t="s">
        <v>30</v>
      </c>
      <c r="B37" s="350">
        <f>B9-D9</f>
        <v>-17421.097500000033</v>
      </c>
      <c r="E37" s="13">
        <v>30</v>
      </c>
    </row>
    <row r="38" spans="1:5">
      <c r="A38" s="347" t="s">
        <v>428</v>
      </c>
      <c r="B38" s="348">
        <f>B36+B37</f>
        <v>-161681.06999999998</v>
      </c>
      <c r="E38" s="13">
        <v>-50</v>
      </c>
    </row>
    <row r="39" spans="1:5">
      <c r="B39" s="339">
        <f>B34+B38</f>
        <v>1165022.8400000001</v>
      </c>
      <c r="E39" s="13">
        <v>-45</v>
      </c>
    </row>
    <row r="40" spans="1:5">
      <c r="A40" s="13" t="s">
        <v>430</v>
      </c>
      <c r="B40" s="338">
        <f>E23</f>
        <v>2779445.4782861751</v>
      </c>
      <c r="E40" s="13">
        <v>15</v>
      </c>
    </row>
    <row r="41" spans="1:5">
      <c r="A41" s="13" t="s">
        <v>431</v>
      </c>
      <c r="B41" s="338">
        <f>B39-B40</f>
        <v>-1614422.638286175</v>
      </c>
      <c r="E41" s="13">
        <f>SUM(E36:E40)</f>
        <v>185</v>
      </c>
    </row>
    <row r="42" spans="1:5">
      <c r="A42" s="13" t="s">
        <v>432</v>
      </c>
      <c r="B42" s="121">
        <f>B5</f>
        <v>2985499.6749999998</v>
      </c>
    </row>
    <row r="43" spans="1:5">
      <c r="A43" s="353" t="s">
        <v>433</v>
      </c>
      <c r="B43" s="354">
        <f>B42+B41</f>
        <v>1371077.0367138248</v>
      </c>
    </row>
  </sheetData>
  <mergeCells count="8">
    <mergeCell ref="B3:C3"/>
    <mergeCell ref="D3:E3"/>
    <mergeCell ref="F3:G3"/>
    <mergeCell ref="H3:I3"/>
    <mergeCell ref="B19:C19"/>
    <mergeCell ref="D19:E19"/>
    <mergeCell ref="F19:G19"/>
    <mergeCell ref="H19:I19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workbookViewId="0">
      <selection activeCell="C27" sqref="C27"/>
    </sheetView>
  </sheetViews>
  <sheetFormatPr baseColWidth="10" defaultColWidth="11.375" defaultRowHeight="15"/>
  <cols>
    <col min="1" max="1" width="11.375" style="189"/>
    <col min="2" max="2" width="17.875" style="189" bestFit="1" customWidth="1"/>
    <col min="3" max="3" width="12.5" style="189" bestFit="1" customWidth="1"/>
    <col min="4" max="4" width="8.5" style="189" bestFit="1" customWidth="1"/>
    <col min="5" max="5" width="12.5" style="189" bestFit="1" customWidth="1"/>
    <col min="6" max="6" width="8.5" style="189" bestFit="1" customWidth="1"/>
    <col min="7" max="7" width="10.5" style="189" bestFit="1" customWidth="1"/>
    <col min="8" max="8" width="12.5" style="189" bestFit="1" customWidth="1"/>
    <col min="9" max="9" width="8.5" style="189" bestFit="1" customWidth="1"/>
    <col min="10" max="10" width="10.5" style="189" bestFit="1" customWidth="1"/>
    <col min="11" max="11" width="11.125" style="189" bestFit="1" customWidth="1"/>
    <col min="12" max="12" width="13.125" style="189" bestFit="1" customWidth="1"/>
    <col min="13" max="13" width="11.125" style="189" bestFit="1" customWidth="1"/>
    <col min="14" max="14" width="13.5" style="189" customWidth="1"/>
    <col min="15" max="16384" width="11.375" style="189"/>
  </cols>
  <sheetData>
    <row r="1" spans="2:14" ht="15.75" thickBot="1">
      <c r="C1" s="189">
        <v>3.4</v>
      </c>
      <c r="E1" s="189">
        <v>3.19</v>
      </c>
      <c r="H1" s="189">
        <v>2.8</v>
      </c>
    </row>
    <row r="2" spans="2:14" ht="24.75">
      <c r="B2" s="190" t="s">
        <v>241</v>
      </c>
      <c r="C2" s="190">
        <v>2016</v>
      </c>
      <c r="D2" s="190" t="s">
        <v>242</v>
      </c>
      <c r="E2" s="190">
        <v>2015</v>
      </c>
      <c r="F2" s="190" t="s">
        <v>242</v>
      </c>
      <c r="G2" s="190" t="s">
        <v>243</v>
      </c>
      <c r="H2" s="190">
        <v>2014</v>
      </c>
      <c r="I2" s="190" t="s">
        <v>242</v>
      </c>
      <c r="J2" s="191" t="s">
        <v>243</v>
      </c>
      <c r="K2" s="192" t="s">
        <v>244</v>
      </c>
      <c r="L2" s="193" t="s">
        <v>245</v>
      </c>
      <c r="M2" s="192" t="s">
        <v>246</v>
      </c>
      <c r="N2" s="193" t="s">
        <v>247</v>
      </c>
    </row>
    <row r="3" spans="2:14">
      <c r="B3" s="194" t="s">
        <v>248</v>
      </c>
      <c r="C3" s="195">
        <v>4596712.5580000002</v>
      </c>
      <c r="D3" s="196">
        <f t="shared" ref="D3:D10" si="0">ABS(C3/C$12)</f>
        <v>0.87933932368219003</v>
      </c>
      <c r="E3" s="195">
        <v>4582896.6280902037</v>
      </c>
      <c r="F3" s="196">
        <f t="shared" ref="F3:F10" si="1">ABS(E3/E$12)</f>
        <v>0.89669003673869452</v>
      </c>
      <c r="G3" s="196">
        <f t="shared" ref="G3:G10" si="2">D3-F3</f>
        <v>-1.7350713056504485E-2</v>
      </c>
      <c r="H3" s="197">
        <v>3841251.3668392547</v>
      </c>
      <c r="I3" s="196">
        <f t="shared" ref="I3:I10" si="3">ABS(H3/H$12)</f>
        <v>0.88411677547783118</v>
      </c>
      <c r="J3" s="198">
        <f t="shared" ref="J3:J10" si="4">I3-F3</f>
        <v>-1.2573261260863333E-2</v>
      </c>
      <c r="K3" s="199">
        <f t="shared" ref="K3:K10" si="5">C3-E3</f>
        <v>13815.929909796454</v>
      </c>
      <c r="L3" s="200">
        <f t="shared" ref="L3:L9" si="6">K3/E3</f>
        <v>3.0146719489839036E-3</v>
      </c>
      <c r="M3" s="199">
        <f t="shared" ref="M3:M10" si="7">E3-H3</f>
        <v>741645.261250949</v>
      </c>
      <c r="N3" s="200">
        <f t="shared" ref="N3:N9" si="8">M3/H3</f>
        <v>0.19307386849333069</v>
      </c>
    </row>
    <row r="4" spans="2:14">
      <c r="B4" s="201" t="s">
        <v>249</v>
      </c>
      <c r="C4" s="195">
        <v>262692.73</v>
      </c>
      <c r="D4" s="202">
        <f t="shared" si="0"/>
        <v>5.0252445550985902E-2</v>
      </c>
      <c r="E4" s="195">
        <v>231241.45013526309</v>
      </c>
      <c r="F4" s="202">
        <f t="shared" si="1"/>
        <v>4.5244726478525496E-2</v>
      </c>
      <c r="G4" s="202">
        <f t="shared" si="2"/>
        <v>5.0077190724604065E-3</v>
      </c>
      <c r="H4" s="197">
        <v>215592.45084682596</v>
      </c>
      <c r="I4" s="202">
        <f t="shared" si="3"/>
        <v>4.9621564499930056E-2</v>
      </c>
      <c r="J4" s="198">
        <f t="shared" si="4"/>
        <v>4.3768380214045596E-3</v>
      </c>
      <c r="K4" s="203">
        <f t="shared" si="5"/>
        <v>31451.279864736891</v>
      </c>
      <c r="L4" s="200">
        <f t="shared" si="6"/>
        <v>0.13601056318553478</v>
      </c>
      <c r="M4" s="203">
        <f t="shared" si="7"/>
        <v>15648.999288437131</v>
      </c>
      <c r="N4" s="200">
        <f t="shared" si="8"/>
        <v>7.2586026212742613E-2</v>
      </c>
    </row>
    <row r="5" spans="2:14">
      <c r="B5" s="201" t="s">
        <v>250</v>
      </c>
      <c r="C5" s="195">
        <v>245419.81399999998</v>
      </c>
      <c r="D5" s="202">
        <f t="shared" si="0"/>
        <v>4.6948181018058963E-2</v>
      </c>
      <c r="E5" s="195">
        <v>228490.94931607778</v>
      </c>
      <c r="F5" s="202">
        <f t="shared" si="1"/>
        <v>4.4706563198671452E-2</v>
      </c>
      <c r="G5" s="202">
        <f t="shared" si="2"/>
        <v>2.2416178193875105E-3</v>
      </c>
      <c r="H5" s="197">
        <v>203765.57243327174</v>
      </c>
      <c r="I5" s="202">
        <f t="shared" si="3"/>
        <v>4.6899445948348821E-2</v>
      </c>
      <c r="J5" s="198">
        <f t="shared" si="4"/>
        <v>2.192882749677369E-3</v>
      </c>
      <c r="K5" s="203">
        <f t="shared" si="5"/>
        <v>16928.864683922206</v>
      </c>
      <c r="L5" s="200">
        <f t="shared" si="6"/>
        <v>7.4089869793941138E-2</v>
      </c>
      <c r="M5" s="203">
        <f t="shared" si="7"/>
        <v>24725.376882806042</v>
      </c>
      <c r="N5" s="200">
        <f t="shared" si="8"/>
        <v>0.12134226890022357</v>
      </c>
    </row>
    <row r="6" spans="2:14">
      <c r="B6" s="201" t="s">
        <v>251</v>
      </c>
      <c r="C6" s="195">
        <v>22176.914000000001</v>
      </c>
      <c r="D6" s="202">
        <f t="shared" si="0"/>
        <v>4.2423867736038874E-3</v>
      </c>
      <c r="E6" s="195">
        <v>24075.806235074244</v>
      </c>
      <c r="F6" s="202">
        <f t="shared" si="1"/>
        <v>4.710674782651348E-3</v>
      </c>
      <c r="G6" s="202">
        <f t="shared" si="2"/>
        <v>-4.6828800904746056E-4</v>
      </c>
      <c r="H6" s="197">
        <v>22369.986035685513</v>
      </c>
      <c r="I6" s="202">
        <f t="shared" si="3"/>
        <v>5.1487596183085269E-3</v>
      </c>
      <c r="J6" s="198">
        <f t="shared" si="4"/>
        <v>4.3808483565717891E-4</v>
      </c>
      <c r="K6" s="203">
        <f t="shared" si="5"/>
        <v>-1898.8922350742432</v>
      </c>
      <c r="L6" s="200">
        <f t="shared" si="6"/>
        <v>-7.8871387173231569E-2</v>
      </c>
      <c r="M6" s="203">
        <f t="shared" si="7"/>
        <v>1705.8201993887305</v>
      </c>
      <c r="N6" s="200">
        <f t="shared" si="8"/>
        <v>7.6254862057917094E-2</v>
      </c>
    </row>
    <row r="7" spans="2:14" ht="24.75">
      <c r="B7" s="201" t="s">
        <v>252</v>
      </c>
      <c r="C7" s="195">
        <v>40731.346611488014</v>
      </c>
      <c r="D7" s="202">
        <f t="shared" si="0"/>
        <v>7.7918021477493332E-3</v>
      </c>
      <c r="E7" s="195">
        <v>42061.105301651303</v>
      </c>
      <c r="F7" s="202">
        <f t="shared" si="1"/>
        <v>8.2296802915069935E-3</v>
      </c>
      <c r="G7" s="202">
        <f t="shared" si="2"/>
        <v>-4.3787814375766034E-4</v>
      </c>
      <c r="H7" s="197">
        <v>51395.559890478413</v>
      </c>
      <c r="I7" s="202">
        <f t="shared" si="3"/>
        <v>1.182939421161527E-2</v>
      </c>
      <c r="J7" s="198">
        <f t="shared" si="4"/>
        <v>3.5997139201082769E-3</v>
      </c>
      <c r="K7" s="203">
        <f t="shared" si="5"/>
        <v>-1329.7586901632894</v>
      </c>
      <c r="L7" s="200">
        <f t="shared" si="6"/>
        <v>-3.1614925015084748E-2</v>
      </c>
      <c r="M7" s="203">
        <f t="shared" si="7"/>
        <v>-9334.4545888271095</v>
      </c>
      <c r="N7" s="200">
        <f t="shared" si="8"/>
        <v>-0.18161986383100806</v>
      </c>
    </row>
    <row r="8" spans="2:14">
      <c r="B8" s="201" t="s">
        <v>253</v>
      </c>
      <c r="C8" s="195">
        <v>2950.6668532338308</v>
      </c>
      <c r="D8" s="202">
        <f t="shared" si="0"/>
        <v>5.6445500178566802E-4</v>
      </c>
      <c r="E8" s="195">
        <v>1945.0425518177165</v>
      </c>
      <c r="F8" s="202">
        <f t="shared" si="1"/>
        <v>3.8056723046239825E-4</v>
      </c>
      <c r="G8" s="202">
        <f t="shared" si="2"/>
        <v>1.8388777132326978E-4</v>
      </c>
      <c r="H8" s="197">
        <v>2423.344420371749</v>
      </c>
      <c r="I8" s="202">
        <f t="shared" si="3"/>
        <v>5.5776601169795891E-4</v>
      </c>
      <c r="J8" s="198">
        <f t="shared" si="4"/>
        <v>1.7719878123556067E-4</v>
      </c>
      <c r="K8" s="203">
        <f t="shared" si="5"/>
        <v>1005.6243014161143</v>
      </c>
      <c r="L8" s="200">
        <f t="shared" si="6"/>
        <v>0.51701917805156505</v>
      </c>
      <c r="M8" s="203">
        <f t="shared" si="7"/>
        <v>-478.30186855403258</v>
      </c>
      <c r="N8" s="200">
        <f t="shared" si="8"/>
        <v>-0.19737263285119805</v>
      </c>
    </row>
    <row r="9" spans="2:14">
      <c r="B9" s="201" t="s">
        <v>254</v>
      </c>
      <c r="C9" s="195">
        <v>159.32</v>
      </c>
      <c r="D9" s="202">
        <f t="shared" si="0"/>
        <v>3.0477507410209162E-5</v>
      </c>
      <c r="E9" s="195">
        <v>192.94316249999997</v>
      </c>
      <c r="F9" s="202">
        <f t="shared" si="1"/>
        <v>3.7751279487772808E-5</v>
      </c>
      <c r="G9" s="202">
        <f t="shared" si="2"/>
        <v>-7.2737720775636453E-6</v>
      </c>
      <c r="H9" s="197">
        <v>7934.7608941812068</v>
      </c>
      <c r="I9" s="202">
        <f t="shared" si="3"/>
        <v>1.8262942322682548E-3</v>
      </c>
      <c r="J9" s="198">
        <f t="shared" si="4"/>
        <v>1.7885429527804819E-3</v>
      </c>
      <c r="K9" s="203">
        <f t="shared" si="5"/>
        <v>-33.623162499999978</v>
      </c>
      <c r="L9" s="200">
        <f t="shared" si="6"/>
        <v>-0.17426459722302926</v>
      </c>
      <c r="M9" s="203">
        <f t="shared" si="7"/>
        <v>-7741.8177316812071</v>
      </c>
      <c r="N9" s="200">
        <f t="shared" si="8"/>
        <v>-0.97568380886669304</v>
      </c>
    </row>
    <row r="10" spans="2:14" ht="24.75">
      <c r="B10" s="201" t="s">
        <v>255</v>
      </c>
      <c r="C10" s="195">
        <v>56618.262000000002</v>
      </c>
      <c r="D10" s="202">
        <f t="shared" si="0"/>
        <v>1.0830928318215943E-2</v>
      </c>
      <c r="E10" s="195">
        <v>0</v>
      </c>
      <c r="F10" s="202">
        <f t="shared" si="1"/>
        <v>0</v>
      </c>
      <c r="G10" s="202">
        <f t="shared" si="2"/>
        <v>1.0830928318215943E-2</v>
      </c>
      <c r="H10" s="197">
        <v>0</v>
      </c>
      <c r="I10" s="202">
        <f t="shared" si="3"/>
        <v>0</v>
      </c>
      <c r="J10" s="198">
        <f t="shared" si="4"/>
        <v>0</v>
      </c>
      <c r="K10" s="203">
        <f t="shared" si="5"/>
        <v>56618.262000000002</v>
      </c>
      <c r="L10" s="200"/>
      <c r="M10" s="203">
        <f t="shared" si="7"/>
        <v>0</v>
      </c>
      <c r="N10" s="200"/>
    </row>
    <row r="11" spans="2:14">
      <c r="B11" s="201"/>
      <c r="C11" s="204"/>
      <c r="D11" s="205"/>
      <c r="E11" s="204"/>
      <c r="F11" s="205"/>
      <c r="G11" s="205"/>
      <c r="H11" s="204"/>
      <c r="I11" s="202"/>
      <c r="J11" s="198"/>
      <c r="K11" s="206"/>
      <c r="L11" s="200"/>
      <c r="M11" s="206"/>
      <c r="N11" s="200"/>
    </row>
    <row r="12" spans="2:14">
      <c r="B12" s="207" t="s">
        <v>256</v>
      </c>
      <c r="C12" s="208">
        <v>5227461.6114647221</v>
      </c>
      <c r="D12" s="196">
        <f>ABS(C12/C$12)</f>
        <v>1</v>
      </c>
      <c r="E12" s="208">
        <v>5110903.9247925878</v>
      </c>
      <c r="F12" s="196">
        <f>ABS(E12/E$12)</f>
        <v>1</v>
      </c>
      <c r="G12" s="196"/>
      <c r="H12" s="209">
        <v>4344733.0413600691</v>
      </c>
      <c r="I12" s="196">
        <f>ABS(H12/H$12)</f>
        <v>1</v>
      </c>
      <c r="J12" s="210"/>
      <c r="K12" s="199">
        <f>C12-E12</f>
        <v>116557.68667213432</v>
      </c>
      <c r="L12" s="211">
        <f>K12/E12</f>
        <v>2.280568924544292E-2</v>
      </c>
      <c r="M12" s="199">
        <f>E12-H12</f>
        <v>766170.88343251869</v>
      </c>
      <c r="N12" s="211">
        <f>M12/H12</f>
        <v>0.17634475493405175</v>
      </c>
    </row>
    <row r="13" spans="2:14">
      <c r="B13" s="212"/>
      <c r="C13" s="195"/>
      <c r="D13" s="202"/>
      <c r="E13" s="195"/>
      <c r="F13" s="202"/>
      <c r="G13" s="202"/>
      <c r="H13" s="197"/>
      <c r="I13" s="202"/>
      <c r="J13" s="198"/>
      <c r="K13" s="206"/>
      <c r="L13" s="200"/>
      <c r="M13" s="206"/>
      <c r="N13" s="200"/>
    </row>
    <row r="14" spans="2:14">
      <c r="B14" s="207" t="s">
        <v>257</v>
      </c>
      <c r="C14" s="208">
        <v>737866.09600000002</v>
      </c>
      <c r="D14" s="196">
        <f>ABS(C14/C$12)</f>
        <v>0.14115189184397506</v>
      </c>
      <c r="E14" s="208">
        <v>594529.94626825536</v>
      </c>
      <c r="F14" s="196">
        <f>ABS(E14/E$12)</f>
        <v>0.11632579187885687</v>
      </c>
      <c r="G14" s="196">
        <f>D14-F14</f>
        <v>2.4826099965118184E-2</v>
      </c>
      <c r="H14" s="209">
        <v>546974.34238848917</v>
      </c>
      <c r="I14" s="196">
        <f>ABS(H14/H$12)</f>
        <v>0.12589365956009696</v>
      </c>
      <c r="J14" s="210">
        <f>I14-F14</f>
        <v>9.5678676812400859E-3</v>
      </c>
      <c r="K14" s="199">
        <f>C14-E14</f>
        <v>143336.14973174466</v>
      </c>
      <c r="L14" s="211">
        <f>K14/E14</f>
        <v>0.24109155582731667</v>
      </c>
      <c r="M14" s="199">
        <f>E14-H14</f>
        <v>47555.603879766189</v>
      </c>
      <c r="N14" s="200">
        <f>M14/H14</f>
        <v>8.6943024917958162E-2</v>
      </c>
    </row>
    <row r="15" spans="2:14">
      <c r="B15" s="213"/>
      <c r="C15" s="204"/>
      <c r="D15" s="205"/>
      <c r="E15" s="204"/>
      <c r="F15" s="205"/>
      <c r="G15" s="205"/>
      <c r="H15" s="204"/>
      <c r="I15" s="202"/>
      <c r="J15" s="198"/>
      <c r="K15" s="206"/>
      <c r="L15" s="200"/>
      <c r="M15" s="206"/>
      <c r="N15" s="200"/>
    </row>
    <row r="16" spans="2:14">
      <c r="B16" s="207" t="s">
        <v>258</v>
      </c>
      <c r="C16" s="208">
        <v>4489595.5154647222</v>
      </c>
      <c r="D16" s="196">
        <f>ABS(C16/C$12)</f>
        <v>0.85884810815602497</v>
      </c>
      <c r="E16" s="208">
        <v>4516373.9785243319</v>
      </c>
      <c r="F16" s="196">
        <f>ABS(E16/E$12)</f>
        <v>0.88367420812114306</v>
      </c>
      <c r="G16" s="196">
        <f>D16-F16</f>
        <v>-2.4826099965118087E-2</v>
      </c>
      <c r="H16" s="209">
        <v>3797758.6989715798</v>
      </c>
      <c r="I16" s="196">
        <f>ABS(H16/H$12)</f>
        <v>0.87410634043990298</v>
      </c>
      <c r="J16" s="210">
        <f>I16-F16</f>
        <v>-9.567867681240072E-3</v>
      </c>
      <c r="K16" s="199">
        <f>C16-E16</f>
        <v>-26778.463059609756</v>
      </c>
      <c r="L16" s="211">
        <f>K16/E16</f>
        <v>-5.9291952320474758E-3</v>
      </c>
      <c r="M16" s="199">
        <f>E16-H16</f>
        <v>718615.27955275215</v>
      </c>
      <c r="N16" s="211">
        <f>M16/H16</f>
        <v>0.18922088961243133</v>
      </c>
    </row>
    <row r="17" spans="2:14">
      <c r="B17" s="214"/>
      <c r="C17" s="204"/>
      <c r="D17" s="205"/>
      <c r="E17" s="204"/>
      <c r="F17" s="205"/>
      <c r="G17" s="205"/>
      <c r="H17" s="204"/>
      <c r="I17" s="202"/>
      <c r="J17" s="198"/>
      <c r="K17" s="206"/>
      <c r="L17" s="200"/>
      <c r="M17" s="206"/>
      <c r="N17" s="200"/>
    </row>
    <row r="18" spans="2:14">
      <c r="B18" s="215" t="s">
        <v>259</v>
      </c>
      <c r="C18" s="195"/>
      <c r="D18" s="202"/>
      <c r="E18" s="195"/>
      <c r="F18" s="202"/>
      <c r="G18" s="202"/>
      <c r="H18" s="197"/>
      <c r="I18" s="202"/>
      <c r="J18" s="198"/>
      <c r="K18" s="206"/>
      <c r="L18" s="200"/>
      <c r="M18" s="206"/>
      <c r="N18" s="200"/>
    </row>
    <row r="19" spans="2:14">
      <c r="B19" s="216"/>
      <c r="C19" s="195"/>
      <c r="D19" s="202"/>
      <c r="E19" s="195"/>
      <c r="F19" s="202"/>
      <c r="G19" s="202"/>
      <c r="H19" s="197"/>
      <c r="I19" s="202"/>
      <c r="J19" s="198"/>
      <c r="K19" s="206"/>
      <c r="L19" s="200"/>
      <c r="M19" s="206"/>
      <c r="N19" s="200"/>
    </row>
    <row r="20" spans="2:14">
      <c r="B20" s="216" t="s">
        <v>260</v>
      </c>
      <c r="C20" s="195">
        <v>764385.31597280654</v>
      </c>
      <c r="D20" s="202">
        <f t="shared" ref="D20:D25" si="9">ABS(C20/C$12)</f>
        <v>0.1462249506139611</v>
      </c>
      <c r="E20" s="195">
        <v>753084.34099213395</v>
      </c>
      <c r="F20" s="202">
        <f t="shared" ref="F20:F25" si="10">ABS(E20/E$12)</f>
        <v>0.14734856144311026</v>
      </c>
      <c r="G20" s="202">
        <f t="shared" ref="G20:G25" si="11">D20-F20</f>
        <v>-1.1236108291491631E-3</v>
      </c>
      <c r="H20" s="197">
        <v>670160.2407660631</v>
      </c>
      <c r="I20" s="202">
        <f t="shared" ref="I20:I25" si="12">ABS(H20/H$12)</f>
        <v>0.15424658647295786</v>
      </c>
      <c r="J20" s="198">
        <f t="shared" ref="J20:J25" si="13">I20-F20</f>
        <v>6.8980250298475987E-3</v>
      </c>
      <c r="K20" s="203">
        <f t="shared" ref="K20:K25" si="14">C20-E20</f>
        <v>11300.974980672589</v>
      </c>
      <c r="L20" s="200">
        <f t="shared" ref="L20:L25" si="15">K20/E20</f>
        <v>1.5006254101345906E-2</v>
      </c>
      <c r="M20" s="203">
        <f t="shared" ref="M20:M25" si="16">E20-H20</f>
        <v>82924.100226070848</v>
      </c>
      <c r="N20" s="200">
        <f t="shared" ref="N20:N25" si="17">M20/H20</f>
        <v>0.12373771999854832</v>
      </c>
    </row>
    <row r="21" spans="2:14">
      <c r="B21" s="216" t="s">
        <v>154</v>
      </c>
      <c r="C21" s="195">
        <v>108095.438086782</v>
      </c>
      <c r="D21" s="202">
        <f t="shared" si="9"/>
        <v>2.0678380085988601E-2</v>
      </c>
      <c r="E21" s="195">
        <v>114349.11416756272</v>
      </c>
      <c r="F21" s="202">
        <f t="shared" si="10"/>
        <v>2.2373559716680307E-2</v>
      </c>
      <c r="G21" s="202">
        <f t="shared" si="11"/>
        <v>-1.6951796306917052E-3</v>
      </c>
      <c r="H21" s="197">
        <v>83696.600807739989</v>
      </c>
      <c r="I21" s="202">
        <f t="shared" si="12"/>
        <v>1.9263922549667106E-2</v>
      </c>
      <c r="J21" s="198">
        <f t="shared" si="13"/>
        <v>-3.1096371670132003E-3</v>
      </c>
      <c r="K21" s="203">
        <f t="shared" si="14"/>
        <v>-6253.676080780715</v>
      </c>
      <c r="L21" s="200">
        <f t="shared" si="15"/>
        <v>-5.4689326859295326E-2</v>
      </c>
      <c r="M21" s="203">
        <f t="shared" si="16"/>
        <v>30652.513359822726</v>
      </c>
      <c r="N21" s="200">
        <f t="shared" si="17"/>
        <v>0.36623367094961018</v>
      </c>
    </row>
    <row r="22" spans="2:14">
      <c r="B22" s="216" t="s">
        <v>261</v>
      </c>
      <c r="C22" s="195">
        <v>198770.54079669833</v>
      </c>
      <c r="D22" s="202">
        <f t="shared" si="9"/>
        <v>3.8024294690325484E-2</v>
      </c>
      <c r="E22" s="195">
        <v>168877.50752309588</v>
      </c>
      <c r="F22" s="202">
        <f t="shared" si="10"/>
        <v>3.3042590901363758E-2</v>
      </c>
      <c r="G22" s="202">
        <f t="shared" si="11"/>
        <v>4.9817037889617263E-3</v>
      </c>
      <c r="H22" s="197">
        <v>156544.81670354746</v>
      </c>
      <c r="I22" s="202">
        <f t="shared" si="12"/>
        <v>3.6030940270277895E-2</v>
      </c>
      <c r="J22" s="198">
        <f t="shared" si="13"/>
        <v>2.9883493689141366E-3</v>
      </c>
      <c r="K22" s="203">
        <f t="shared" si="14"/>
        <v>29893.033273602457</v>
      </c>
      <c r="L22" s="200">
        <f t="shared" si="15"/>
        <v>0.17701015198554049</v>
      </c>
      <c r="M22" s="203">
        <f t="shared" si="16"/>
        <v>12332.690819548414</v>
      </c>
      <c r="N22" s="200">
        <f t="shared" si="17"/>
        <v>7.8780575935025146E-2</v>
      </c>
    </row>
    <row r="23" spans="2:14" ht="24.75">
      <c r="B23" s="216" t="s">
        <v>262</v>
      </c>
      <c r="C23" s="195">
        <v>15536.699999999999</v>
      </c>
      <c r="D23" s="202">
        <f t="shared" si="9"/>
        <v>2.972130864801636E-3</v>
      </c>
      <c r="E23" s="195">
        <v>12527.13</v>
      </c>
      <c r="F23" s="202">
        <f t="shared" si="10"/>
        <v>2.4510595746540824E-3</v>
      </c>
      <c r="G23" s="202">
        <f t="shared" si="11"/>
        <v>5.2107129014755367E-4</v>
      </c>
      <c r="H23" s="197">
        <v>8224.0028776978415</v>
      </c>
      <c r="I23" s="202">
        <f t="shared" si="12"/>
        <v>1.8928672485532992E-3</v>
      </c>
      <c r="J23" s="198">
        <f t="shared" si="13"/>
        <v>-5.581923261007832E-4</v>
      </c>
      <c r="K23" s="203">
        <f t="shared" si="14"/>
        <v>3009.5699999999997</v>
      </c>
      <c r="L23" s="200">
        <f t="shared" si="15"/>
        <v>0.24024417404465348</v>
      </c>
      <c r="M23" s="203">
        <f t="shared" si="16"/>
        <v>4303.1271223021577</v>
      </c>
      <c r="N23" s="200">
        <f t="shared" si="17"/>
        <v>0.52323998256026139</v>
      </c>
    </row>
    <row r="24" spans="2:14">
      <c r="B24" s="194" t="s">
        <v>263</v>
      </c>
      <c r="C24" s="195">
        <v>235905.43082174353</v>
      </c>
      <c r="D24" s="202">
        <f t="shared" si="9"/>
        <v>4.5128103916509378E-2</v>
      </c>
      <c r="E24" s="195">
        <v>195601.23</v>
      </c>
      <c r="F24" s="202">
        <f t="shared" si="10"/>
        <v>3.8271357254663706E-2</v>
      </c>
      <c r="G24" s="202">
        <f t="shared" si="11"/>
        <v>6.8567466618456724E-3</v>
      </c>
      <c r="H24" s="197">
        <v>200292.4</v>
      </c>
      <c r="I24" s="202">
        <f t="shared" si="12"/>
        <v>4.6100047596319228E-2</v>
      </c>
      <c r="J24" s="198">
        <f t="shared" si="13"/>
        <v>7.8286903416555226E-3</v>
      </c>
      <c r="K24" s="203">
        <f t="shared" si="14"/>
        <v>40304.200821743521</v>
      </c>
      <c r="L24" s="200">
        <f t="shared" si="15"/>
        <v>0.20605290069875082</v>
      </c>
      <c r="M24" s="203">
        <f t="shared" si="16"/>
        <v>-4691.1699999999837</v>
      </c>
      <c r="N24" s="200">
        <f t="shared" si="17"/>
        <v>-2.3421607609674575E-2</v>
      </c>
    </row>
    <row r="25" spans="2:14">
      <c r="B25" s="201" t="s">
        <v>264</v>
      </c>
      <c r="C25" s="195">
        <v>1980009.9482275553</v>
      </c>
      <c r="D25" s="196">
        <f t="shared" si="9"/>
        <v>0.3787708251907681</v>
      </c>
      <c r="E25" s="195">
        <v>1357073.1160734606</v>
      </c>
      <c r="F25" s="196">
        <f t="shared" si="10"/>
        <v>0.26552506876335652</v>
      </c>
      <c r="G25" s="202">
        <f t="shared" si="11"/>
        <v>0.11324575642741158</v>
      </c>
      <c r="H25" s="197">
        <v>1244960.4056015876</v>
      </c>
      <c r="I25" s="202">
        <f t="shared" si="12"/>
        <v>0.28654474135696656</v>
      </c>
      <c r="J25" s="198">
        <f t="shared" si="13"/>
        <v>2.1019672593610039E-2</v>
      </c>
      <c r="K25" s="203">
        <f t="shared" si="14"/>
        <v>622936.83215409471</v>
      </c>
      <c r="L25" s="200">
        <f t="shared" si="15"/>
        <v>0.45902967553914326</v>
      </c>
      <c r="M25" s="203">
        <f t="shared" si="16"/>
        <v>112112.71047187294</v>
      </c>
      <c r="N25" s="200">
        <f t="shared" si="17"/>
        <v>9.0053233795574436E-2</v>
      </c>
    </row>
    <row r="26" spans="2:14">
      <c r="B26" s="217"/>
      <c r="C26" s="204"/>
      <c r="D26" s="205"/>
      <c r="E26" s="204"/>
      <c r="F26" s="205"/>
      <c r="G26" s="205"/>
      <c r="H26" s="204"/>
      <c r="I26" s="202"/>
      <c r="J26" s="198"/>
      <c r="K26" s="206"/>
      <c r="L26" s="200"/>
      <c r="M26" s="206"/>
      <c r="N26" s="200"/>
    </row>
    <row r="27" spans="2:14" s="219" customFormat="1" ht="14.25">
      <c r="B27" s="218" t="s">
        <v>265</v>
      </c>
      <c r="C27" s="208">
        <v>3302703.3739055856</v>
      </c>
      <c r="D27" s="196">
        <f>ABS(C27/C$12)</f>
        <v>0.63179868536235428</v>
      </c>
      <c r="E27" s="208">
        <v>2601512.4387562531</v>
      </c>
      <c r="F27" s="196">
        <f>ABS(E27/E$12)</f>
        <v>0.50901219765382866</v>
      </c>
      <c r="G27" s="196">
        <f>D27-F27</f>
        <v>0.12278648770852563</v>
      </c>
      <c r="H27" s="209">
        <v>2363878.4667566358</v>
      </c>
      <c r="I27" s="196">
        <f>ABS(H27/H$12)</f>
        <v>0.54407910549474192</v>
      </c>
      <c r="J27" s="210">
        <f>I27-F27</f>
        <v>3.5066907840913264E-2</v>
      </c>
      <c r="K27" s="199">
        <f>C27-E27</f>
        <v>701190.93514933251</v>
      </c>
      <c r="L27" s="211">
        <f>K27/E27</f>
        <v>0.26953203248359719</v>
      </c>
      <c r="M27" s="199">
        <f>E27-H27</f>
        <v>237633.97199961729</v>
      </c>
      <c r="N27" s="211">
        <f>M27/H27</f>
        <v>0.10052715287248395</v>
      </c>
    </row>
    <row r="28" spans="2:14">
      <c r="B28" s="220"/>
      <c r="C28" s="195"/>
      <c r="D28" s="202"/>
      <c r="E28" s="195"/>
      <c r="F28" s="202"/>
      <c r="G28" s="202"/>
      <c r="H28" s="197"/>
      <c r="I28" s="202"/>
      <c r="J28" s="198"/>
      <c r="K28" s="206"/>
      <c r="L28" s="200"/>
      <c r="M28" s="206"/>
      <c r="N28" s="200"/>
    </row>
    <row r="29" spans="2:14" s="219" customFormat="1" thickBot="1">
      <c r="B29" s="218" t="s">
        <v>266</v>
      </c>
      <c r="C29" s="208">
        <v>1186892.1415591368</v>
      </c>
      <c r="D29" s="196">
        <f>ABS(C29/C$12)</f>
        <v>0.22704942279367069</v>
      </c>
      <c r="E29" s="208">
        <v>1914861.5397680791</v>
      </c>
      <c r="F29" s="196">
        <f>ABS(E29/E$12)</f>
        <v>0.37466201046731445</v>
      </c>
      <c r="G29" s="196">
        <f>D29-F29</f>
        <v>-0.14761258767364377</v>
      </c>
      <c r="H29" s="209">
        <v>1433880.232214944</v>
      </c>
      <c r="I29" s="196">
        <f>ABS(H29/H$12)</f>
        <v>0.33002723494516112</v>
      </c>
      <c r="J29" s="210">
        <f>I29-F29</f>
        <v>-4.4634775522153336E-2</v>
      </c>
      <c r="K29" s="221">
        <f>C29-E29</f>
        <v>-727969.39820894226</v>
      </c>
      <c r="L29" s="222">
        <f>K29/E29</f>
        <v>-0.38016816521214963</v>
      </c>
      <c r="M29" s="221">
        <f>E29-H29</f>
        <v>480981.30755313509</v>
      </c>
      <c r="N29" s="222">
        <f>M29/H29</f>
        <v>0.33544036436722019</v>
      </c>
    </row>
    <row r="30" spans="2:14">
      <c r="J30" s="223"/>
      <c r="K30" s="224"/>
      <c r="L30" s="223"/>
    </row>
    <row r="31" spans="2:14">
      <c r="J31" s="223"/>
      <c r="K31" s="223"/>
      <c r="L31" s="223"/>
    </row>
    <row r="32" spans="2:14">
      <c r="J32" s="223"/>
      <c r="K32" s="223"/>
      <c r="L32" s="223"/>
    </row>
    <row r="33" spans="2:3">
      <c r="B33" s="189" t="s">
        <v>267</v>
      </c>
      <c r="C33" s="189">
        <v>4926830.7149999999</v>
      </c>
    </row>
    <row r="34" spans="2:3">
      <c r="B34" s="189" t="s">
        <v>38</v>
      </c>
      <c r="C34" s="189">
        <f>C29/C33</f>
        <v>0.2409037797758263</v>
      </c>
    </row>
    <row r="36" spans="2:3">
      <c r="C36" s="189">
        <v>300000</v>
      </c>
    </row>
    <row r="37" spans="2:3">
      <c r="B37" s="189" t="s">
        <v>268</v>
      </c>
      <c r="C37" s="189">
        <f>C29/C36</f>
        <v>3.9563071385304558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29"/>
  <sheetViews>
    <sheetView showGridLines="0" topLeftCell="A74" workbookViewId="0">
      <pane xSplit="1" topLeftCell="N1" activePane="topRight" state="frozen"/>
      <selection activeCell="O63" sqref="O63"/>
      <selection pane="topRight" activeCell="N29" sqref="N29"/>
    </sheetView>
  </sheetViews>
  <sheetFormatPr baseColWidth="10" defaultColWidth="10.125" defaultRowHeight="14.25"/>
  <cols>
    <col min="1" max="1" width="36.5" style="230" bestFit="1" customWidth="1"/>
    <col min="2" max="2" width="11.5" style="231" hidden="1" customWidth="1"/>
    <col min="3" max="4" width="11.375" style="230" hidden="1" customWidth="1"/>
    <col min="5" max="5" width="14.375" style="230" hidden="1" customWidth="1"/>
    <col min="6" max="11" width="0" style="230" hidden="1" customWidth="1"/>
    <col min="12" max="12" width="11.125" style="230" hidden="1" customWidth="1"/>
    <col min="13" max="13" width="11" style="230" hidden="1" customWidth="1"/>
    <col min="14" max="14" width="17.875" style="230" bestFit="1" customWidth="1"/>
    <col min="15" max="16384" width="10.125" style="230"/>
  </cols>
  <sheetData>
    <row r="1" spans="1:14" ht="14.1" customHeight="1">
      <c r="A1" s="233"/>
      <c r="B1" s="230"/>
    </row>
    <row r="2" spans="1:14" ht="14.1" customHeight="1">
      <c r="A2" s="233"/>
    </row>
    <row r="3" spans="1:14" ht="14.1" customHeight="1">
      <c r="A3" s="232"/>
    </row>
    <row r="4" spans="1:14">
      <c r="A4" s="232"/>
    </row>
    <row r="5" spans="1:14">
      <c r="A5" s="234"/>
      <c r="B5" s="235" t="s">
        <v>270</v>
      </c>
      <c r="C5" s="236" t="s">
        <v>271</v>
      </c>
      <c r="D5" s="237" t="s">
        <v>272</v>
      </c>
      <c r="E5" s="236" t="s">
        <v>273</v>
      </c>
      <c r="F5" s="235" t="s">
        <v>274</v>
      </c>
      <c r="G5" s="236" t="s">
        <v>275</v>
      </c>
      <c r="H5" s="237" t="s">
        <v>276</v>
      </c>
      <c r="I5" s="236" t="s">
        <v>277</v>
      </c>
      <c r="J5" s="235" t="s">
        <v>278</v>
      </c>
      <c r="K5" s="236" t="s">
        <v>279</v>
      </c>
      <c r="L5" s="237" t="s">
        <v>280</v>
      </c>
      <c r="M5" s="236" t="s">
        <v>281</v>
      </c>
      <c r="N5" s="236" t="s">
        <v>282</v>
      </c>
    </row>
    <row r="6" spans="1:14">
      <c r="A6" s="238"/>
    </row>
    <row r="7" spans="1:14">
      <c r="A7" s="240"/>
    </row>
    <row r="8" spans="1:14">
      <c r="A8" s="241" t="s">
        <v>248</v>
      </c>
      <c r="B8" s="242">
        <v>229044.07</v>
      </c>
      <c r="C8" s="242">
        <v>242482.696</v>
      </c>
      <c r="D8" s="242">
        <v>167758.31200000001</v>
      </c>
      <c r="E8" s="242">
        <v>228508.79800000001</v>
      </c>
      <c r="F8" s="242">
        <v>325675.83150000003</v>
      </c>
      <c r="G8" s="243">
        <v>253387.1925</v>
      </c>
      <c r="H8" s="243">
        <v>281497.88699999999</v>
      </c>
      <c r="I8" s="243">
        <v>244162.35990000001</v>
      </c>
      <c r="J8" s="243">
        <v>286952.85989999998</v>
      </c>
      <c r="K8" s="243">
        <v>370586.67569999996</v>
      </c>
      <c r="L8" s="243">
        <v>238269.95819999999</v>
      </c>
      <c r="M8" s="243">
        <v>193789.3167</v>
      </c>
      <c r="N8" s="243">
        <f>+SUM(B8:M8)</f>
        <v>3062115.9574000002</v>
      </c>
    </row>
    <row r="9" spans="1:14">
      <c r="A9" s="241" t="s">
        <v>250</v>
      </c>
      <c r="B9" s="242">
        <v>20277.12</v>
      </c>
      <c r="C9" s="242">
        <v>22192.207999999999</v>
      </c>
      <c r="D9" s="242">
        <v>20503.734</v>
      </c>
      <c r="E9" s="242">
        <v>18157.63</v>
      </c>
      <c r="F9" s="242">
        <v>20070.309600000001</v>
      </c>
      <c r="G9" s="243">
        <v>19726.0209</v>
      </c>
      <c r="H9" s="243">
        <v>20019.4938</v>
      </c>
      <c r="I9" s="243">
        <v>23834.907900000002</v>
      </c>
      <c r="J9" s="243">
        <v>22186.8243</v>
      </c>
      <c r="K9" s="243">
        <v>21176.535599999999</v>
      </c>
      <c r="L9" s="243">
        <v>17236.9791</v>
      </c>
      <c r="M9" s="243">
        <v>16655.627699999997</v>
      </c>
      <c r="N9" s="243">
        <f t="shared" ref="N9:N27" si="0">+SUM(B9:M9)</f>
        <v>242037.3909</v>
      </c>
    </row>
    <row r="10" spans="1:14">
      <c r="A10" s="241" t="s">
        <v>251</v>
      </c>
      <c r="B10" s="242">
        <v>1870.34</v>
      </c>
      <c r="C10" s="242">
        <v>2241.6880000000001</v>
      </c>
      <c r="D10" s="242">
        <v>1956.4279999999999</v>
      </c>
      <c r="E10" s="242">
        <v>1574.58</v>
      </c>
      <c r="F10" s="242">
        <v>1715.7825</v>
      </c>
      <c r="G10" s="243">
        <v>1459.0062</v>
      </c>
      <c r="H10" s="243">
        <v>1628.3034</v>
      </c>
      <c r="I10" s="243">
        <v>2316.8807999999999</v>
      </c>
      <c r="J10" s="243">
        <v>2294.3034000000002</v>
      </c>
      <c r="K10" s="243">
        <v>1752.4791</v>
      </c>
      <c r="L10" s="243">
        <v>1597.2678000000001</v>
      </c>
      <c r="M10" s="243">
        <v>1470.6279</v>
      </c>
      <c r="N10" s="243">
        <f t="shared" si="0"/>
        <v>21877.687100000003</v>
      </c>
    </row>
    <row r="11" spans="1:14">
      <c r="A11" s="241" t="s">
        <v>252</v>
      </c>
      <c r="B11" s="242">
        <v>2816.02</v>
      </c>
      <c r="C11" s="242">
        <v>3517.6059999999998</v>
      </c>
      <c r="D11" s="242">
        <v>3377.9339999999997</v>
      </c>
      <c r="E11" s="242">
        <v>2535.5300000000002</v>
      </c>
      <c r="F11" s="242">
        <v>2910.42</v>
      </c>
      <c r="G11" s="243">
        <v>3006.2574</v>
      </c>
      <c r="H11" s="243">
        <v>3929.5331999999999</v>
      </c>
      <c r="I11" s="243">
        <v>4146.5159999999996</v>
      </c>
      <c r="J11" s="243">
        <v>4008.8860909090913</v>
      </c>
      <c r="K11" s="243">
        <v>4243.0362985074635</v>
      </c>
      <c r="L11" s="243">
        <v>3108.351223880597</v>
      </c>
      <c r="M11" s="243">
        <v>2544.8158208955224</v>
      </c>
      <c r="N11" s="243">
        <f t="shared" si="0"/>
        <v>40144.906034192674</v>
      </c>
    </row>
    <row r="12" spans="1:14">
      <c r="A12" s="241" t="s">
        <v>253</v>
      </c>
      <c r="B12" s="242">
        <v>315.39</v>
      </c>
      <c r="C12" s="242">
        <v>157.624</v>
      </c>
      <c r="D12" s="242">
        <v>0</v>
      </c>
      <c r="E12" s="242">
        <v>315.26</v>
      </c>
      <c r="F12" s="242">
        <v>169.3305</v>
      </c>
      <c r="G12" s="243">
        <v>328.03830000000005</v>
      </c>
      <c r="H12" s="243">
        <v>492.10740000000004</v>
      </c>
      <c r="I12" s="243">
        <v>656.13487499999997</v>
      </c>
      <c r="J12" s="243">
        <v>159.06299999999999</v>
      </c>
      <c r="K12" s="243">
        <v>156.51</v>
      </c>
      <c r="L12" s="243">
        <v>0</v>
      </c>
      <c r="M12" s="243">
        <v>156.68892537313434</v>
      </c>
      <c r="N12" s="243">
        <f t="shared" si="0"/>
        <v>2906.1470003731347</v>
      </c>
    </row>
    <row r="13" spans="1:14">
      <c r="A13" s="241" t="s">
        <v>254</v>
      </c>
      <c r="B13" s="242">
        <v>159.32</v>
      </c>
      <c r="C13" s="242">
        <v>0</v>
      </c>
      <c r="D13" s="242">
        <v>0</v>
      </c>
      <c r="E13" s="242">
        <v>0</v>
      </c>
      <c r="F13" s="242">
        <v>0</v>
      </c>
      <c r="G13" s="243">
        <v>0</v>
      </c>
      <c r="H13" s="243">
        <v>0</v>
      </c>
      <c r="I13" s="243">
        <v>0</v>
      </c>
      <c r="J13" s="243">
        <v>0</v>
      </c>
      <c r="K13" s="243">
        <v>0</v>
      </c>
      <c r="L13" s="243">
        <v>0</v>
      </c>
      <c r="M13" s="243">
        <v>0</v>
      </c>
      <c r="N13" s="243">
        <f t="shared" si="0"/>
        <v>159.32</v>
      </c>
    </row>
    <row r="14" spans="1:14">
      <c r="A14" s="241" t="s">
        <v>283</v>
      </c>
      <c r="B14" s="242">
        <v>5362.71</v>
      </c>
      <c r="C14" s="242">
        <v>9736.1039999999994</v>
      </c>
      <c r="D14" s="242">
        <v>9969.48</v>
      </c>
      <c r="E14" s="242">
        <v>5682.0460000000003</v>
      </c>
      <c r="F14" s="242">
        <v>2909.5209</v>
      </c>
      <c r="G14" s="243">
        <v>3631.9311000000002</v>
      </c>
      <c r="H14" s="243">
        <v>4080.6486000000004</v>
      </c>
      <c r="I14" s="243">
        <v>4174.4879999999994</v>
      </c>
      <c r="J14" s="243">
        <v>7069.1904000000004</v>
      </c>
      <c r="K14" s="243">
        <v>5316.7112999999999</v>
      </c>
      <c r="L14" s="243">
        <v>3634.7948999999999</v>
      </c>
      <c r="M14" s="243">
        <v>7142.5836000000008</v>
      </c>
      <c r="N14" s="243">
        <f t="shared" si="0"/>
        <v>68710.208800000008</v>
      </c>
    </row>
    <row r="15" spans="1:14">
      <c r="A15" s="245" t="s">
        <v>284</v>
      </c>
      <c r="B15" s="242">
        <v>35514.400000000001</v>
      </c>
      <c r="C15" s="242">
        <v>29295.453999999998</v>
      </c>
      <c r="D15" s="242">
        <v>24422.335999999999</v>
      </c>
      <c r="E15" s="242">
        <v>39003.678</v>
      </c>
      <c r="F15" s="242">
        <v>20395.517400000001</v>
      </c>
      <c r="G15" s="243">
        <v>29695.608</v>
      </c>
      <c r="H15" s="243">
        <v>15539.045400000001</v>
      </c>
      <c r="I15" s="243">
        <v>39452.674500000001</v>
      </c>
      <c r="J15" s="243">
        <v>36621.142200000002</v>
      </c>
      <c r="K15" s="243">
        <v>19796.983199999999</v>
      </c>
      <c r="L15" s="243">
        <v>2199.1320000000001</v>
      </c>
      <c r="M15" s="243">
        <v>2269.0619999999999</v>
      </c>
      <c r="N15" s="243">
        <f t="shared" si="0"/>
        <v>294205.03269999998</v>
      </c>
    </row>
    <row r="16" spans="1:14">
      <c r="A16" s="241" t="s">
        <v>285</v>
      </c>
      <c r="B16" s="242"/>
      <c r="C16" s="242"/>
      <c r="D16" s="242"/>
      <c r="E16" s="242"/>
      <c r="F16" s="242">
        <v>0</v>
      </c>
      <c r="G16" s="243">
        <v>0</v>
      </c>
      <c r="H16" s="243">
        <v>0</v>
      </c>
      <c r="I16" s="243">
        <v>0</v>
      </c>
      <c r="J16" s="243">
        <v>0</v>
      </c>
      <c r="K16" s="243">
        <v>0</v>
      </c>
      <c r="L16" s="243">
        <v>0</v>
      </c>
      <c r="M16" s="243">
        <v>0</v>
      </c>
      <c r="N16" s="243">
        <f t="shared" si="0"/>
        <v>0</v>
      </c>
    </row>
    <row r="17" spans="1:15">
      <c r="A17" s="246" t="s">
        <v>286</v>
      </c>
      <c r="B17" s="247"/>
      <c r="C17" s="247"/>
      <c r="D17" s="247"/>
      <c r="E17" s="247"/>
      <c r="F17" s="247">
        <v>0</v>
      </c>
      <c r="G17" s="248">
        <v>0</v>
      </c>
      <c r="H17" s="248">
        <v>0</v>
      </c>
      <c r="I17" s="248">
        <v>0</v>
      </c>
      <c r="J17" s="248">
        <v>0</v>
      </c>
      <c r="K17" s="248">
        <v>0</v>
      </c>
      <c r="L17" s="248">
        <v>0</v>
      </c>
      <c r="M17" s="248">
        <v>0</v>
      </c>
      <c r="N17" s="248">
        <f t="shared" si="0"/>
        <v>0</v>
      </c>
    </row>
    <row r="18" spans="1:15">
      <c r="A18" s="246" t="s">
        <v>287</v>
      </c>
      <c r="B18" s="247"/>
      <c r="C18" s="247"/>
      <c r="D18" s="247"/>
      <c r="E18" s="247"/>
      <c r="F18" s="247">
        <v>0</v>
      </c>
      <c r="G18" s="248">
        <v>0</v>
      </c>
      <c r="H18" s="248">
        <v>0</v>
      </c>
      <c r="I18" s="248">
        <v>0</v>
      </c>
      <c r="J18" s="248">
        <v>0</v>
      </c>
      <c r="K18" s="248">
        <v>0</v>
      </c>
      <c r="L18" s="248">
        <v>0</v>
      </c>
      <c r="M18" s="248">
        <v>0</v>
      </c>
      <c r="N18" s="248">
        <f t="shared" si="0"/>
        <v>0</v>
      </c>
    </row>
    <row r="19" spans="1:15">
      <c r="A19" s="246" t="s">
        <v>288</v>
      </c>
      <c r="B19" s="247"/>
      <c r="C19" s="247"/>
      <c r="D19" s="247"/>
      <c r="E19" s="247"/>
      <c r="F19" s="247">
        <v>0</v>
      </c>
      <c r="G19" s="248">
        <v>0</v>
      </c>
      <c r="H19" s="248">
        <v>0</v>
      </c>
      <c r="I19" s="248">
        <v>0</v>
      </c>
      <c r="J19" s="248">
        <v>0</v>
      </c>
      <c r="K19" s="248">
        <v>0</v>
      </c>
      <c r="L19" s="248">
        <v>0</v>
      </c>
      <c r="M19" s="248">
        <v>0</v>
      </c>
      <c r="N19" s="248">
        <f t="shared" si="0"/>
        <v>0</v>
      </c>
    </row>
    <row r="20" spans="1:15">
      <c r="A20" s="239"/>
      <c r="B20" s="242"/>
      <c r="C20" s="242"/>
      <c r="D20" s="242"/>
      <c r="E20" s="242"/>
      <c r="F20" s="242">
        <v>6321.3056999999999</v>
      </c>
      <c r="G20" s="243">
        <v>2387.4435000000003</v>
      </c>
      <c r="H20" s="243">
        <v>3228.4016999999999</v>
      </c>
      <c r="I20" s="243">
        <v>12507.2469</v>
      </c>
      <c r="J20" s="243">
        <v>8138.4534000000003</v>
      </c>
      <c r="K20" s="243">
        <v>11096.225999999999</v>
      </c>
      <c r="L20" s="243">
        <v>7568.6904000000004</v>
      </c>
      <c r="M20" s="243">
        <v>4204.8243000000002</v>
      </c>
      <c r="N20" s="243">
        <f t="shared" si="0"/>
        <v>55452.591899999999</v>
      </c>
    </row>
    <row r="21" spans="1:15">
      <c r="A21" s="249" t="s">
        <v>289</v>
      </c>
      <c r="B21" s="250">
        <v>139968.51764705885</v>
      </c>
      <c r="C21" s="250">
        <v>115458.55399999999</v>
      </c>
      <c r="D21" s="250">
        <v>96252.769499999995</v>
      </c>
      <c r="E21" s="250">
        <v>153720.44500000001</v>
      </c>
      <c r="F21" s="250">
        <v>82072.152500000011</v>
      </c>
      <c r="G21" s="250">
        <v>119495.84000000001</v>
      </c>
      <c r="H21" s="250">
        <v>62529.559000000001</v>
      </c>
      <c r="I21" s="250">
        <v>158758.443</v>
      </c>
      <c r="J21" s="250">
        <v>147364.42299999998</v>
      </c>
      <c r="K21" s="250">
        <v>79663.603000000003</v>
      </c>
      <c r="L21" s="250">
        <v>8849.36</v>
      </c>
      <c r="M21" s="250">
        <v>9130.76</v>
      </c>
      <c r="N21" s="243">
        <f t="shared" si="0"/>
        <v>1173264.4266470587</v>
      </c>
    </row>
    <row r="22" spans="1:15">
      <c r="A22" s="249" t="s">
        <v>290</v>
      </c>
      <c r="B22" s="250">
        <v>0</v>
      </c>
      <c r="C22" s="250">
        <v>0</v>
      </c>
      <c r="D22" s="250">
        <v>0</v>
      </c>
      <c r="E22" s="250">
        <v>0</v>
      </c>
      <c r="F22" s="250">
        <v>0</v>
      </c>
      <c r="G22" s="250">
        <v>0</v>
      </c>
      <c r="H22" s="250">
        <v>0</v>
      </c>
      <c r="I22" s="250">
        <v>0</v>
      </c>
      <c r="J22" s="250">
        <v>0</v>
      </c>
      <c r="K22" s="250">
        <v>0</v>
      </c>
      <c r="L22" s="250">
        <v>0</v>
      </c>
      <c r="M22" s="250">
        <v>0</v>
      </c>
      <c r="N22" s="243">
        <f t="shared" si="0"/>
        <v>0</v>
      </c>
    </row>
    <row r="23" spans="1:15">
      <c r="A23" s="251" t="s">
        <v>291</v>
      </c>
      <c r="B23" s="250">
        <v>8843.0619999999999</v>
      </c>
      <c r="C23" s="250">
        <v>9331.8940000000002</v>
      </c>
      <c r="D23" s="250">
        <v>15614.282999999999</v>
      </c>
      <c r="E23" s="250">
        <v>6038.9110000000001</v>
      </c>
      <c r="F23" s="250">
        <v>24188.34</v>
      </c>
      <c r="G23" s="250">
        <v>16927.817999999999</v>
      </c>
      <c r="H23" s="250">
        <v>8169.3769999999995</v>
      </c>
      <c r="I23" s="250">
        <v>11222.6005</v>
      </c>
      <c r="J23" s="250">
        <v>10292.406000000001</v>
      </c>
      <c r="K23" s="250">
        <v>26431.030999999999</v>
      </c>
      <c r="L23" s="250">
        <v>17368.142000000003</v>
      </c>
      <c r="M23" s="250">
        <v>35915.752</v>
      </c>
      <c r="N23" s="243">
        <f t="shared" si="0"/>
        <v>190343.6165</v>
      </c>
    </row>
    <row r="24" spans="1:15">
      <c r="A24" s="239" t="s">
        <v>292</v>
      </c>
      <c r="B24" s="252">
        <f t="shared" ref="B24:N24" si="1">+SUM(B7:B23)</f>
        <v>444170.94964705879</v>
      </c>
      <c r="C24" s="252">
        <f t="shared" si="1"/>
        <v>434413.82799999998</v>
      </c>
      <c r="D24" s="252">
        <f t="shared" si="1"/>
        <v>339855.27649999998</v>
      </c>
      <c r="E24" s="252">
        <f t="shared" si="1"/>
        <v>455536.87800000003</v>
      </c>
      <c r="F24" s="252">
        <f t="shared" si="1"/>
        <v>486428.51060000004</v>
      </c>
      <c r="G24" s="252">
        <f t="shared" si="1"/>
        <v>450045.15590000001</v>
      </c>
      <c r="H24" s="252">
        <f t="shared" si="1"/>
        <v>401114.35649999994</v>
      </c>
      <c r="I24" s="252">
        <f t="shared" si="1"/>
        <v>501232.2523750001</v>
      </c>
      <c r="J24" s="252">
        <f t="shared" si="1"/>
        <v>525087.55169090896</v>
      </c>
      <c r="K24" s="252">
        <f t="shared" si="1"/>
        <v>540219.79119850753</v>
      </c>
      <c r="L24" s="252">
        <f t="shared" si="1"/>
        <v>299832.67562388058</v>
      </c>
      <c r="M24" s="252">
        <f t="shared" si="1"/>
        <v>273280.05894626863</v>
      </c>
      <c r="N24" s="252">
        <f t="shared" si="1"/>
        <v>5151217.2849816252</v>
      </c>
    </row>
    <row r="25" spans="1:15">
      <c r="A25" s="253"/>
      <c r="C25" s="231"/>
      <c r="D25" s="231"/>
      <c r="E25" s="231"/>
      <c r="F25" s="254"/>
      <c r="G25" s="253"/>
      <c r="H25" s="253"/>
      <c r="I25" s="253"/>
      <c r="J25" s="253"/>
      <c r="K25" s="253"/>
      <c r="L25" s="253"/>
      <c r="M25" s="253"/>
    </row>
    <row r="26" spans="1:15">
      <c r="A26" s="245" t="s">
        <v>339</v>
      </c>
      <c r="B26" s="260">
        <v>8975.0479999999989</v>
      </c>
      <c r="C26" s="260">
        <v>9471.1759999999995</v>
      </c>
      <c r="D26" s="260">
        <v>15847.331999999999</v>
      </c>
      <c r="E26" s="260">
        <v>6129.0439999999999</v>
      </c>
      <c r="F26" s="266">
        <v>24043.932000000001</v>
      </c>
      <c r="G26" s="267">
        <v>16826.756399999998</v>
      </c>
      <c r="H26" s="267">
        <v>8120.6045999999997</v>
      </c>
      <c r="I26" s="268">
        <v>11155.599900000001</v>
      </c>
      <c r="J26" s="268">
        <v>10230.9588</v>
      </c>
      <c r="K26" s="268">
        <v>26273.233799999998</v>
      </c>
      <c r="L26" s="268">
        <v>13934.451600000002</v>
      </c>
      <c r="M26" s="268">
        <v>35701.329600000005</v>
      </c>
      <c r="N26" s="255">
        <f>-SUM(B26:M26)</f>
        <v>-186709.46669999999</v>
      </c>
      <c r="O26" s="259"/>
    </row>
    <row r="27" spans="1:15">
      <c r="A27" s="245" t="s">
        <v>364</v>
      </c>
      <c r="B27" s="255">
        <v>-47811.48</v>
      </c>
      <c r="C27" s="255">
        <v>-56218.387999999999</v>
      </c>
      <c r="D27" s="255">
        <v>-39635.635999999999</v>
      </c>
      <c r="E27" s="255">
        <v>-40365.446000000004</v>
      </c>
      <c r="F27" s="255">
        <v>-66605.228100000008</v>
      </c>
      <c r="G27" s="255">
        <v>-70768.061099999992</v>
      </c>
      <c r="H27" s="255">
        <v>-70422.873299999992</v>
      </c>
      <c r="I27" s="255">
        <v>-63834.2019</v>
      </c>
      <c r="J27" s="255">
        <v>-66433.799700000003</v>
      </c>
      <c r="K27" s="255">
        <v>-91591.217099999994</v>
      </c>
      <c r="L27" s="255">
        <v>-58164.443999999996</v>
      </c>
      <c r="M27" s="255">
        <v>-54612.832500000004</v>
      </c>
      <c r="N27" s="255">
        <f t="shared" si="0"/>
        <v>-726463.60770000005</v>
      </c>
    </row>
    <row r="28" spans="1:15">
      <c r="A28" s="239"/>
      <c r="C28" s="231"/>
      <c r="D28" s="231"/>
      <c r="E28" s="231"/>
      <c r="F28" s="256"/>
      <c r="G28" s="256"/>
      <c r="H28" s="256"/>
      <c r="I28" s="256"/>
      <c r="J28" s="256"/>
      <c r="K28" s="256"/>
      <c r="L28" s="256"/>
      <c r="M28" s="256"/>
      <c r="N28" s="257"/>
    </row>
    <row r="29" spans="1:15">
      <c r="A29" s="239" t="s">
        <v>19</v>
      </c>
      <c r="B29" s="252">
        <f t="shared" ref="B29:J29" si="2">SUM(B24:B28)</f>
        <v>405334.51764705882</v>
      </c>
      <c r="C29" s="252">
        <f t="shared" si="2"/>
        <v>387666.61599999998</v>
      </c>
      <c r="D29" s="252">
        <f t="shared" si="2"/>
        <v>316066.97249999997</v>
      </c>
      <c r="E29" s="252">
        <f t="shared" si="2"/>
        <v>421300.47600000002</v>
      </c>
      <c r="F29" s="255">
        <f t="shared" si="2"/>
        <v>443867.21450000006</v>
      </c>
      <c r="G29" s="255">
        <f t="shared" si="2"/>
        <v>396103.85120000003</v>
      </c>
      <c r="H29" s="255">
        <f t="shared" si="2"/>
        <v>338812.08779999998</v>
      </c>
      <c r="I29" s="255">
        <f t="shared" si="2"/>
        <v>448553.65037500008</v>
      </c>
      <c r="J29" s="255">
        <f t="shared" si="2"/>
        <v>468884.71079090901</v>
      </c>
      <c r="K29" s="255">
        <f t="shared" ref="K29:N29" si="3">+SUM(K24:K28)</f>
        <v>474901.80789850757</v>
      </c>
      <c r="L29" s="255">
        <f t="shared" si="3"/>
        <v>255602.68322388062</v>
      </c>
      <c r="M29" s="255">
        <f t="shared" si="3"/>
        <v>254368.55604626861</v>
      </c>
      <c r="N29" s="255">
        <f t="shared" si="3"/>
        <v>4238044.2105816249</v>
      </c>
    </row>
    <row r="30" spans="1:15">
      <c r="A30" s="240"/>
      <c r="C30" s="231"/>
      <c r="D30" s="231"/>
      <c r="E30" s="231"/>
      <c r="F30" s="252"/>
      <c r="G30" s="252"/>
      <c r="H30" s="252"/>
      <c r="I30" s="252"/>
      <c r="J30" s="252"/>
      <c r="K30" s="252"/>
      <c r="L30" s="252"/>
      <c r="M30" s="252"/>
    </row>
    <row r="31" spans="1:15">
      <c r="A31" s="239" t="s">
        <v>293</v>
      </c>
      <c r="C31" s="231"/>
      <c r="D31" s="231"/>
      <c r="E31" s="231"/>
      <c r="F31" s="258"/>
      <c r="G31" s="258"/>
      <c r="H31" s="258"/>
      <c r="I31" s="258"/>
      <c r="J31" s="258"/>
      <c r="K31" s="258"/>
      <c r="L31" s="258"/>
      <c r="M31" s="258"/>
    </row>
    <row r="32" spans="1:15" ht="15.75">
      <c r="A32" s="259" t="s">
        <v>260</v>
      </c>
      <c r="B32" s="260">
        <v>35945.019999999997</v>
      </c>
      <c r="C32" s="260">
        <v>33765.841999999997</v>
      </c>
      <c r="D32" s="260">
        <v>37515.83</v>
      </c>
      <c r="E32" s="260">
        <v>40087.269999999997</v>
      </c>
      <c r="F32" s="261">
        <v>39171.11320588235</v>
      </c>
      <c r="G32" s="261">
        <v>47312.556749999996</v>
      </c>
      <c r="H32" s="261">
        <v>45823.22465625</v>
      </c>
      <c r="I32" s="261">
        <v>44982.680624999994</v>
      </c>
      <c r="J32" s="261">
        <v>44439.374727272727</v>
      </c>
      <c r="K32" s="261">
        <v>46178.64080597015</v>
      </c>
      <c r="L32" s="261">
        <v>52080.832208955224</v>
      </c>
      <c r="M32" s="261">
        <v>44203.612835820895</v>
      </c>
      <c r="N32" s="261">
        <f t="shared" ref="N32:N91" si="4">+SUM(B32:M32)</f>
        <v>511505.99781515123</v>
      </c>
      <c r="O32" s="259" t="s">
        <v>162</v>
      </c>
    </row>
    <row r="33" spans="1:15" ht="15.75">
      <c r="A33" s="259" t="s">
        <v>110</v>
      </c>
      <c r="B33" s="260">
        <v>5028.72</v>
      </c>
      <c r="C33" s="260">
        <v>5357.0059999999994</v>
      </c>
      <c r="D33" s="260">
        <v>5028.72</v>
      </c>
      <c r="E33" s="260">
        <v>5028.72</v>
      </c>
      <c r="F33" s="261">
        <v>4925.1875294117654</v>
      </c>
      <c r="G33" s="261">
        <v>5233.0117499999997</v>
      </c>
      <c r="H33" s="261">
        <v>19815.55835625</v>
      </c>
      <c r="I33" s="261">
        <v>9991.2591562500002</v>
      </c>
      <c r="J33" s="261">
        <v>9688.4937272727275</v>
      </c>
      <c r="K33" s="261">
        <v>9543.8893432835812</v>
      </c>
      <c r="L33" s="261">
        <v>16000.252388059702</v>
      </c>
      <c r="M33" s="261">
        <v>16000.262328358209</v>
      </c>
      <c r="N33" s="261">
        <f t="shared" si="4"/>
        <v>111641.08057888597</v>
      </c>
      <c r="O33" s="259" t="s">
        <v>356</v>
      </c>
    </row>
    <row r="34" spans="1:15" ht="15.75">
      <c r="A34" s="259" t="s">
        <v>294</v>
      </c>
      <c r="B34" s="260">
        <v>8228.2999999999993</v>
      </c>
      <c r="C34" s="260">
        <v>9829.7060000000001</v>
      </c>
      <c r="D34" s="260">
        <v>8228.2999999999993</v>
      </c>
      <c r="E34" s="260">
        <v>8228.2999999999993</v>
      </c>
      <c r="F34" s="261">
        <v>8058.8938235294117</v>
      </c>
      <c r="G34" s="261">
        <v>8562.5746874999986</v>
      </c>
      <c r="H34" s="261">
        <v>8562.5746874999986</v>
      </c>
      <c r="I34" s="261">
        <v>8562.5746874999986</v>
      </c>
      <c r="J34" s="261">
        <v>8303.1027272727279</v>
      </c>
      <c r="K34" s="261">
        <v>8179.1758208955216</v>
      </c>
      <c r="L34" s="261">
        <v>8179.1758208955216</v>
      </c>
      <c r="M34" s="261">
        <v>-30636.924447761197</v>
      </c>
      <c r="N34" s="261">
        <f t="shared" si="4"/>
        <v>62285.753807331974</v>
      </c>
      <c r="O34" s="259" t="s">
        <v>356</v>
      </c>
    </row>
    <row r="35" spans="1:15" ht="15.75">
      <c r="A35" s="259" t="s">
        <v>295</v>
      </c>
      <c r="B35" s="260">
        <v>974.99999999999989</v>
      </c>
      <c r="C35" s="260">
        <v>900.0139999999999</v>
      </c>
      <c r="D35" s="260">
        <v>825</v>
      </c>
      <c r="E35" s="260">
        <v>825</v>
      </c>
      <c r="F35" s="261">
        <v>1165.5</v>
      </c>
      <c r="G35" s="261">
        <v>1238.34375</v>
      </c>
      <c r="H35" s="261">
        <v>1238.34375</v>
      </c>
      <c r="I35" s="261">
        <v>1238.34375</v>
      </c>
      <c r="J35" s="261">
        <v>1286.5909090909092</v>
      </c>
      <c r="K35" s="261">
        <v>1267.3880597014925</v>
      </c>
      <c r="L35" s="261">
        <v>1351.8805970149253</v>
      </c>
      <c r="M35" s="261">
        <v>1436.3731343283582</v>
      </c>
      <c r="N35" s="261">
        <f t="shared" si="4"/>
        <v>13747.777950135685</v>
      </c>
      <c r="O35" s="259" t="s">
        <v>356</v>
      </c>
    </row>
    <row r="36" spans="1:15" ht="15.75">
      <c r="A36" s="259" t="s">
        <v>261</v>
      </c>
      <c r="B36" s="260">
        <v>11969.61</v>
      </c>
      <c r="C36" s="260">
        <v>10174.874</v>
      </c>
      <c r="D36" s="260">
        <v>9301.5400000000009</v>
      </c>
      <c r="E36" s="260">
        <v>9395.57</v>
      </c>
      <c r="F36" s="261">
        <v>10812.412058823531</v>
      </c>
      <c r="G36" s="261">
        <v>14897.067187500001</v>
      </c>
      <c r="H36" s="261">
        <v>14458.547812500001</v>
      </c>
      <c r="I36" s="261">
        <v>13450.910624999999</v>
      </c>
      <c r="J36" s="261">
        <v>17882.029363636364</v>
      </c>
      <c r="K36" s="261">
        <v>15052.902179104476</v>
      </c>
      <c r="L36" s="261">
        <v>11781.818328358209</v>
      </c>
      <c r="M36" s="261">
        <v>8722.7809253731339</v>
      </c>
      <c r="N36" s="261">
        <f t="shared" si="4"/>
        <v>147900.06248029575</v>
      </c>
      <c r="O36" s="259" t="s">
        <v>357</v>
      </c>
    </row>
    <row r="37" spans="1:15" ht="15.75">
      <c r="A37" s="259" t="s">
        <v>296</v>
      </c>
      <c r="B37" s="260">
        <v>0</v>
      </c>
      <c r="C37" s="260">
        <v>0</v>
      </c>
      <c r="D37" s="260">
        <v>0</v>
      </c>
      <c r="E37" s="260">
        <v>0</v>
      </c>
      <c r="F37" s="261">
        <v>1314.5762647058825</v>
      </c>
      <c r="G37" s="262">
        <v>0</v>
      </c>
      <c r="H37" s="263">
        <v>0</v>
      </c>
      <c r="I37" s="262">
        <v>0</v>
      </c>
      <c r="J37" s="262">
        <v>0</v>
      </c>
      <c r="K37" s="262">
        <v>0</v>
      </c>
      <c r="L37" s="262">
        <v>0</v>
      </c>
      <c r="M37" s="261">
        <v>388.49668656716415</v>
      </c>
      <c r="N37" s="261">
        <f t="shared" si="4"/>
        <v>1703.0729512730468</v>
      </c>
      <c r="O37" s="259" t="s">
        <v>356</v>
      </c>
    </row>
    <row r="38" spans="1:15" ht="15.75">
      <c r="A38" s="259" t="s">
        <v>262</v>
      </c>
      <c r="B38" s="260">
        <v>0</v>
      </c>
      <c r="C38" s="260">
        <v>0</v>
      </c>
      <c r="D38" s="260">
        <v>1710</v>
      </c>
      <c r="E38" s="260">
        <v>0</v>
      </c>
      <c r="F38" s="261">
        <v>7383.1976470588233</v>
      </c>
      <c r="G38" s="264">
        <v>0</v>
      </c>
      <c r="H38" s="261">
        <v>6158.8349999999991</v>
      </c>
      <c r="I38" s="262">
        <v>0</v>
      </c>
      <c r="J38" s="262">
        <v>0</v>
      </c>
      <c r="K38" s="262">
        <v>0</v>
      </c>
      <c r="L38" s="262">
        <v>0</v>
      </c>
      <c r="M38" s="262">
        <v>0</v>
      </c>
      <c r="N38" s="262">
        <f t="shared" si="4"/>
        <v>15252.032647058822</v>
      </c>
      <c r="O38" s="259" t="s">
        <v>160</v>
      </c>
    </row>
    <row r="39" spans="1:15" ht="15.75">
      <c r="A39" s="259" t="s">
        <v>297</v>
      </c>
      <c r="B39" s="260">
        <v>3010.27</v>
      </c>
      <c r="C39" s="260">
        <v>317.35599999999999</v>
      </c>
      <c r="D39" s="260">
        <v>98.85</v>
      </c>
      <c r="E39" s="260">
        <v>614.49</v>
      </c>
      <c r="F39" s="261">
        <v>332.22626470588233</v>
      </c>
      <c r="G39" s="261">
        <v>267.65915624999997</v>
      </c>
      <c r="H39" s="261">
        <v>228.46921875000001</v>
      </c>
      <c r="I39" s="261">
        <v>325.97578125000001</v>
      </c>
      <c r="J39" s="261">
        <v>450.74072727272733</v>
      </c>
      <c r="K39" s="261">
        <v>414.30170149253735</v>
      </c>
      <c r="L39" s="261">
        <v>600.16540298507459</v>
      </c>
      <c r="M39" s="261">
        <v>1294.1374029850747</v>
      </c>
      <c r="N39" s="261">
        <f t="shared" si="4"/>
        <v>7954.6416556912964</v>
      </c>
      <c r="O39" s="259" t="s">
        <v>358</v>
      </c>
    </row>
    <row r="40" spans="1:15" ht="15.75">
      <c r="A40" s="259" t="s">
        <v>298</v>
      </c>
      <c r="B40" s="260">
        <v>5470.59</v>
      </c>
      <c r="C40" s="260">
        <v>5545.91</v>
      </c>
      <c r="D40" s="260">
        <v>4579.37</v>
      </c>
      <c r="E40" s="260">
        <v>4878.78</v>
      </c>
      <c r="F40" s="261">
        <v>5197.4444117647063</v>
      </c>
      <c r="G40" s="261">
        <v>5710.2839999999997</v>
      </c>
      <c r="H40" s="261">
        <v>5758.32965625</v>
      </c>
      <c r="I40" s="261">
        <v>5672.113875</v>
      </c>
      <c r="J40" s="261">
        <v>6065.6454545454544</v>
      </c>
      <c r="K40" s="261">
        <v>5726.4369850746261</v>
      </c>
      <c r="L40" s="261">
        <v>6084.0988656716427</v>
      </c>
      <c r="M40" s="261">
        <v>6144.1382686567167</v>
      </c>
      <c r="N40" s="261">
        <f t="shared" si="4"/>
        <v>66833.141516963151</v>
      </c>
      <c r="O40" s="259" t="s">
        <v>165</v>
      </c>
    </row>
    <row r="41" spans="1:15" ht="15.75">
      <c r="A41" s="259" t="s">
        <v>299</v>
      </c>
      <c r="B41" s="260">
        <v>5338.14</v>
      </c>
      <c r="C41" s="260">
        <v>5883.53</v>
      </c>
      <c r="D41" s="260">
        <v>5338.14</v>
      </c>
      <c r="E41" s="260">
        <v>5338.14</v>
      </c>
      <c r="F41" s="263">
        <v>0</v>
      </c>
      <c r="G41" s="263">
        <v>11109.99555</v>
      </c>
      <c r="H41" s="261">
        <v>5555.0019375000002</v>
      </c>
      <c r="I41" s="261">
        <v>5555.0019375000002</v>
      </c>
      <c r="J41" s="261">
        <v>5386.6685454545459</v>
      </c>
      <c r="K41" s="261">
        <v>8274.761731343282</v>
      </c>
      <c r="L41" s="261">
        <v>5801.0190447761197</v>
      </c>
      <c r="M41" s="261">
        <v>5801.0190447761197</v>
      </c>
      <c r="N41" s="261">
        <f t="shared" si="4"/>
        <v>69381.417791350061</v>
      </c>
      <c r="O41" s="259" t="s">
        <v>356</v>
      </c>
    </row>
    <row r="42" spans="1:15" ht="15.75">
      <c r="A42" s="259" t="s">
        <v>300</v>
      </c>
      <c r="B42" s="260">
        <v>1305</v>
      </c>
      <c r="C42" s="260">
        <v>245.75200000000001</v>
      </c>
      <c r="D42" s="260">
        <v>152.54</v>
      </c>
      <c r="E42" s="260">
        <v>84.75</v>
      </c>
      <c r="F42" s="264">
        <v>0</v>
      </c>
      <c r="G42" s="263">
        <v>0</v>
      </c>
      <c r="H42" s="261">
        <v>1606.7250000000001</v>
      </c>
      <c r="I42" s="262">
        <v>0</v>
      </c>
      <c r="J42" s="262">
        <v>0</v>
      </c>
      <c r="K42" s="262">
        <v>0</v>
      </c>
      <c r="L42" s="262">
        <v>0</v>
      </c>
      <c r="M42" s="262">
        <v>0</v>
      </c>
      <c r="N42" s="262">
        <f t="shared" si="4"/>
        <v>3394.7669999999998</v>
      </c>
      <c r="O42" s="259" t="s">
        <v>163</v>
      </c>
    </row>
    <row r="43" spans="1:15" ht="15.75">
      <c r="A43" s="245" t="s">
        <v>301</v>
      </c>
      <c r="B43" s="260">
        <v>1268.3399999999999</v>
      </c>
      <c r="C43" s="260">
        <v>273.904</v>
      </c>
      <c r="D43" s="260">
        <v>0</v>
      </c>
      <c r="E43" s="260">
        <v>153.16999999999999</v>
      </c>
      <c r="F43" s="261">
        <v>132.63194117647058</v>
      </c>
      <c r="G43" s="261">
        <v>321.012</v>
      </c>
      <c r="H43" s="263">
        <v>171.02879999999999</v>
      </c>
      <c r="I43" s="262">
        <v>190.70910000000001</v>
      </c>
      <c r="J43" s="261">
        <v>319.88181818181818</v>
      </c>
      <c r="K43" s="261">
        <v>331.6580597014925</v>
      </c>
      <c r="L43" s="262">
        <v>0</v>
      </c>
      <c r="M43" s="261">
        <v>509.28125373134327</v>
      </c>
      <c r="N43" s="261">
        <f t="shared" si="4"/>
        <v>3671.6169727911251</v>
      </c>
      <c r="O43" s="259" t="s">
        <v>155</v>
      </c>
    </row>
    <row r="44" spans="1:15" ht="15.75">
      <c r="A44" s="245" t="s">
        <v>302</v>
      </c>
      <c r="B44" s="260">
        <v>154.78</v>
      </c>
      <c r="C44" s="260">
        <v>90.031999999999996</v>
      </c>
      <c r="D44" s="260">
        <v>50.6</v>
      </c>
      <c r="E44" s="260">
        <v>0</v>
      </c>
      <c r="F44" s="263">
        <v>0</v>
      </c>
      <c r="G44" s="261">
        <v>72.115312499999987</v>
      </c>
      <c r="H44" s="263">
        <v>28.604700000000001</v>
      </c>
      <c r="I44" s="262">
        <v>0</v>
      </c>
      <c r="J44" s="262">
        <v>0</v>
      </c>
      <c r="K44" s="262">
        <v>0</v>
      </c>
      <c r="L44" s="262">
        <v>0</v>
      </c>
      <c r="M44" s="262">
        <v>0</v>
      </c>
      <c r="N44" s="262">
        <f t="shared" si="4"/>
        <v>396.13201249999997</v>
      </c>
      <c r="O44" s="259" t="s">
        <v>359</v>
      </c>
    </row>
    <row r="45" spans="1:15">
      <c r="A45" s="245" t="s">
        <v>303</v>
      </c>
      <c r="B45" s="260">
        <v>0</v>
      </c>
      <c r="C45" s="260">
        <v>0</v>
      </c>
      <c r="D45" s="260">
        <v>0</v>
      </c>
      <c r="E45" s="260">
        <v>0</v>
      </c>
      <c r="F45" s="264">
        <v>0</v>
      </c>
      <c r="G45" s="264">
        <v>0</v>
      </c>
      <c r="H45" s="263">
        <v>0</v>
      </c>
      <c r="I45" s="262">
        <v>0</v>
      </c>
      <c r="J45" s="262">
        <v>0</v>
      </c>
      <c r="K45" s="262">
        <v>0</v>
      </c>
      <c r="L45" s="262">
        <v>0</v>
      </c>
      <c r="M45" s="262">
        <v>0</v>
      </c>
      <c r="N45" s="262">
        <f t="shared" si="4"/>
        <v>0</v>
      </c>
      <c r="O45" s="259" t="s">
        <v>169</v>
      </c>
    </row>
    <row r="46" spans="1:15" ht="15.75">
      <c r="A46" s="246" t="s">
        <v>304</v>
      </c>
      <c r="B46" s="260">
        <v>0</v>
      </c>
      <c r="C46" s="260">
        <v>1624.248</v>
      </c>
      <c r="D46" s="260">
        <v>0</v>
      </c>
      <c r="E46" s="260">
        <v>0</v>
      </c>
      <c r="F46" s="261">
        <v>6250.6646470588239</v>
      </c>
      <c r="G46" s="261">
        <v>607.98515625000005</v>
      </c>
      <c r="H46" s="263">
        <v>26448.125400000001</v>
      </c>
      <c r="I46" s="261">
        <v>12154.864218750001</v>
      </c>
      <c r="J46" s="262">
        <v>0</v>
      </c>
      <c r="K46" s="261">
        <v>7264.5291940298503</v>
      </c>
      <c r="L46" s="261">
        <v>4251.6545373134322</v>
      </c>
      <c r="M46" s="262">
        <v>0</v>
      </c>
      <c r="N46" s="262">
        <f t="shared" si="4"/>
        <v>58602.07115340211</v>
      </c>
      <c r="O46" s="259" t="s">
        <v>169</v>
      </c>
    </row>
    <row r="47" spans="1:15" ht="15.75">
      <c r="A47" s="246" t="s">
        <v>305</v>
      </c>
      <c r="B47" s="260">
        <v>512.5</v>
      </c>
      <c r="C47" s="260">
        <v>1307.5039999999999</v>
      </c>
      <c r="D47" s="260">
        <v>774.3</v>
      </c>
      <c r="E47" s="260">
        <v>1435.26</v>
      </c>
      <c r="F47" s="261">
        <v>1317.5047058823532</v>
      </c>
      <c r="G47" s="261">
        <v>1859.7009374999996</v>
      </c>
      <c r="H47" s="263">
        <v>1377.4878000000001</v>
      </c>
      <c r="I47" s="261">
        <v>2288.5424999999996</v>
      </c>
      <c r="J47" s="261">
        <v>1630.7918181818184</v>
      </c>
      <c r="K47" s="261">
        <v>2133.088656716418</v>
      </c>
      <c r="L47" s="261">
        <v>114.31343283582089</v>
      </c>
      <c r="M47" s="261">
        <v>605.05602985074631</v>
      </c>
      <c r="N47" s="261">
        <f t="shared" si="4"/>
        <v>15356.049880967157</v>
      </c>
      <c r="O47" s="259" t="s">
        <v>360</v>
      </c>
    </row>
    <row r="48" spans="1:15" ht="15.75">
      <c r="A48" s="245" t="s">
        <v>306</v>
      </c>
      <c r="B48" s="260">
        <v>105.08</v>
      </c>
      <c r="C48" s="260">
        <v>6393.0540000000001</v>
      </c>
      <c r="D48" s="260">
        <v>6193.09</v>
      </c>
      <c r="E48" s="260">
        <v>4437.3599999999997</v>
      </c>
      <c r="F48" s="261">
        <v>1772.9801470588238</v>
      </c>
      <c r="G48" s="261">
        <v>8123.0355</v>
      </c>
      <c r="H48" s="263">
        <v>8238.0870000000014</v>
      </c>
      <c r="I48" s="261">
        <v>5875.7017500000002</v>
      </c>
      <c r="J48" s="261">
        <v>1845.2841818181821</v>
      </c>
      <c r="K48" s="261">
        <v>9281.0280895522392</v>
      </c>
      <c r="L48" s="261">
        <v>7614.1195522388061</v>
      </c>
      <c r="M48" s="261">
        <v>3497.4741492537314</v>
      </c>
      <c r="N48" s="261">
        <f t="shared" si="4"/>
        <v>63376.294369921779</v>
      </c>
      <c r="O48" s="259" t="s">
        <v>360</v>
      </c>
    </row>
    <row r="49" spans="1:15" ht="15.75">
      <c r="A49" s="245" t="s">
        <v>307</v>
      </c>
      <c r="B49" s="260">
        <v>0</v>
      </c>
      <c r="C49" s="260">
        <v>0</v>
      </c>
      <c r="D49" s="260">
        <v>0</v>
      </c>
      <c r="E49" s="260">
        <v>0</v>
      </c>
      <c r="F49" s="264">
        <v>0</v>
      </c>
      <c r="G49" s="264">
        <v>0</v>
      </c>
      <c r="H49" s="263">
        <v>0</v>
      </c>
      <c r="I49" s="262">
        <v>0</v>
      </c>
      <c r="J49" s="262">
        <v>0</v>
      </c>
      <c r="K49" s="262">
        <v>0</v>
      </c>
      <c r="L49" s="261">
        <v>1469.5737313432835</v>
      </c>
      <c r="M49" s="261">
        <v>6826.3608358208949</v>
      </c>
      <c r="N49" s="261">
        <f t="shared" si="4"/>
        <v>8295.9345671641786</v>
      </c>
      <c r="O49" s="259" t="s">
        <v>169</v>
      </c>
    </row>
    <row r="50" spans="1:15">
      <c r="A50" s="245" t="s">
        <v>308</v>
      </c>
      <c r="B50" s="260">
        <v>0</v>
      </c>
      <c r="C50" s="260">
        <v>0</v>
      </c>
      <c r="D50" s="260">
        <v>0</v>
      </c>
      <c r="E50" s="260">
        <v>0</v>
      </c>
      <c r="F50" s="264">
        <v>0</v>
      </c>
      <c r="G50" s="264">
        <v>0</v>
      </c>
      <c r="H50" s="263">
        <v>0</v>
      </c>
      <c r="I50" s="262">
        <v>0</v>
      </c>
      <c r="J50" s="262">
        <v>0</v>
      </c>
      <c r="K50" s="262">
        <v>0</v>
      </c>
      <c r="L50" s="262">
        <v>0</v>
      </c>
      <c r="M50" s="262">
        <v>0</v>
      </c>
      <c r="N50" s="262">
        <f t="shared" si="4"/>
        <v>0</v>
      </c>
      <c r="O50" s="259" t="s">
        <v>361</v>
      </c>
    </row>
    <row r="51" spans="1:15" ht="15.75">
      <c r="A51" s="245" t="s">
        <v>309</v>
      </c>
      <c r="B51" s="260">
        <v>5900</v>
      </c>
      <c r="C51" s="260">
        <v>5899.9859999999999</v>
      </c>
      <c r="D51" s="260">
        <v>5900</v>
      </c>
      <c r="E51" s="260">
        <v>10900</v>
      </c>
      <c r="F51" s="261">
        <v>5778.5294117647063</v>
      </c>
      <c r="G51" s="261">
        <v>6139.6875</v>
      </c>
      <c r="H51" s="263">
        <v>6139.6875</v>
      </c>
      <c r="I51" s="261">
        <v>6139.6875</v>
      </c>
      <c r="J51" s="261">
        <v>5953.636363636364</v>
      </c>
      <c r="K51" s="261">
        <v>5864.7761194029845</v>
      </c>
      <c r="L51" s="261">
        <v>5864.7761194029845</v>
      </c>
      <c r="M51" s="261">
        <v>5864.7761194029845</v>
      </c>
      <c r="N51" s="261">
        <f t="shared" si="4"/>
        <v>76345.542633610035</v>
      </c>
      <c r="O51" s="259" t="s">
        <v>362</v>
      </c>
    </row>
    <row r="52" spans="1:15" ht="15.75">
      <c r="A52" s="245" t="s">
        <v>310</v>
      </c>
      <c r="B52" s="260">
        <v>0</v>
      </c>
      <c r="C52" s="260">
        <v>101.694</v>
      </c>
      <c r="D52" s="260">
        <v>0</v>
      </c>
      <c r="E52" s="260">
        <v>50.84</v>
      </c>
      <c r="F52" s="261">
        <v>539.07802941176465</v>
      </c>
      <c r="G52" s="264">
        <v>0</v>
      </c>
      <c r="H52" s="263">
        <v>0</v>
      </c>
      <c r="I52" s="262">
        <v>0</v>
      </c>
      <c r="J52" s="262">
        <v>0</v>
      </c>
      <c r="K52" s="262">
        <v>0</v>
      </c>
      <c r="L52" s="262">
        <v>0</v>
      </c>
      <c r="M52" s="262">
        <v>0</v>
      </c>
      <c r="N52" s="262">
        <f t="shared" si="4"/>
        <v>691.61202941176464</v>
      </c>
      <c r="O52" s="259" t="s">
        <v>362</v>
      </c>
    </row>
    <row r="53" spans="1:15" ht="15.75">
      <c r="A53" s="245" t="s">
        <v>311</v>
      </c>
      <c r="B53" s="260">
        <v>120</v>
      </c>
      <c r="C53" s="260">
        <v>119.98599999999999</v>
      </c>
      <c r="D53" s="260">
        <v>0</v>
      </c>
      <c r="E53" s="260">
        <v>240</v>
      </c>
      <c r="F53" s="261">
        <v>117.5294117647059</v>
      </c>
      <c r="G53" s="261">
        <v>124.875</v>
      </c>
      <c r="H53" s="263">
        <v>124.875</v>
      </c>
      <c r="I53" s="261">
        <v>124.875</v>
      </c>
      <c r="J53" s="261">
        <v>121.09090909090911</v>
      </c>
      <c r="K53" s="262">
        <v>0</v>
      </c>
      <c r="L53" s="261">
        <v>9069.528358208956</v>
      </c>
      <c r="M53" s="262">
        <v>0</v>
      </c>
      <c r="N53" s="262">
        <f t="shared" si="4"/>
        <v>10162.759679064571</v>
      </c>
      <c r="O53" s="259" t="s">
        <v>362</v>
      </c>
    </row>
    <row r="54" spans="1:15">
      <c r="A54" s="245" t="s">
        <v>312</v>
      </c>
      <c r="B54" s="260">
        <v>7140</v>
      </c>
      <c r="C54" s="260">
        <v>7140</v>
      </c>
      <c r="D54" s="260">
        <v>7140</v>
      </c>
      <c r="E54" s="260">
        <v>7140</v>
      </c>
      <c r="F54" s="264">
        <v>6993</v>
      </c>
      <c r="G54" s="264">
        <v>7430.0625</v>
      </c>
      <c r="H54" s="263">
        <v>6993</v>
      </c>
      <c r="I54" s="262">
        <v>6993</v>
      </c>
      <c r="J54" s="262">
        <v>6993</v>
      </c>
      <c r="K54" s="262">
        <v>20646</v>
      </c>
      <c r="L54" s="262">
        <v>24475.5</v>
      </c>
      <c r="M54" s="262">
        <v>31801.5</v>
      </c>
      <c r="N54" s="262">
        <f t="shared" si="4"/>
        <v>140885.0625</v>
      </c>
      <c r="O54" s="259" t="s">
        <v>164</v>
      </c>
    </row>
    <row r="55" spans="1:15">
      <c r="A55" s="245" t="s">
        <v>313</v>
      </c>
      <c r="B55" s="260">
        <v>2499</v>
      </c>
      <c r="C55" s="260">
        <v>2499</v>
      </c>
      <c r="D55" s="260">
        <v>2499</v>
      </c>
      <c r="E55" s="260">
        <v>2499</v>
      </c>
      <c r="F55" s="264">
        <v>2447.5500000000002</v>
      </c>
      <c r="G55" s="264">
        <v>2600.5218749999999</v>
      </c>
      <c r="H55" s="263">
        <v>2447.5500000000002</v>
      </c>
      <c r="I55" s="262">
        <v>2447.5500000000002</v>
      </c>
      <c r="J55" s="262">
        <v>2447.5500000000002</v>
      </c>
      <c r="K55" s="262">
        <v>2747.25</v>
      </c>
      <c r="L55" s="262">
        <v>2497.5</v>
      </c>
      <c r="M55" s="262">
        <v>2497.5</v>
      </c>
      <c r="N55" s="262">
        <f t="shared" si="4"/>
        <v>30128.971874999999</v>
      </c>
      <c r="O55" s="259" t="s">
        <v>164</v>
      </c>
    </row>
    <row r="56" spans="1:15">
      <c r="A56" s="245" t="s">
        <v>314</v>
      </c>
      <c r="B56" s="260">
        <v>1360</v>
      </c>
      <c r="C56" s="260">
        <v>1360</v>
      </c>
      <c r="D56" s="260">
        <v>1360</v>
      </c>
      <c r="E56" s="260">
        <v>1360</v>
      </c>
      <c r="F56" s="264">
        <v>1332</v>
      </c>
      <c r="G56" s="264">
        <v>141.52500000000001</v>
      </c>
      <c r="H56" s="263">
        <v>1332</v>
      </c>
      <c r="I56" s="262">
        <v>1332</v>
      </c>
      <c r="J56" s="262">
        <v>1332</v>
      </c>
      <c r="K56" s="262">
        <v>1332</v>
      </c>
      <c r="L56" s="262">
        <v>1332</v>
      </c>
      <c r="M56" s="262">
        <v>1332</v>
      </c>
      <c r="N56" s="262">
        <f t="shared" si="4"/>
        <v>14905.525</v>
      </c>
      <c r="O56" s="259" t="s">
        <v>164</v>
      </c>
    </row>
    <row r="57" spans="1:15" ht="15.75">
      <c r="A57" s="245" t="s">
        <v>315</v>
      </c>
      <c r="B57" s="260">
        <v>587.61</v>
      </c>
      <c r="C57" s="260">
        <v>793.66200000000003</v>
      </c>
      <c r="D57" s="260">
        <v>1115.83</v>
      </c>
      <c r="E57" s="260">
        <v>1120.72</v>
      </c>
      <c r="F57" s="261">
        <v>1092.6807352941178</v>
      </c>
      <c r="G57" s="261">
        <v>952.88990625000019</v>
      </c>
      <c r="H57" s="263">
        <v>685.28070000000002</v>
      </c>
      <c r="I57" s="262">
        <v>609.35670000000005</v>
      </c>
      <c r="J57" s="261">
        <v>587.31109090909092</v>
      </c>
      <c r="K57" s="261">
        <v>711.10907462686566</v>
      </c>
      <c r="L57" s="261">
        <v>749.83647761194038</v>
      </c>
      <c r="M57" s="261">
        <v>708.98185074626861</v>
      </c>
      <c r="N57" s="261">
        <f t="shared" si="4"/>
        <v>9715.2685354382829</v>
      </c>
      <c r="O57" s="259" t="s">
        <v>168</v>
      </c>
    </row>
    <row r="58" spans="1:15" ht="15.75">
      <c r="A58" s="245" t="s">
        <v>316</v>
      </c>
      <c r="B58" s="260">
        <v>0</v>
      </c>
      <c r="C58" s="260">
        <v>301.036</v>
      </c>
      <c r="D58" s="260">
        <v>322.19</v>
      </c>
      <c r="E58" s="260">
        <v>0</v>
      </c>
      <c r="F58" s="263">
        <v>0</v>
      </c>
      <c r="G58" s="261">
        <v>305.92293750000005</v>
      </c>
      <c r="H58" s="263">
        <v>357.27570000000003</v>
      </c>
      <c r="I58" s="262">
        <v>1194.3378</v>
      </c>
      <c r="J58" s="262">
        <v>0</v>
      </c>
      <c r="K58" s="261">
        <v>215.12794029850744</v>
      </c>
      <c r="L58" s="261">
        <v>556.74617910447762</v>
      </c>
      <c r="M58" s="261">
        <v>145.46632835820895</v>
      </c>
      <c r="N58" s="261">
        <f t="shared" si="4"/>
        <v>3398.1028852611944</v>
      </c>
      <c r="O58" s="259" t="s">
        <v>168</v>
      </c>
    </row>
    <row r="59" spans="1:15" ht="15.75">
      <c r="A59" s="245" t="s">
        <v>317</v>
      </c>
      <c r="B59" s="260">
        <v>367.50600000000003</v>
      </c>
      <c r="C59" s="260">
        <v>373.45600000000002</v>
      </c>
      <c r="D59" s="260">
        <v>367.71</v>
      </c>
      <c r="E59" s="260">
        <v>390.37</v>
      </c>
      <c r="F59" s="261">
        <v>392.87144117647063</v>
      </c>
      <c r="G59" s="261">
        <v>435.36628124999999</v>
      </c>
      <c r="H59" s="263">
        <v>424.37520000000001</v>
      </c>
      <c r="I59" s="262">
        <v>426.9726</v>
      </c>
      <c r="J59" s="261">
        <v>459.31800000000004</v>
      </c>
      <c r="K59" s="261">
        <v>403.30773134328359</v>
      </c>
      <c r="L59" s="261">
        <v>399.08310447761198</v>
      </c>
      <c r="M59" s="262">
        <v>383.18309999999997</v>
      </c>
      <c r="N59" s="262">
        <f t="shared" si="4"/>
        <v>4823.5194582473669</v>
      </c>
      <c r="O59" s="259" t="s">
        <v>168</v>
      </c>
    </row>
    <row r="60" spans="1:15" ht="15.75">
      <c r="A60" s="245" t="s">
        <v>318</v>
      </c>
      <c r="B60" s="260">
        <v>411.97800000000001</v>
      </c>
      <c r="C60" s="260">
        <v>497.964</v>
      </c>
      <c r="D60" s="260">
        <v>429.82</v>
      </c>
      <c r="E60" s="260">
        <v>460.38</v>
      </c>
      <c r="F60" s="261">
        <v>454.77026470588237</v>
      </c>
      <c r="G60" s="261">
        <v>515.34871874999999</v>
      </c>
      <c r="H60" s="263">
        <v>614.28510000000006</v>
      </c>
      <c r="I60" s="262">
        <v>700.63200000000006</v>
      </c>
      <c r="J60" s="261">
        <v>605.26281818181815</v>
      </c>
      <c r="K60" s="261">
        <v>560.19546268656711</v>
      </c>
      <c r="L60" s="261">
        <v>632.82922388059694</v>
      </c>
      <c r="M60" s="261">
        <v>499.75844776119408</v>
      </c>
      <c r="N60" s="261">
        <f t="shared" si="4"/>
        <v>6383.2240359660591</v>
      </c>
      <c r="O60" s="259" t="s">
        <v>168</v>
      </c>
    </row>
    <row r="61" spans="1:15" ht="15.75">
      <c r="A61" s="245" t="s">
        <v>319</v>
      </c>
      <c r="B61" s="260">
        <v>549.98399999999992</v>
      </c>
      <c r="C61" s="260">
        <v>1083.0360000000001</v>
      </c>
      <c r="D61" s="260">
        <v>549.99</v>
      </c>
      <c r="E61" s="260">
        <v>338.13</v>
      </c>
      <c r="F61" s="261">
        <v>2095.4612647058825</v>
      </c>
      <c r="G61" s="261">
        <v>351.86653124999998</v>
      </c>
      <c r="H61" s="263">
        <v>509.72309999999999</v>
      </c>
      <c r="I61" s="262">
        <v>506.72609999999997</v>
      </c>
      <c r="J61" s="261">
        <v>498.21845454545456</v>
      </c>
      <c r="K61" s="261">
        <v>495.57060000000001</v>
      </c>
      <c r="L61" s="261">
        <v>494.48014925373133</v>
      </c>
      <c r="M61" s="262">
        <v>618.8139000000001</v>
      </c>
      <c r="N61" s="262">
        <f t="shared" si="4"/>
        <v>8092.0000997550696</v>
      </c>
      <c r="O61" s="259" t="s">
        <v>168</v>
      </c>
    </row>
    <row r="62" spans="1:15" ht="15.75">
      <c r="A62" s="245" t="s">
        <v>320</v>
      </c>
      <c r="B62" s="260">
        <v>3716.6599999999994</v>
      </c>
      <c r="C62" s="260">
        <v>3716.6760000000004</v>
      </c>
      <c r="D62" s="260">
        <v>3716.6599999999994</v>
      </c>
      <c r="E62" s="260">
        <v>3716.6599999999994</v>
      </c>
      <c r="F62" s="264">
        <v>3640.1562000000004</v>
      </c>
      <c r="G62" s="261">
        <v>3867.6493124999993</v>
      </c>
      <c r="H62" s="263">
        <v>3877.6518000000001</v>
      </c>
      <c r="I62" s="262">
        <v>3867.6618000000003</v>
      </c>
      <c r="J62" s="262">
        <v>3750.4458</v>
      </c>
      <c r="K62" s="261">
        <v>3694.4709850746262</v>
      </c>
      <c r="L62" s="261">
        <v>3694.4709850746262</v>
      </c>
      <c r="M62" s="262">
        <v>0</v>
      </c>
      <c r="N62" s="262">
        <f t="shared" si="4"/>
        <v>41259.16288264926</v>
      </c>
      <c r="O62" s="259" t="s">
        <v>154</v>
      </c>
    </row>
    <row r="63" spans="1:15" ht="15.75">
      <c r="A63" s="245" t="s">
        <v>321</v>
      </c>
      <c r="B63" s="260">
        <v>771.19</v>
      </c>
      <c r="C63" s="260">
        <v>4189.4120000000003</v>
      </c>
      <c r="D63" s="260">
        <v>1422.66</v>
      </c>
      <c r="E63" s="260">
        <v>2754.49</v>
      </c>
      <c r="F63" s="261">
        <v>6598.2382941176475</v>
      </c>
      <c r="G63" s="261">
        <v>10537.71215625</v>
      </c>
      <c r="H63" s="263">
        <v>3568.5279000000005</v>
      </c>
      <c r="I63" s="261">
        <v>6710.8449374999991</v>
      </c>
      <c r="J63" s="261">
        <v>16796.984181818181</v>
      </c>
      <c r="K63" s="261">
        <v>3480.1581492537312</v>
      </c>
      <c r="L63" s="261">
        <v>7380.1448059701488</v>
      </c>
      <c r="M63" s="261">
        <v>894.62686567164178</v>
      </c>
      <c r="N63" s="261">
        <f t="shared" si="4"/>
        <v>65104.989290581354</v>
      </c>
      <c r="O63" s="259" t="s">
        <v>154</v>
      </c>
    </row>
    <row r="64" spans="1:15" ht="15.75">
      <c r="A64" s="245" t="s">
        <v>322</v>
      </c>
      <c r="B64" s="260">
        <v>0</v>
      </c>
      <c r="C64" s="260">
        <v>0</v>
      </c>
      <c r="D64" s="260">
        <v>0</v>
      </c>
      <c r="E64" s="260">
        <v>1360.67</v>
      </c>
      <c r="F64" s="261">
        <v>595.11017647058827</v>
      </c>
      <c r="G64" s="261">
        <v>2109.4405312500003</v>
      </c>
      <c r="H64" s="263">
        <v>1136.9952000000001</v>
      </c>
      <c r="I64" s="262">
        <v>0</v>
      </c>
      <c r="J64" s="262">
        <v>0</v>
      </c>
      <c r="K64" s="261">
        <v>370.97194029850743</v>
      </c>
      <c r="L64" s="261">
        <v>10749.408985074626</v>
      </c>
      <c r="M64" s="261">
        <v>397.66164179104476</v>
      </c>
      <c r="N64" s="261">
        <f t="shared" si="4"/>
        <v>16720.258474884766</v>
      </c>
      <c r="O64" s="259" t="s">
        <v>155</v>
      </c>
    </row>
    <row r="65" spans="1:15" ht="15.75">
      <c r="A65" s="245" t="s">
        <v>323</v>
      </c>
      <c r="B65" s="260">
        <v>8837.9699999999993</v>
      </c>
      <c r="C65" s="260">
        <v>1900.2939999999999</v>
      </c>
      <c r="D65" s="260">
        <v>9333.91</v>
      </c>
      <c r="E65" s="260">
        <v>0</v>
      </c>
      <c r="F65" s="261">
        <v>7793.9139705882362</v>
      </c>
      <c r="G65" s="261">
        <v>8481.4059374999997</v>
      </c>
      <c r="H65" s="263">
        <v>9052.2054000000007</v>
      </c>
      <c r="I65" s="261">
        <v>9223.3611562500009</v>
      </c>
      <c r="J65" s="261">
        <v>20212.444090909092</v>
      </c>
      <c r="K65" s="261">
        <v>9967.7138507462678</v>
      </c>
      <c r="L65" s="261">
        <v>8684.5704179104468</v>
      </c>
      <c r="M65" s="261">
        <v>9276.4555522388073</v>
      </c>
      <c r="N65" s="261">
        <f t="shared" si="4"/>
        <v>102764.24437614284</v>
      </c>
      <c r="O65" s="259" t="s">
        <v>168</v>
      </c>
    </row>
    <row r="66" spans="1:15" ht="15.75">
      <c r="A66" s="245" t="s">
        <v>324</v>
      </c>
      <c r="B66" s="260">
        <v>1790.8500000000001</v>
      </c>
      <c r="C66" s="260">
        <v>241.02599999999998</v>
      </c>
      <c r="D66" s="260">
        <v>680.01</v>
      </c>
      <c r="E66" s="260">
        <v>939.32</v>
      </c>
      <c r="F66" s="261">
        <v>1297.9556470588236</v>
      </c>
      <c r="G66" s="261">
        <v>414.39768750000002</v>
      </c>
      <c r="H66" s="263">
        <v>1403.2619999999999</v>
      </c>
      <c r="I66" s="261">
        <v>1928.5695000000001</v>
      </c>
      <c r="J66" s="261">
        <v>3826.5938181818187</v>
      </c>
      <c r="K66" s="261">
        <v>801.54591044776123</v>
      </c>
      <c r="L66" s="261">
        <v>2218.5354626865674</v>
      </c>
      <c r="M66" s="261">
        <v>3489.0447761194027</v>
      </c>
      <c r="N66" s="261">
        <f t="shared" si="4"/>
        <v>19031.110801994371</v>
      </c>
      <c r="O66" s="259" t="s">
        <v>158</v>
      </c>
    </row>
    <row r="67" spans="1:15" ht="15.75">
      <c r="A67" s="245" t="s">
        <v>325</v>
      </c>
      <c r="B67" s="260">
        <v>34.305999999999997</v>
      </c>
      <c r="C67" s="260">
        <v>73.984000000000009</v>
      </c>
      <c r="D67" s="260">
        <v>224.16000000000003</v>
      </c>
      <c r="E67" s="260">
        <v>48.31</v>
      </c>
      <c r="F67" s="263">
        <v>0</v>
      </c>
      <c r="G67" s="263">
        <v>0</v>
      </c>
      <c r="H67" s="263">
        <v>0</v>
      </c>
      <c r="I67" s="262">
        <v>0</v>
      </c>
      <c r="J67" s="265">
        <v>0</v>
      </c>
      <c r="K67" s="261">
        <v>28.637999999999998</v>
      </c>
      <c r="L67" s="265">
        <v>0</v>
      </c>
      <c r="M67" s="265">
        <v>0</v>
      </c>
      <c r="N67" s="265">
        <f t="shared" si="4"/>
        <v>409.39800000000002</v>
      </c>
      <c r="O67" s="259" t="s">
        <v>362</v>
      </c>
    </row>
    <row r="68" spans="1:15" ht="15.75">
      <c r="A68" s="245" t="s">
        <v>326</v>
      </c>
      <c r="B68" s="260">
        <v>2116.3980000000001</v>
      </c>
      <c r="C68" s="260">
        <v>2283.8820000000001</v>
      </c>
      <c r="D68" s="260">
        <v>2200.15</v>
      </c>
      <c r="E68" s="260">
        <v>2200.15</v>
      </c>
      <c r="F68" s="261">
        <v>2367.6202058823528</v>
      </c>
      <c r="G68" s="261">
        <v>2428.4545312499999</v>
      </c>
      <c r="H68" s="263">
        <v>2602.7280000000001</v>
      </c>
      <c r="I68" s="261">
        <v>2515.59646875</v>
      </c>
      <c r="J68" s="262">
        <v>2515.5818999999997</v>
      </c>
      <c r="K68" s="261">
        <v>4729.6337910447755</v>
      </c>
      <c r="L68" s="261">
        <v>173.43832835820896</v>
      </c>
      <c r="M68" s="261">
        <v>90.198268656716408</v>
      </c>
      <c r="N68" s="261">
        <f t="shared" si="4"/>
        <v>26223.831493942056</v>
      </c>
      <c r="O68" s="259" t="s">
        <v>362</v>
      </c>
    </row>
    <row r="69" spans="1:15" ht="15.75">
      <c r="A69" s="245" t="s">
        <v>327</v>
      </c>
      <c r="B69" s="260">
        <v>3832.3440000000001</v>
      </c>
      <c r="C69" s="260">
        <v>16424.175999999999</v>
      </c>
      <c r="D69" s="260">
        <v>24342.33</v>
      </c>
      <c r="E69" s="260">
        <v>15617.399999999998</v>
      </c>
      <c r="F69" s="261">
        <v>15832.994294117647</v>
      </c>
      <c r="G69" s="261">
        <v>20463.536812499999</v>
      </c>
      <c r="H69" s="263">
        <v>13530.456</v>
      </c>
      <c r="I69" s="261">
        <v>17068.279218750002</v>
      </c>
      <c r="J69" s="261">
        <v>19368.238636363636</v>
      </c>
      <c r="K69" s="261">
        <v>19147.808149253735</v>
      </c>
      <c r="L69" s="261">
        <v>23401.39110447761</v>
      </c>
      <c r="M69" s="261">
        <v>13719.798805970149</v>
      </c>
      <c r="N69" s="261">
        <f t="shared" si="4"/>
        <v>202748.75302143279</v>
      </c>
      <c r="O69" s="259" t="s">
        <v>363</v>
      </c>
    </row>
    <row r="70" spans="1:15" ht="15.75">
      <c r="A70" s="245" t="s">
        <v>328</v>
      </c>
      <c r="B70" s="260">
        <v>0</v>
      </c>
      <c r="C70" s="260">
        <v>0</v>
      </c>
      <c r="D70" s="260">
        <v>0</v>
      </c>
      <c r="E70" s="260">
        <v>0</v>
      </c>
      <c r="F70" s="261">
        <v>832.5</v>
      </c>
      <c r="G70" s="261">
        <v>1096.1839687500001</v>
      </c>
      <c r="H70" s="263">
        <v>2362.7015999999999</v>
      </c>
      <c r="I70" s="261">
        <v>22223.483437499999</v>
      </c>
      <c r="J70" s="261">
        <v>1285.3093636363637</v>
      </c>
      <c r="K70" s="261">
        <v>1178.9194029850746</v>
      </c>
      <c r="L70" s="261">
        <v>5231.9965970149251</v>
      </c>
      <c r="M70" s="261">
        <v>22495.67036865672</v>
      </c>
      <c r="N70" s="261">
        <f t="shared" si="4"/>
        <v>56706.764738543083</v>
      </c>
      <c r="O70" s="259" t="s">
        <v>362</v>
      </c>
    </row>
    <row r="71" spans="1:15" ht="15.75">
      <c r="A71" s="245" t="s">
        <v>329</v>
      </c>
      <c r="B71" s="260">
        <v>0</v>
      </c>
      <c r="C71" s="260">
        <v>0</v>
      </c>
      <c r="D71" s="260">
        <v>0</v>
      </c>
      <c r="E71" s="260">
        <v>3992.212</v>
      </c>
      <c r="F71" s="264">
        <v>0</v>
      </c>
      <c r="G71" s="264">
        <v>0</v>
      </c>
      <c r="H71" s="263">
        <v>406.89269999999999</v>
      </c>
      <c r="I71" s="261">
        <v>8511.9129000000012</v>
      </c>
      <c r="J71" s="262">
        <v>0</v>
      </c>
      <c r="K71" s="262">
        <v>0</v>
      </c>
      <c r="L71" s="261">
        <v>4419.9089999999997</v>
      </c>
      <c r="M71" s="262">
        <v>0</v>
      </c>
      <c r="N71" s="262">
        <f t="shared" si="4"/>
        <v>17330.926599999999</v>
      </c>
      <c r="O71" s="259" t="s">
        <v>168</v>
      </c>
    </row>
    <row r="72" spans="1:15">
      <c r="A72" s="245" t="s">
        <v>330</v>
      </c>
      <c r="B72" s="260">
        <v>0</v>
      </c>
      <c r="C72" s="260">
        <v>0</v>
      </c>
      <c r="D72" s="260">
        <v>0</v>
      </c>
      <c r="E72" s="260">
        <v>0</v>
      </c>
      <c r="F72" s="264">
        <v>0</v>
      </c>
      <c r="G72" s="264">
        <v>0</v>
      </c>
      <c r="H72" s="263">
        <v>0</v>
      </c>
      <c r="I72" s="262">
        <v>0</v>
      </c>
      <c r="J72" s="262">
        <v>0</v>
      </c>
      <c r="K72" s="262">
        <v>0</v>
      </c>
      <c r="L72" s="262">
        <v>0</v>
      </c>
      <c r="M72" s="262">
        <v>0</v>
      </c>
      <c r="N72" s="262">
        <f t="shared" si="4"/>
        <v>0</v>
      </c>
      <c r="O72" s="259"/>
    </row>
    <row r="73" spans="1:15" ht="15.75">
      <c r="A73" s="245" t="s">
        <v>331</v>
      </c>
      <c r="B73" s="260">
        <v>208.54</v>
      </c>
      <c r="C73" s="260">
        <v>210.76599999999999</v>
      </c>
      <c r="D73" s="260">
        <v>60.080000000000005</v>
      </c>
      <c r="E73" s="260">
        <v>60.078000000000003</v>
      </c>
      <c r="F73" s="264">
        <v>58.841100000000004</v>
      </c>
      <c r="G73" s="261">
        <v>557.54606249999995</v>
      </c>
      <c r="H73" s="263">
        <v>210.18959999999998</v>
      </c>
      <c r="I73" s="262">
        <v>210.75569999999999</v>
      </c>
      <c r="J73" s="261">
        <v>205.40045454545458</v>
      </c>
      <c r="K73" s="261">
        <v>201.08229850746267</v>
      </c>
      <c r="L73" s="261">
        <v>204.36259701492537</v>
      </c>
      <c r="M73" s="261">
        <v>202.93119402985076</v>
      </c>
      <c r="N73" s="261">
        <f t="shared" si="4"/>
        <v>2390.5730065976932</v>
      </c>
      <c r="O73" s="259" t="s">
        <v>161</v>
      </c>
    </row>
    <row r="74" spans="1:15" ht="15.75">
      <c r="A74" s="245" t="s">
        <v>332</v>
      </c>
      <c r="B74" s="260">
        <v>275.29000000000002</v>
      </c>
      <c r="C74" s="260">
        <v>278.22199999999998</v>
      </c>
      <c r="D74" s="260">
        <v>79.31</v>
      </c>
      <c r="E74" s="260">
        <v>79.321999999999989</v>
      </c>
      <c r="F74" s="264">
        <v>77.68889999999999</v>
      </c>
      <c r="G74" s="261">
        <v>736.02365624999993</v>
      </c>
      <c r="H74" s="263">
        <v>337.49549999999999</v>
      </c>
      <c r="I74" s="262">
        <v>278.22149999999999</v>
      </c>
      <c r="J74" s="261">
        <v>271.14272727272726</v>
      </c>
      <c r="K74" s="261">
        <v>265.44573134328357</v>
      </c>
      <c r="L74" s="261">
        <v>269.7797014925373</v>
      </c>
      <c r="M74" s="261">
        <v>267.89104477611943</v>
      </c>
      <c r="N74" s="261">
        <f t="shared" si="4"/>
        <v>3215.8327611346676</v>
      </c>
      <c r="O74" s="259" t="s">
        <v>161</v>
      </c>
    </row>
    <row r="75" spans="1:15" ht="15.75">
      <c r="A75" s="245" t="s">
        <v>333</v>
      </c>
      <c r="B75" s="260">
        <v>1947.1460000000002</v>
      </c>
      <c r="C75" s="260">
        <v>1947.7919999999999</v>
      </c>
      <c r="D75" s="260">
        <v>1904.748</v>
      </c>
      <c r="E75" s="260">
        <v>1904.748</v>
      </c>
      <c r="F75" s="264">
        <v>1905.1929</v>
      </c>
      <c r="G75" s="261">
        <v>266.24598749999996</v>
      </c>
      <c r="H75" s="263">
        <v>0</v>
      </c>
      <c r="I75" s="262">
        <v>60.206399999999995</v>
      </c>
      <c r="J75" s="261">
        <v>58.668545454545466</v>
      </c>
      <c r="K75" s="261">
        <v>57.435044776119412</v>
      </c>
      <c r="L75" s="261">
        <v>58.369432835820888</v>
      </c>
      <c r="M75" s="261">
        <v>57.961880597014932</v>
      </c>
      <c r="N75" s="261">
        <f t="shared" si="4"/>
        <v>10168.5141911635</v>
      </c>
      <c r="O75" s="259" t="s">
        <v>161</v>
      </c>
    </row>
    <row r="76" spans="1:15" ht="15.75">
      <c r="A76" s="245" t="s">
        <v>334</v>
      </c>
      <c r="B76" s="260">
        <v>146.61000000000001</v>
      </c>
      <c r="C76" s="260">
        <v>1022.0400000000001</v>
      </c>
      <c r="D76" s="260">
        <v>146.60799999999998</v>
      </c>
      <c r="E76" s="260">
        <v>146.60799999999998</v>
      </c>
      <c r="F76" s="264">
        <v>143.58959999999999</v>
      </c>
      <c r="G76" s="264">
        <v>0</v>
      </c>
      <c r="H76" s="263">
        <v>135.5976</v>
      </c>
      <c r="I76" s="262">
        <v>135.5976</v>
      </c>
      <c r="J76" s="261">
        <v>131.48454545454547</v>
      </c>
      <c r="K76" s="261">
        <v>129.52208955223881</v>
      </c>
      <c r="L76" s="261">
        <v>129.52208955223881</v>
      </c>
      <c r="M76" s="261">
        <v>129.49226865671642</v>
      </c>
      <c r="N76" s="261">
        <f t="shared" si="4"/>
        <v>2396.6717932157399</v>
      </c>
      <c r="O76" s="259" t="s">
        <v>161</v>
      </c>
    </row>
    <row r="77" spans="1:15" ht="15.75">
      <c r="A77" s="245" t="s">
        <v>335</v>
      </c>
      <c r="B77" s="260">
        <v>187.29</v>
      </c>
      <c r="C77" s="260">
        <v>442.91800000000001</v>
      </c>
      <c r="D77" s="260">
        <v>25.85</v>
      </c>
      <c r="E77" s="260">
        <v>491.96</v>
      </c>
      <c r="F77" s="261">
        <v>208.74202941176472</v>
      </c>
      <c r="G77" s="261">
        <v>384.40687499999996</v>
      </c>
      <c r="H77" s="263">
        <v>172.66050000000001</v>
      </c>
      <c r="I77" s="262">
        <v>305.19450000000001</v>
      </c>
      <c r="J77" s="261">
        <v>386.24972727272728</v>
      </c>
      <c r="K77" s="261">
        <v>394.83859701492531</v>
      </c>
      <c r="L77" s="261">
        <v>109.51226865671643</v>
      </c>
      <c r="M77" s="261">
        <v>412.71125373134328</v>
      </c>
      <c r="N77" s="261">
        <f t="shared" si="4"/>
        <v>3522.3337510874767</v>
      </c>
      <c r="O77" s="259" t="s">
        <v>163</v>
      </c>
    </row>
    <row r="78" spans="1:15" ht="15.75">
      <c r="A78" s="245" t="s">
        <v>336</v>
      </c>
      <c r="B78" s="260">
        <v>148.9</v>
      </c>
      <c r="C78" s="260">
        <v>119.54399999999998</v>
      </c>
      <c r="D78" s="260">
        <v>633.27</v>
      </c>
      <c r="E78" s="260">
        <v>250.85</v>
      </c>
      <c r="F78" s="261">
        <v>167.8809705882353</v>
      </c>
      <c r="G78" s="261">
        <v>113.48015624999998</v>
      </c>
      <c r="H78" s="263">
        <v>693.23940000000005</v>
      </c>
      <c r="I78" s="262">
        <v>267.26580000000001</v>
      </c>
      <c r="J78" s="261">
        <v>116.45918181818183</v>
      </c>
      <c r="K78" s="261">
        <v>555.46388059701485</v>
      </c>
      <c r="L78" s="261">
        <v>244.55122388059704</v>
      </c>
      <c r="M78" s="261">
        <v>458.03901492537318</v>
      </c>
      <c r="N78" s="261">
        <f t="shared" si="4"/>
        <v>3768.9436280594023</v>
      </c>
      <c r="O78" s="259" t="s">
        <v>163</v>
      </c>
    </row>
    <row r="79" spans="1:15" ht="15.75">
      <c r="A79" s="245" t="s">
        <v>337</v>
      </c>
      <c r="B79" s="260">
        <v>0</v>
      </c>
      <c r="C79" s="260">
        <v>0</v>
      </c>
      <c r="D79" s="260">
        <v>0</v>
      </c>
      <c r="E79" s="260">
        <v>21.53</v>
      </c>
      <c r="F79" s="261">
        <v>57.266205882352935</v>
      </c>
      <c r="G79" s="261">
        <v>68.8269375</v>
      </c>
      <c r="H79" s="263">
        <v>9.5237999999999996</v>
      </c>
      <c r="I79" s="262">
        <v>0</v>
      </c>
      <c r="J79" s="261">
        <v>49.596818181818186</v>
      </c>
      <c r="K79" s="261">
        <v>51.063313432835812</v>
      </c>
      <c r="L79" s="261">
        <v>92.613761194029848</v>
      </c>
      <c r="M79" s="261">
        <v>69.880298507462683</v>
      </c>
      <c r="N79" s="261">
        <f t="shared" si="4"/>
        <v>420.30113469849942</v>
      </c>
      <c r="O79" s="259" t="s">
        <v>163</v>
      </c>
    </row>
    <row r="80" spans="1:15" ht="15.75">
      <c r="A80" s="245" t="s">
        <v>338</v>
      </c>
      <c r="B80" s="260">
        <v>35.590000000000003</v>
      </c>
      <c r="C80" s="260">
        <v>65.075999999999993</v>
      </c>
      <c r="D80" s="260">
        <v>220.34</v>
      </c>
      <c r="E80" s="260">
        <v>67.790000000000006</v>
      </c>
      <c r="F80" s="261">
        <v>46.884441176470588</v>
      </c>
      <c r="G80" s="261">
        <v>48.503531249999995</v>
      </c>
      <c r="H80" s="263">
        <v>420.6456</v>
      </c>
      <c r="I80" s="262">
        <v>56.4435</v>
      </c>
      <c r="J80" s="261">
        <v>129.90027272727272</v>
      </c>
      <c r="K80" s="261">
        <v>37.902358208955228</v>
      </c>
      <c r="L80" s="261">
        <v>126.60958208955223</v>
      </c>
      <c r="M80" s="261">
        <v>146.65916417910447</v>
      </c>
      <c r="N80" s="261">
        <f t="shared" si="4"/>
        <v>1402.3444496313552</v>
      </c>
      <c r="O80" s="259" t="s">
        <v>163</v>
      </c>
    </row>
    <row r="81" spans="1:15" ht="15.75">
      <c r="A81" s="245" t="s">
        <v>340</v>
      </c>
      <c r="B81" s="260">
        <v>0</v>
      </c>
      <c r="C81" s="260">
        <v>0</v>
      </c>
      <c r="D81" s="260">
        <v>0</v>
      </c>
      <c r="E81" s="260">
        <v>0</v>
      </c>
      <c r="F81" s="261">
        <v>0</v>
      </c>
      <c r="G81" s="264">
        <v>6.2271000000000001</v>
      </c>
      <c r="H81" s="263">
        <v>29.137499999999999</v>
      </c>
      <c r="I81" s="262">
        <v>18.847799999999999</v>
      </c>
      <c r="J81" s="262">
        <v>0</v>
      </c>
      <c r="K81" s="261">
        <v>108.3492537313433</v>
      </c>
      <c r="L81" s="262">
        <v>33.000300000000003</v>
      </c>
      <c r="M81" s="261">
        <v>254.27283582089555</v>
      </c>
      <c r="N81" s="261">
        <f t="shared" si="4"/>
        <v>449.83478955223882</v>
      </c>
      <c r="O81" s="259" t="s">
        <v>367</v>
      </c>
    </row>
    <row r="82" spans="1:15" ht="15.75">
      <c r="A82" s="245" t="s">
        <v>341</v>
      </c>
      <c r="B82" s="260">
        <v>0</v>
      </c>
      <c r="C82" s="260">
        <v>0</v>
      </c>
      <c r="D82" s="260">
        <v>0</v>
      </c>
      <c r="E82" s="260">
        <v>0</v>
      </c>
      <c r="F82" s="261">
        <v>0</v>
      </c>
      <c r="G82" s="261">
        <v>104.0625</v>
      </c>
      <c r="H82" s="263">
        <v>43.090199999999996</v>
      </c>
      <c r="I82" s="262">
        <v>0</v>
      </c>
      <c r="J82" s="262">
        <v>127.00620000000001</v>
      </c>
      <c r="K82" s="261">
        <v>191.84129999999999</v>
      </c>
      <c r="L82" s="262">
        <v>0</v>
      </c>
      <c r="M82" s="262">
        <v>3017.5794000000001</v>
      </c>
      <c r="N82" s="262">
        <f t="shared" si="4"/>
        <v>3483.5796</v>
      </c>
      <c r="O82" s="259" t="s">
        <v>365</v>
      </c>
    </row>
    <row r="83" spans="1:15" ht="15.75">
      <c r="A83" s="246" t="s">
        <v>264</v>
      </c>
      <c r="B83" s="260">
        <v>186.35400000000001</v>
      </c>
      <c r="C83" s="260">
        <v>1119.45</v>
      </c>
      <c r="D83" s="260">
        <v>199.37999999999991</v>
      </c>
      <c r="E83" s="260">
        <v>2288.4039999999995</v>
      </c>
      <c r="F83" s="261">
        <v>727.93408235294203</v>
      </c>
      <c r="G83" s="261">
        <v>661.13403750000009</v>
      </c>
      <c r="H83" s="263">
        <v>1720.6110000000001</v>
      </c>
      <c r="I83" s="262">
        <v>298.10160000000002</v>
      </c>
      <c r="J83" s="262">
        <v>764.60130000000004</v>
      </c>
      <c r="K83" s="261">
        <v>1448.2234611940301</v>
      </c>
      <c r="L83" s="262">
        <v>7650.5750999999991</v>
      </c>
      <c r="M83" s="261">
        <v>3919.3588074626878</v>
      </c>
      <c r="N83" s="261">
        <f t="shared" si="4"/>
        <v>20984.12738850966</v>
      </c>
      <c r="O83" s="259" t="s">
        <v>367</v>
      </c>
    </row>
    <row r="84" spans="1:15" ht="15.75">
      <c r="A84" s="245" t="s">
        <v>342</v>
      </c>
      <c r="B84" s="260">
        <v>0</v>
      </c>
      <c r="C84" s="260">
        <v>0</v>
      </c>
      <c r="D84" s="260">
        <v>419.75</v>
      </c>
      <c r="E84" s="260">
        <v>0</v>
      </c>
      <c r="F84" s="261">
        <v>60.586411764705886</v>
      </c>
      <c r="G84" s="264">
        <v>0</v>
      </c>
      <c r="H84" s="263">
        <v>0</v>
      </c>
      <c r="I84" s="262">
        <v>0</v>
      </c>
      <c r="J84" s="262">
        <v>47.052900000000001</v>
      </c>
      <c r="K84" s="262">
        <v>0</v>
      </c>
      <c r="L84" s="261">
        <v>40.427194029850746</v>
      </c>
      <c r="M84" s="261">
        <v>350.52474626865671</v>
      </c>
      <c r="N84" s="261">
        <f t="shared" si="4"/>
        <v>918.34125206321335</v>
      </c>
      <c r="O84" s="259" t="s">
        <v>366</v>
      </c>
    </row>
    <row r="85" spans="1:15" ht="15.75">
      <c r="A85" s="269" t="s">
        <v>343</v>
      </c>
      <c r="B85" s="260">
        <v>0</v>
      </c>
      <c r="C85" s="260">
        <v>7.6160000000000005</v>
      </c>
      <c r="D85" s="260">
        <v>0</v>
      </c>
      <c r="E85" s="260">
        <v>0</v>
      </c>
      <c r="F85" s="261">
        <v>627.77355882352947</v>
      </c>
      <c r="G85" s="264">
        <v>0</v>
      </c>
      <c r="H85" s="263">
        <v>175.49100000000001</v>
      </c>
      <c r="I85" s="262">
        <v>0</v>
      </c>
      <c r="J85" s="262">
        <v>0</v>
      </c>
      <c r="K85" s="261">
        <v>501.98507462686564</v>
      </c>
      <c r="L85" s="261">
        <v>3096.5819104477609</v>
      </c>
      <c r="M85" s="261">
        <v>894.05032835820884</v>
      </c>
      <c r="N85" s="261">
        <f t="shared" si="4"/>
        <v>5303.4978722563646</v>
      </c>
      <c r="O85" s="259" t="s">
        <v>366</v>
      </c>
    </row>
    <row r="86" spans="1:15">
      <c r="A86" s="245" t="s">
        <v>344</v>
      </c>
      <c r="B86" s="260">
        <v>0</v>
      </c>
      <c r="C86" s="260">
        <v>0</v>
      </c>
      <c r="D86" s="260">
        <v>0</v>
      </c>
      <c r="E86" s="260">
        <v>0</v>
      </c>
      <c r="F86" s="263">
        <v>0</v>
      </c>
      <c r="G86" s="263">
        <v>0</v>
      </c>
      <c r="H86" s="263">
        <v>0</v>
      </c>
      <c r="I86" s="262">
        <v>0</v>
      </c>
      <c r="J86" s="262">
        <v>0</v>
      </c>
      <c r="K86" s="262">
        <v>0</v>
      </c>
      <c r="L86" s="262">
        <v>0</v>
      </c>
      <c r="M86" s="262">
        <v>0</v>
      </c>
      <c r="N86" s="262">
        <f t="shared" si="4"/>
        <v>0</v>
      </c>
      <c r="O86" s="259"/>
    </row>
    <row r="87" spans="1:15" ht="15.75">
      <c r="A87" s="245" t="s">
        <v>345</v>
      </c>
      <c r="B87" s="260">
        <v>0</v>
      </c>
      <c r="C87" s="260">
        <v>0</v>
      </c>
      <c r="D87" s="260">
        <v>0</v>
      </c>
      <c r="E87" s="260">
        <v>0</v>
      </c>
      <c r="F87" s="263">
        <v>0</v>
      </c>
      <c r="G87" s="263">
        <v>6.8993437499999999</v>
      </c>
      <c r="H87" s="263">
        <v>0</v>
      </c>
      <c r="I87" s="262">
        <v>0</v>
      </c>
      <c r="J87" s="262">
        <v>0</v>
      </c>
      <c r="K87" s="262">
        <v>0</v>
      </c>
      <c r="L87" s="261">
        <v>33.00179104477612</v>
      </c>
      <c r="M87" s="262">
        <v>0</v>
      </c>
      <c r="N87" s="262">
        <f t="shared" si="4"/>
        <v>39.901134794776119</v>
      </c>
      <c r="O87" s="259" t="s">
        <v>161</v>
      </c>
    </row>
    <row r="88" spans="1:15" ht="15.75">
      <c r="A88" s="245" t="s">
        <v>286</v>
      </c>
      <c r="B88" s="260">
        <v>1.36</v>
      </c>
      <c r="C88" s="260">
        <v>6.5279999999999996</v>
      </c>
      <c r="D88" s="260">
        <v>6.5619999999999994</v>
      </c>
      <c r="E88" s="260">
        <v>1.0880000000000001</v>
      </c>
      <c r="F88" s="261">
        <v>5.7295588235294117</v>
      </c>
      <c r="G88" s="261">
        <v>1.2487499999999998</v>
      </c>
      <c r="H88" s="263">
        <v>3.996</v>
      </c>
      <c r="I88" s="262">
        <v>0</v>
      </c>
      <c r="J88" s="262">
        <v>6.7266000000000004</v>
      </c>
      <c r="K88" s="261">
        <v>97.534208955223889</v>
      </c>
      <c r="L88" s="261">
        <v>642.75958208955228</v>
      </c>
      <c r="M88" s="261">
        <v>18.180805970149255</v>
      </c>
      <c r="N88" s="261">
        <f t="shared" si="4"/>
        <v>791.71350583845481</v>
      </c>
      <c r="O88" s="259" t="s">
        <v>367</v>
      </c>
    </row>
    <row r="89" spans="1:15" ht="15.75">
      <c r="A89" s="245" t="s">
        <v>346</v>
      </c>
      <c r="B89" s="260">
        <v>145.49</v>
      </c>
      <c r="C89" s="260">
        <v>182.614</v>
      </c>
      <c r="D89" s="260">
        <v>175.34</v>
      </c>
      <c r="E89" s="260">
        <v>171.33</v>
      </c>
      <c r="F89" s="261">
        <v>56.443500000000007</v>
      </c>
      <c r="G89" s="261">
        <v>59.378062500000006</v>
      </c>
      <c r="H89" s="263">
        <v>147.35249999999999</v>
      </c>
      <c r="I89" s="261">
        <v>60.054468750000005</v>
      </c>
      <c r="J89" s="261">
        <v>332.42481818181818</v>
      </c>
      <c r="K89" s="261">
        <v>174.29319402985075</v>
      </c>
      <c r="L89" s="261">
        <v>181.42038805970148</v>
      </c>
      <c r="M89" s="261">
        <v>113.07089552238804</v>
      </c>
      <c r="N89" s="261">
        <f t="shared" si="4"/>
        <v>1799.2118270437586</v>
      </c>
      <c r="O89" s="259" t="s">
        <v>367</v>
      </c>
    </row>
    <row r="90" spans="1:15" ht="15.75">
      <c r="A90" s="245" t="s">
        <v>347</v>
      </c>
      <c r="B90" s="260">
        <v>622.92999999999995</v>
      </c>
      <c r="C90" s="260">
        <v>806.17399999999998</v>
      </c>
      <c r="D90" s="260">
        <v>981.06000000000006</v>
      </c>
      <c r="E90" s="260">
        <v>874.96</v>
      </c>
      <c r="F90" s="261">
        <v>769.71970588235297</v>
      </c>
      <c r="G90" s="261">
        <v>653.05462499999999</v>
      </c>
      <c r="H90" s="263">
        <v>1226.0726999999999</v>
      </c>
      <c r="I90" s="261">
        <v>1092.4585312499999</v>
      </c>
      <c r="J90" s="261">
        <v>720.88445454545456</v>
      </c>
      <c r="K90" s="261">
        <v>451.17026865671636</v>
      </c>
      <c r="L90" s="261">
        <v>1689.1151641791046</v>
      </c>
      <c r="M90" s="261">
        <v>679.35976119402994</v>
      </c>
      <c r="N90" s="261">
        <f t="shared" si="4"/>
        <v>10566.959210707657</v>
      </c>
      <c r="O90" s="259" t="s">
        <v>367</v>
      </c>
    </row>
    <row r="91" spans="1:15" ht="15.75">
      <c r="A91" s="251" t="s">
        <v>348</v>
      </c>
      <c r="B91" s="250">
        <v>4556</v>
      </c>
      <c r="C91" s="250">
        <v>5293</v>
      </c>
      <c r="D91" s="250">
        <v>3685</v>
      </c>
      <c r="E91" s="250">
        <v>6030</v>
      </c>
      <c r="F91" s="250">
        <v>4790.5</v>
      </c>
      <c r="G91" s="250">
        <v>4556</v>
      </c>
      <c r="H91" s="250">
        <v>2345</v>
      </c>
      <c r="I91" s="250">
        <v>4187.5</v>
      </c>
      <c r="J91" s="250">
        <v>4187.5</v>
      </c>
      <c r="K91" s="250">
        <v>4207.6000000000004</v>
      </c>
      <c r="L91" s="250">
        <v>4656.5</v>
      </c>
      <c r="M91" s="250">
        <v>3819</v>
      </c>
      <c r="N91" s="261">
        <f t="shared" si="4"/>
        <v>52313.599999999999</v>
      </c>
      <c r="O91" s="259" t="s">
        <v>162</v>
      </c>
    </row>
    <row r="92" spans="1:15" ht="15.75">
      <c r="A92" s="251" t="s">
        <v>349</v>
      </c>
      <c r="B92" s="250">
        <v>10897.550000000001</v>
      </c>
      <c r="C92" s="250">
        <v>13088.45</v>
      </c>
      <c r="D92" s="250">
        <v>13356.45</v>
      </c>
      <c r="E92" s="250">
        <v>13456.95</v>
      </c>
      <c r="F92" s="250">
        <v>13235.85</v>
      </c>
      <c r="G92" s="250">
        <v>15188.9</v>
      </c>
      <c r="H92" s="250">
        <v>13929.300000000001</v>
      </c>
      <c r="I92" s="250">
        <v>13832.15</v>
      </c>
      <c r="J92" s="250">
        <v>18977.75</v>
      </c>
      <c r="K92" s="250">
        <v>14445.2</v>
      </c>
      <c r="L92" s="250">
        <v>12994.65</v>
      </c>
      <c r="M92" s="250">
        <v>9735.1</v>
      </c>
      <c r="N92" s="261">
        <f t="shared" ref="N92:N96" si="5">+SUM(B92:M92)</f>
        <v>163138.29999999999</v>
      </c>
      <c r="O92" s="259" t="s">
        <v>363</v>
      </c>
    </row>
    <row r="93" spans="1:15" ht="15.75">
      <c r="A93" s="251" t="s">
        <v>350</v>
      </c>
      <c r="B93" s="250">
        <v>0</v>
      </c>
      <c r="C93" s="250">
        <v>11725</v>
      </c>
      <c r="D93" s="250">
        <v>3350</v>
      </c>
      <c r="E93" s="250">
        <v>0</v>
      </c>
      <c r="F93" s="250">
        <v>7537.5</v>
      </c>
      <c r="G93" s="250">
        <v>1675</v>
      </c>
      <c r="H93" s="250">
        <v>0</v>
      </c>
      <c r="I93" s="250">
        <v>0</v>
      </c>
      <c r="J93" s="250">
        <v>6030</v>
      </c>
      <c r="K93" s="250">
        <v>10050</v>
      </c>
      <c r="L93" s="250">
        <v>7537.5</v>
      </c>
      <c r="M93" s="250">
        <v>0</v>
      </c>
      <c r="N93" s="261">
        <f t="shared" si="5"/>
        <v>47905</v>
      </c>
      <c r="O93" s="259" t="s">
        <v>363</v>
      </c>
    </row>
    <row r="94" spans="1:15" ht="15.75">
      <c r="A94" s="251" t="s">
        <v>351</v>
      </c>
      <c r="B94" s="250">
        <v>539.35</v>
      </c>
      <c r="C94" s="250">
        <v>613.05000000000007</v>
      </c>
      <c r="D94" s="250">
        <v>515.9</v>
      </c>
      <c r="E94" s="250">
        <v>579.55000000000007</v>
      </c>
      <c r="F94" s="250">
        <v>582.9</v>
      </c>
      <c r="G94" s="250">
        <v>1142.3500000000001</v>
      </c>
      <c r="H94" s="250">
        <v>1192.6000000000001</v>
      </c>
      <c r="I94" s="250">
        <v>1584.55</v>
      </c>
      <c r="J94" s="250">
        <v>690.1</v>
      </c>
      <c r="K94" s="250">
        <v>1671.65</v>
      </c>
      <c r="L94" s="250">
        <v>1005</v>
      </c>
      <c r="M94" s="250">
        <v>871</v>
      </c>
      <c r="N94" s="261">
        <f t="shared" si="5"/>
        <v>10988.000000000002</v>
      </c>
      <c r="O94" s="259" t="s">
        <v>363</v>
      </c>
    </row>
    <row r="95" spans="1:15" ht="15.75">
      <c r="A95" s="251" t="s">
        <v>352</v>
      </c>
      <c r="B95" s="250">
        <v>4522.5</v>
      </c>
      <c r="C95" s="250">
        <v>3383.5</v>
      </c>
      <c r="D95" s="250">
        <v>2730.25</v>
      </c>
      <c r="E95" s="250">
        <v>3403.6</v>
      </c>
      <c r="F95" s="250">
        <v>4455.5</v>
      </c>
      <c r="G95" s="250">
        <v>2137.3000000000002</v>
      </c>
      <c r="H95" s="250">
        <v>4200.9000000000005</v>
      </c>
      <c r="I95" s="250">
        <v>5413.6</v>
      </c>
      <c r="J95" s="250">
        <v>5276.25</v>
      </c>
      <c r="K95" s="250">
        <v>5624.6500000000005</v>
      </c>
      <c r="L95" s="250">
        <v>2803.9500000000003</v>
      </c>
      <c r="M95" s="250">
        <v>3795.55</v>
      </c>
      <c r="N95" s="261">
        <f t="shared" si="5"/>
        <v>47747.55</v>
      </c>
      <c r="O95" s="259" t="s">
        <v>363</v>
      </c>
    </row>
    <row r="96" spans="1:15" ht="15.75">
      <c r="A96" s="251" t="s">
        <v>353</v>
      </c>
      <c r="B96" s="250">
        <v>241.20000000000002</v>
      </c>
      <c r="C96" s="250">
        <v>241.20000000000002</v>
      </c>
      <c r="D96" s="250">
        <v>241.20000000000002</v>
      </c>
      <c r="E96" s="250">
        <v>241.20000000000002</v>
      </c>
      <c r="F96" s="250">
        <v>241.20000000000002</v>
      </c>
      <c r="G96" s="250">
        <v>241.20000000000002</v>
      </c>
      <c r="H96" s="250">
        <v>241.20000000000002</v>
      </c>
      <c r="I96" s="250">
        <v>241.20000000000002</v>
      </c>
      <c r="J96" s="250">
        <v>241.20000000000002</v>
      </c>
      <c r="K96" s="250">
        <v>241.20000000000002</v>
      </c>
      <c r="L96" s="250">
        <v>241.20000000000002</v>
      </c>
      <c r="M96" s="250">
        <v>241.20000000000002</v>
      </c>
      <c r="N96" s="261">
        <f t="shared" si="5"/>
        <v>2894.3999999999996</v>
      </c>
      <c r="O96" s="259" t="s">
        <v>367</v>
      </c>
    </row>
    <row r="97" spans="1:14" ht="15.75">
      <c r="A97" s="245"/>
      <c r="B97" s="260"/>
      <c r="C97" s="260"/>
      <c r="D97" s="260"/>
      <c r="E97" s="260"/>
      <c r="F97" s="261"/>
      <c r="G97" s="261"/>
      <c r="H97" s="263"/>
      <c r="I97" s="261"/>
      <c r="J97" s="261"/>
      <c r="K97" s="261"/>
      <c r="L97" s="261"/>
      <c r="M97" s="261"/>
      <c r="N97" s="244"/>
    </row>
    <row r="98" spans="1:14">
      <c r="A98" s="270" t="s">
        <v>293</v>
      </c>
      <c r="B98" s="271">
        <f t="shared" ref="B98:N98" si="6">SUM(B32:B97)</f>
        <v>144009.24599999998</v>
      </c>
      <c r="C98" s="271">
        <f t="shared" si="6"/>
        <v>171260.94200000004</v>
      </c>
      <c r="D98" s="271">
        <f t="shared" si="6"/>
        <v>170131.79800000001</v>
      </c>
      <c r="E98" s="271">
        <f t="shared" si="6"/>
        <v>165705.43</v>
      </c>
      <c r="F98" s="271">
        <f t="shared" si="6"/>
        <v>183794.01495882354</v>
      </c>
      <c r="G98" s="271">
        <f t="shared" si="6"/>
        <v>202319.97655000002</v>
      </c>
      <c r="H98" s="271">
        <f t="shared" si="6"/>
        <v>230272.51957500001</v>
      </c>
      <c r="I98" s="271">
        <f t="shared" si="6"/>
        <v>230855.67252499997</v>
      </c>
      <c r="J98" s="271">
        <f t="shared" si="6"/>
        <v>222801.98797272731</v>
      </c>
      <c r="K98" s="271">
        <f t="shared" si="6"/>
        <v>230929.44780895521</v>
      </c>
      <c r="L98" s="271">
        <f t="shared" si="6"/>
        <v>271196.05129552237</v>
      </c>
      <c r="M98" s="271">
        <f t="shared" si="6"/>
        <v>188461.31817313438</v>
      </c>
      <c r="N98" s="271">
        <f t="shared" si="6"/>
        <v>2411738.4048591624</v>
      </c>
    </row>
    <row r="99" spans="1:14">
      <c r="A99" s="253"/>
      <c r="C99" s="231"/>
      <c r="D99" s="231"/>
      <c r="E99" s="231"/>
      <c r="F99" s="272"/>
      <c r="G99" s="272"/>
      <c r="H99" s="272"/>
      <c r="I99" s="272"/>
      <c r="J99" s="272"/>
      <c r="K99" s="272"/>
      <c r="L99" s="272"/>
      <c r="M99" s="272"/>
      <c r="N99" s="244">
        <f t="shared" ref="N99" si="7">+SUM(B99:M99)</f>
        <v>0</v>
      </c>
    </row>
    <row r="100" spans="1:14">
      <c r="A100" s="270" t="s">
        <v>354</v>
      </c>
      <c r="B100" s="255">
        <f t="shared" ref="B100:N100" si="8">+B29-B98</f>
        <v>261325.27164705883</v>
      </c>
      <c r="C100" s="255">
        <f t="shared" si="8"/>
        <v>216405.67399999994</v>
      </c>
      <c r="D100" s="255">
        <f t="shared" si="8"/>
        <v>145935.17449999996</v>
      </c>
      <c r="E100" s="255">
        <f t="shared" si="8"/>
        <v>255595.04600000003</v>
      </c>
      <c r="F100" s="255">
        <f t="shared" si="8"/>
        <v>260073.19954117652</v>
      </c>
      <c r="G100" s="255">
        <f t="shared" si="8"/>
        <v>193783.87465000001</v>
      </c>
      <c r="H100" s="255">
        <f t="shared" si="8"/>
        <v>108539.56822499997</v>
      </c>
      <c r="I100" s="255">
        <f t="shared" si="8"/>
        <v>217697.97785000011</v>
      </c>
      <c r="J100" s="255">
        <f t="shared" si="8"/>
        <v>246082.7228181817</v>
      </c>
      <c r="K100" s="255">
        <f t="shared" si="8"/>
        <v>243972.36008955236</v>
      </c>
      <c r="L100" s="255">
        <f t="shared" si="8"/>
        <v>-15593.368071641744</v>
      </c>
      <c r="M100" s="255">
        <f t="shared" si="8"/>
        <v>65907.237873134232</v>
      </c>
      <c r="N100" s="255">
        <f t="shared" si="8"/>
        <v>1826305.8057224625</v>
      </c>
    </row>
    <row r="101" spans="1:14">
      <c r="A101" s="273"/>
    </row>
    <row r="102" spans="1:14">
      <c r="A102" s="273"/>
      <c r="E102" s="274" t="s">
        <v>355</v>
      </c>
    </row>
    <row r="103" spans="1:14">
      <c r="A103" s="273"/>
      <c r="E103" s="230" t="s">
        <v>146</v>
      </c>
    </row>
    <row r="104" spans="1:14">
      <c r="A104" s="273"/>
    </row>
    <row r="106" spans="1:14" ht="15" thickBot="1"/>
    <row r="107" spans="1:14" ht="15" thickBot="1">
      <c r="A107" s="22" t="s">
        <v>139</v>
      </c>
      <c r="N107" s="275">
        <f>+N29</f>
        <v>4238044.2105816249</v>
      </c>
    </row>
    <row r="108" spans="1:14">
      <c r="A108" s="34" t="s">
        <v>191</v>
      </c>
      <c r="N108" s="275">
        <f>+N27</f>
        <v>-726463.60770000005</v>
      </c>
    </row>
    <row r="109" spans="1:14" ht="15" thickBot="1">
      <c r="A109" s="34" t="s">
        <v>152</v>
      </c>
      <c r="N109" s="275"/>
    </row>
    <row r="110" spans="1:14" ht="15" thickBot="1">
      <c r="A110" s="22" t="s">
        <v>20</v>
      </c>
      <c r="N110" s="275">
        <f>+N107+N108</f>
        <v>3511580.6028816248</v>
      </c>
    </row>
    <row r="111" spans="1:14" ht="15" thickBot="1">
      <c r="A111" s="34"/>
      <c r="N111" s="275"/>
    </row>
    <row r="112" spans="1:14" ht="15" thickBot="1">
      <c r="A112" s="22" t="s">
        <v>153</v>
      </c>
      <c r="N112" s="275"/>
    </row>
    <row r="113" spans="1:14">
      <c r="A113" s="34" t="s">
        <v>154</v>
      </c>
      <c r="N113" s="275"/>
    </row>
    <row r="114" spans="1:14">
      <c r="A114" s="34" t="s">
        <v>155</v>
      </c>
      <c r="N114" s="275"/>
    </row>
    <row r="115" spans="1:14">
      <c r="A115" s="34" t="s">
        <v>156</v>
      </c>
      <c r="N115" s="275"/>
    </row>
    <row r="116" spans="1:14">
      <c r="A116" s="34" t="s">
        <v>157</v>
      </c>
      <c r="N116" s="275"/>
    </row>
    <row r="117" spans="1:14">
      <c r="A117" s="34" t="s">
        <v>158</v>
      </c>
      <c r="N117" s="275"/>
    </row>
    <row r="118" spans="1:14">
      <c r="A118" s="34" t="s">
        <v>159</v>
      </c>
      <c r="N118" s="275"/>
    </row>
    <row r="119" spans="1:14">
      <c r="A119" s="34" t="s">
        <v>160</v>
      </c>
      <c r="N119" s="275"/>
    </row>
    <row r="120" spans="1:14">
      <c r="A120" s="34" t="s">
        <v>161</v>
      </c>
      <c r="N120" s="275"/>
    </row>
    <row r="121" spans="1:14">
      <c r="A121" s="34" t="s">
        <v>162</v>
      </c>
      <c r="N121" s="275"/>
    </row>
    <row r="122" spans="1:14">
      <c r="A122" s="34" t="s">
        <v>163</v>
      </c>
      <c r="N122" s="275"/>
    </row>
    <row r="123" spans="1:14">
      <c r="A123" s="34" t="s">
        <v>164</v>
      </c>
      <c r="N123" s="275"/>
    </row>
    <row r="124" spans="1:14">
      <c r="A124" s="34" t="s">
        <v>165</v>
      </c>
      <c r="N124" s="275"/>
    </row>
    <row r="125" spans="1:14">
      <c r="A125" s="34" t="s">
        <v>166</v>
      </c>
      <c r="N125" s="275"/>
    </row>
    <row r="126" spans="1:14">
      <c r="A126" s="34" t="s">
        <v>167</v>
      </c>
      <c r="N126" s="275"/>
    </row>
    <row r="127" spans="1:14">
      <c r="A127" s="34" t="s">
        <v>168</v>
      </c>
      <c r="N127" s="275"/>
    </row>
    <row r="128" spans="1:14" ht="15" thickBot="1">
      <c r="A128" s="34" t="s">
        <v>169</v>
      </c>
      <c r="N128" s="275"/>
    </row>
    <row r="129" spans="1:14" ht="15" thickBot="1">
      <c r="A129" s="22" t="s">
        <v>170</v>
      </c>
      <c r="N129" s="275"/>
    </row>
  </sheetData>
  <printOptions horizontalCentered="1" gridLines="1"/>
  <pageMargins left="0.39370078740157483" right="0.19685039370078741" top="0.74803149606299213" bottom="0.51181102362204722" header="0.23622047244094491" footer="0.23622047244094491"/>
  <pageSetup paperSize="256" scale="40" orientation="landscape" useFirstPageNumber="1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U162"/>
  <sheetViews>
    <sheetView topLeftCell="E1" workbookViewId="0">
      <selection activeCell="I24" sqref="I20:S24"/>
    </sheetView>
  </sheetViews>
  <sheetFormatPr baseColWidth="10" defaultColWidth="10.875" defaultRowHeight="11.25"/>
  <cols>
    <col min="1" max="1" width="3" style="37" customWidth="1"/>
    <col min="2" max="2" width="24.375" style="37" bestFit="1" customWidth="1"/>
    <col min="3" max="3" width="11.5" style="37" customWidth="1"/>
    <col min="4" max="4" width="10.875" style="37"/>
    <col min="5" max="5" width="3" style="37" customWidth="1"/>
    <col min="6" max="16384" width="10.875" style="37"/>
  </cols>
  <sheetData>
    <row r="1" spans="1:21" ht="18.75">
      <c r="A1" s="36"/>
      <c r="B1" s="364" t="s">
        <v>67</v>
      </c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</row>
    <row r="2" spans="1:21" ht="12" thickBot="1">
      <c r="A2" s="36"/>
      <c r="B2" s="38"/>
      <c r="C2" s="39"/>
      <c r="D2" s="40"/>
      <c r="E2" s="36"/>
      <c r="F2" s="39"/>
      <c r="G2" s="39"/>
      <c r="H2" s="40"/>
      <c r="I2" s="41"/>
      <c r="J2" s="36"/>
      <c r="K2" s="41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>
      <c r="A3" s="36"/>
      <c r="B3" s="365">
        <v>2017</v>
      </c>
      <c r="C3" s="367" t="s">
        <v>149</v>
      </c>
      <c r="D3" s="369" t="s">
        <v>150</v>
      </c>
      <c r="E3" s="42"/>
      <c r="F3" s="371" t="s">
        <v>189</v>
      </c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3"/>
      <c r="R3" s="367" t="s">
        <v>69</v>
      </c>
      <c r="S3" s="42"/>
      <c r="T3" s="375" t="s">
        <v>139</v>
      </c>
      <c r="U3" s="377" t="s">
        <v>190</v>
      </c>
    </row>
    <row r="4" spans="1:21" ht="12" thickBot="1">
      <c r="A4" s="36"/>
      <c r="B4" s="366"/>
      <c r="C4" s="368"/>
      <c r="D4" s="370"/>
      <c r="E4" s="42"/>
      <c r="F4" s="43" t="s">
        <v>70</v>
      </c>
      <c r="G4" s="44" t="s">
        <v>71</v>
      </c>
      <c r="H4" s="44" t="s">
        <v>72</v>
      </c>
      <c r="I4" s="44" t="s">
        <v>73</v>
      </c>
      <c r="J4" s="44" t="s">
        <v>74</v>
      </c>
      <c r="K4" s="44" t="s">
        <v>75</v>
      </c>
      <c r="L4" s="44" t="s">
        <v>76</v>
      </c>
      <c r="M4" s="44" t="s">
        <v>77</v>
      </c>
      <c r="N4" s="44" t="s">
        <v>78</v>
      </c>
      <c r="O4" s="44" t="s">
        <v>79</v>
      </c>
      <c r="P4" s="44" t="s">
        <v>80</v>
      </c>
      <c r="Q4" s="44" t="s">
        <v>81</v>
      </c>
      <c r="R4" s="374"/>
      <c r="S4" s="42"/>
      <c r="T4" s="376"/>
      <c r="U4" s="378"/>
    </row>
    <row r="5" spans="1:21">
      <c r="A5" s="36"/>
      <c r="B5" s="100" t="s">
        <v>82</v>
      </c>
      <c r="C5" s="101">
        <v>5231.0116822429909</v>
      </c>
      <c r="D5" s="102">
        <v>261.95999999999975</v>
      </c>
      <c r="E5" s="42"/>
      <c r="F5" s="94">
        <f>+SUM(F6:F17)</f>
        <v>29</v>
      </c>
      <c r="G5" s="49">
        <f t="shared" ref="G5:R5" si="0">+SUM(G6:G17)</f>
        <v>39</v>
      </c>
      <c r="H5" s="49">
        <f t="shared" si="0"/>
        <v>35</v>
      </c>
      <c r="I5" s="49">
        <f t="shared" si="0"/>
        <v>35</v>
      </c>
      <c r="J5" s="49">
        <f t="shared" si="0"/>
        <v>45</v>
      </c>
      <c r="K5" s="49">
        <f t="shared" si="0"/>
        <v>39</v>
      </c>
      <c r="L5" s="49">
        <f t="shared" si="0"/>
        <v>36</v>
      </c>
      <c r="M5" s="49">
        <f t="shared" si="0"/>
        <v>36</v>
      </c>
      <c r="N5" s="49">
        <f t="shared" si="0"/>
        <v>36</v>
      </c>
      <c r="O5" s="49">
        <f t="shared" si="0"/>
        <v>36</v>
      </c>
      <c r="P5" s="49">
        <f t="shared" si="0"/>
        <v>30</v>
      </c>
      <c r="Q5" s="49">
        <f t="shared" si="0"/>
        <v>32</v>
      </c>
      <c r="R5" s="95">
        <f t="shared" si="0"/>
        <v>428</v>
      </c>
      <c r="S5" s="42"/>
      <c r="T5" s="51">
        <f>+SUM(T6:T17)</f>
        <v>2238873</v>
      </c>
      <c r="U5" s="52">
        <f>+SUM(U6:U17)</f>
        <v>112118.87999999999</v>
      </c>
    </row>
    <row r="6" spans="1:21">
      <c r="A6" s="36"/>
      <c r="B6" s="53" t="s">
        <v>83</v>
      </c>
      <c r="C6" s="54">
        <v>6027</v>
      </c>
      <c r="D6" s="55">
        <v>261.95999999999992</v>
      </c>
      <c r="E6" s="42"/>
      <c r="F6" s="56">
        <v>3</v>
      </c>
      <c r="G6" s="57">
        <v>4</v>
      </c>
      <c r="H6" s="57">
        <v>3</v>
      </c>
      <c r="I6" s="57">
        <v>4</v>
      </c>
      <c r="J6" s="57">
        <v>5</v>
      </c>
      <c r="K6" s="57">
        <v>4</v>
      </c>
      <c r="L6" s="57">
        <v>4</v>
      </c>
      <c r="M6" s="57">
        <v>4</v>
      </c>
      <c r="N6" s="57">
        <v>4</v>
      </c>
      <c r="O6" s="57">
        <v>4</v>
      </c>
      <c r="P6" s="57">
        <v>4</v>
      </c>
      <c r="Q6" s="57">
        <v>4</v>
      </c>
      <c r="R6" s="96">
        <f>+SUM(F6:Q6)</f>
        <v>47</v>
      </c>
      <c r="S6" s="42"/>
      <c r="T6" s="59">
        <f>+SUM(F6:Q6)*C6</f>
        <v>283269</v>
      </c>
      <c r="U6" s="60">
        <f>+SUM(F6:Q6)*D6</f>
        <v>12312.119999999997</v>
      </c>
    </row>
    <row r="7" spans="1:21">
      <c r="A7" s="36"/>
      <c r="B7" s="53" t="s">
        <v>84</v>
      </c>
      <c r="C7" s="54">
        <v>6027</v>
      </c>
      <c r="D7" s="55">
        <v>261.95999999999987</v>
      </c>
      <c r="E7" s="42"/>
      <c r="F7" s="56">
        <v>9</v>
      </c>
      <c r="G7" s="57">
        <v>10</v>
      </c>
      <c r="H7" s="57">
        <v>9</v>
      </c>
      <c r="I7" s="57">
        <v>10</v>
      </c>
      <c r="J7" s="57">
        <v>12</v>
      </c>
      <c r="K7" s="57">
        <v>10</v>
      </c>
      <c r="L7" s="57">
        <v>10</v>
      </c>
      <c r="M7" s="57">
        <v>10</v>
      </c>
      <c r="N7" s="57">
        <v>10</v>
      </c>
      <c r="O7" s="57">
        <v>10</v>
      </c>
      <c r="P7" s="57">
        <v>8</v>
      </c>
      <c r="Q7" s="57">
        <v>8</v>
      </c>
      <c r="R7" s="96">
        <f t="shared" ref="R7:R17" si="1">+SUM(F7:Q7)</f>
        <v>116</v>
      </c>
      <c r="S7" s="42"/>
      <c r="T7" s="59">
        <f t="shared" ref="T7:T17" si="2">+SUM(F7:Q7)*C7</f>
        <v>699132</v>
      </c>
      <c r="U7" s="60">
        <f t="shared" ref="U7:U17" si="3">+SUM(F7:Q7)*D7</f>
        <v>30387.359999999986</v>
      </c>
    </row>
    <row r="8" spans="1:21">
      <c r="A8" s="36"/>
      <c r="B8" s="53" t="s">
        <v>85</v>
      </c>
      <c r="C8" s="54">
        <v>5909</v>
      </c>
      <c r="D8" s="55">
        <v>261.96000000000004</v>
      </c>
      <c r="E8" s="42"/>
      <c r="F8" s="56">
        <v>1</v>
      </c>
      <c r="G8" s="57">
        <v>2</v>
      </c>
      <c r="H8" s="57">
        <v>2</v>
      </c>
      <c r="I8" s="57">
        <v>1</v>
      </c>
      <c r="J8" s="57">
        <v>2</v>
      </c>
      <c r="K8" s="57">
        <v>2</v>
      </c>
      <c r="L8" s="57">
        <v>1</v>
      </c>
      <c r="M8" s="57">
        <v>1</v>
      </c>
      <c r="N8" s="57">
        <v>1</v>
      </c>
      <c r="O8" s="57">
        <v>1</v>
      </c>
      <c r="P8" s="57">
        <v>1</v>
      </c>
      <c r="Q8" s="57">
        <v>1</v>
      </c>
      <c r="R8" s="96">
        <f t="shared" si="1"/>
        <v>16</v>
      </c>
      <c r="S8" s="42"/>
      <c r="T8" s="59">
        <f t="shared" si="2"/>
        <v>94544</v>
      </c>
      <c r="U8" s="60">
        <f t="shared" si="3"/>
        <v>4191.3600000000006</v>
      </c>
    </row>
    <row r="9" spans="1:21">
      <c r="A9" s="36"/>
      <c r="B9" s="53" t="s">
        <v>86</v>
      </c>
      <c r="C9" s="54">
        <v>5909</v>
      </c>
      <c r="D9" s="55">
        <v>261.96000000000004</v>
      </c>
      <c r="E9" s="42"/>
      <c r="F9" s="56">
        <v>2</v>
      </c>
      <c r="G9" s="57">
        <v>2</v>
      </c>
      <c r="H9" s="57">
        <v>2</v>
      </c>
      <c r="I9" s="57">
        <v>2</v>
      </c>
      <c r="J9" s="57">
        <v>3</v>
      </c>
      <c r="K9" s="57">
        <v>3</v>
      </c>
      <c r="L9" s="57">
        <v>3</v>
      </c>
      <c r="M9" s="57">
        <v>3</v>
      </c>
      <c r="N9" s="57">
        <v>3</v>
      </c>
      <c r="O9" s="57">
        <v>3</v>
      </c>
      <c r="P9" s="57">
        <v>3</v>
      </c>
      <c r="Q9" s="57">
        <v>3</v>
      </c>
      <c r="R9" s="96">
        <f t="shared" si="1"/>
        <v>32</v>
      </c>
      <c r="S9" s="42"/>
      <c r="T9" s="59">
        <f t="shared" si="2"/>
        <v>189088</v>
      </c>
      <c r="U9" s="60">
        <f t="shared" si="3"/>
        <v>8382.7200000000012</v>
      </c>
    </row>
    <row r="10" spans="1:21">
      <c r="A10" s="36"/>
      <c r="B10" s="53" t="s">
        <v>87</v>
      </c>
      <c r="C10" s="54">
        <v>5082.5</v>
      </c>
      <c r="D10" s="55">
        <v>261.95999999999987</v>
      </c>
      <c r="E10" s="42"/>
      <c r="F10" s="56">
        <v>4</v>
      </c>
      <c r="G10" s="57">
        <v>6</v>
      </c>
      <c r="H10" s="57">
        <v>6</v>
      </c>
      <c r="I10" s="57">
        <v>6</v>
      </c>
      <c r="J10" s="57">
        <v>7</v>
      </c>
      <c r="K10" s="57">
        <v>6</v>
      </c>
      <c r="L10" s="57">
        <v>6</v>
      </c>
      <c r="M10" s="57">
        <v>6</v>
      </c>
      <c r="N10" s="57">
        <v>6</v>
      </c>
      <c r="O10" s="57">
        <v>6</v>
      </c>
      <c r="P10" s="57">
        <v>5</v>
      </c>
      <c r="Q10" s="57">
        <v>5</v>
      </c>
      <c r="R10" s="96">
        <f t="shared" si="1"/>
        <v>69</v>
      </c>
      <c r="S10" s="42"/>
      <c r="T10" s="59">
        <f t="shared" si="2"/>
        <v>350692.5</v>
      </c>
      <c r="U10" s="60">
        <f t="shared" si="3"/>
        <v>18075.239999999991</v>
      </c>
    </row>
    <row r="11" spans="1:21">
      <c r="A11" s="36"/>
      <c r="B11" s="53" t="s">
        <v>88</v>
      </c>
      <c r="C11" s="54">
        <v>5082.5</v>
      </c>
      <c r="D11" s="55">
        <v>261.96000000000026</v>
      </c>
      <c r="E11" s="42"/>
      <c r="F11" s="56">
        <v>4</v>
      </c>
      <c r="G11" s="57">
        <v>6</v>
      </c>
      <c r="H11" s="57">
        <v>5</v>
      </c>
      <c r="I11" s="57">
        <v>5</v>
      </c>
      <c r="J11" s="57">
        <v>6</v>
      </c>
      <c r="K11" s="57">
        <v>5</v>
      </c>
      <c r="L11" s="57">
        <v>5</v>
      </c>
      <c r="M11" s="57">
        <v>5</v>
      </c>
      <c r="N11" s="57">
        <v>5</v>
      </c>
      <c r="O11" s="57">
        <v>5</v>
      </c>
      <c r="P11" s="57">
        <v>4</v>
      </c>
      <c r="Q11" s="57">
        <v>4</v>
      </c>
      <c r="R11" s="96">
        <f t="shared" si="1"/>
        <v>59</v>
      </c>
      <c r="S11" s="42"/>
      <c r="T11" s="59">
        <f t="shared" si="2"/>
        <v>299867.5</v>
      </c>
      <c r="U11" s="60">
        <f t="shared" si="3"/>
        <v>15455.640000000016</v>
      </c>
    </row>
    <row r="12" spans="1:21">
      <c r="A12" s="36"/>
      <c r="B12" s="53" t="s">
        <v>89</v>
      </c>
      <c r="C12" s="54">
        <v>4060</v>
      </c>
      <c r="D12" s="55">
        <v>261.95999999999981</v>
      </c>
      <c r="E12" s="42"/>
      <c r="F12" s="56">
        <v>1</v>
      </c>
      <c r="G12" s="57">
        <v>1</v>
      </c>
      <c r="H12" s="57">
        <v>1</v>
      </c>
      <c r="I12" s="57">
        <v>1</v>
      </c>
      <c r="J12" s="57">
        <v>1</v>
      </c>
      <c r="K12" s="57">
        <v>1</v>
      </c>
      <c r="L12" s="57">
        <v>1</v>
      </c>
      <c r="M12" s="57">
        <v>1</v>
      </c>
      <c r="N12" s="57">
        <v>1</v>
      </c>
      <c r="O12" s="57">
        <v>1</v>
      </c>
      <c r="P12" s="57">
        <v>0</v>
      </c>
      <c r="Q12" s="57">
        <v>1</v>
      </c>
      <c r="R12" s="96">
        <f t="shared" si="1"/>
        <v>11</v>
      </c>
      <c r="S12" s="42"/>
      <c r="T12" s="59">
        <f t="shared" si="2"/>
        <v>44660</v>
      </c>
      <c r="U12" s="60">
        <f t="shared" si="3"/>
        <v>2881.5599999999977</v>
      </c>
    </row>
    <row r="13" spans="1:21">
      <c r="A13" s="36"/>
      <c r="B13" s="53" t="s">
        <v>90</v>
      </c>
      <c r="C13" s="54">
        <v>4060</v>
      </c>
      <c r="D13" s="55">
        <v>261.96000000000004</v>
      </c>
      <c r="E13" s="42"/>
      <c r="F13" s="56">
        <v>1</v>
      </c>
      <c r="G13" s="57">
        <v>2</v>
      </c>
      <c r="H13" s="57">
        <v>2</v>
      </c>
      <c r="I13" s="57">
        <v>1</v>
      </c>
      <c r="J13" s="57">
        <v>2</v>
      </c>
      <c r="K13" s="57">
        <v>2</v>
      </c>
      <c r="L13" s="57">
        <v>1</v>
      </c>
      <c r="M13" s="57">
        <v>1</v>
      </c>
      <c r="N13" s="57">
        <v>1</v>
      </c>
      <c r="O13" s="57">
        <v>1</v>
      </c>
      <c r="P13" s="57">
        <v>1</v>
      </c>
      <c r="Q13" s="57">
        <v>1</v>
      </c>
      <c r="R13" s="96">
        <f t="shared" si="1"/>
        <v>16</v>
      </c>
      <c r="S13" s="42"/>
      <c r="T13" s="59">
        <f t="shared" si="2"/>
        <v>64960</v>
      </c>
      <c r="U13" s="60">
        <f t="shared" si="3"/>
        <v>4191.3600000000006</v>
      </c>
    </row>
    <row r="14" spans="1:21">
      <c r="A14" s="36"/>
      <c r="B14" s="53" t="s">
        <v>91</v>
      </c>
      <c r="C14" s="54">
        <v>3430</v>
      </c>
      <c r="D14" s="55">
        <v>261.96000000000009</v>
      </c>
      <c r="E14" s="42"/>
      <c r="F14" s="56">
        <v>3</v>
      </c>
      <c r="G14" s="57">
        <v>4</v>
      </c>
      <c r="H14" s="57">
        <v>3</v>
      </c>
      <c r="I14" s="57">
        <v>4</v>
      </c>
      <c r="J14" s="57">
        <v>5</v>
      </c>
      <c r="K14" s="57">
        <v>4</v>
      </c>
      <c r="L14" s="57">
        <v>4</v>
      </c>
      <c r="M14" s="57">
        <v>4</v>
      </c>
      <c r="N14" s="57">
        <v>4</v>
      </c>
      <c r="O14" s="57">
        <v>4</v>
      </c>
      <c r="P14" s="57">
        <v>3</v>
      </c>
      <c r="Q14" s="57">
        <v>4</v>
      </c>
      <c r="R14" s="96">
        <f t="shared" si="1"/>
        <v>46</v>
      </c>
      <c r="S14" s="42"/>
      <c r="T14" s="59">
        <f t="shared" si="2"/>
        <v>157780</v>
      </c>
      <c r="U14" s="60">
        <f t="shared" si="3"/>
        <v>12050.160000000003</v>
      </c>
    </row>
    <row r="15" spans="1:21">
      <c r="A15" s="36"/>
      <c r="B15" s="53" t="s">
        <v>92</v>
      </c>
      <c r="C15" s="54">
        <v>3430</v>
      </c>
      <c r="D15" s="55">
        <v>261.96000000000004</v>
      </c>
      <c r="E15" s="42"/>
      <c r="F15" s="56">
        <v>1</v>
      </c>
      <c r="G15" s="57">
        <v>2</v>
      </c>
      <c r="H15" s="57">
        <v>2</v>
      </c>
      <c r="I15" s="57">
        <v>1</v>
      </c>
      <c r="J15" s="57">
        <v>2</v>
      </c>
      <c r="K15" s="57">
        <v>2</v>
      </c>
      <c r="L15" s="57">
        <v>1</v>
      </c>
      <c r="M15" s="57">
        <v>1</v>
      </c>
      <c r="N15" s="57">
        <v>1</v>
      </c>
      <c r="O15" s="57">
        <v>1</v>
      </c>
      <c r="P15" s="57">
        <v>1</v>
      </c>
      <c r="Q15" s="57">
        <v>1</v>
      </c>
      <c r="R15" s="96">
        <f t="shared" si="1"/>
        <v>16</v>
      </c>
      <c r="S15" s="42"/>
      <c r="T15" s="59">
        <f t="shared" si="2"/>
        <v>54880</v>
      </c>
      <c r="U15" s="60">
        <f t="shared" si="3"/>
        <v>4191.3600000000006</v>
      </c>
    </row>
    <row r="16" spans="1:21">
      <c r="A16" s="36"/>
      <c r="B16" s="53" t="s">
        <v>93</v>
      </c>
      <c r="C16" s="54">
        <v>0</v>
      </c>
      <c r="D16" s="55">
        <v>0</v>
      </c>
      <c r="E16" s="42"/>
      <c r="F16" s="56">
        <v>0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96">
        <f t="shared" si="1"/>
        <v>0</v>
      </c>
      <c r="S16" s="42"/>
      <c r="T16" s="59">
        <f t="shared" si="2"/>
        <v>0</v>
      </c>
      <c r="U16" s="60">
        <f t="shared" si="3"/>
        <v>0</v>
      </c>
    </row>
    <row r="17" spans="1:21" ht="12" thickBot="1">
      <c r="A17" s="36"/>
      <c r="B17" s="103" t="s">
        <v>94</v>
      </c>
      <c r="C17" s="104">
        <v>0</v>
      </c>
      <c r="D17" s="105">
        <v>0</v>
      </c>
      <c r="E17" s="42"/>
      <c r="F17" s="97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8">
        <v>0</v>
      </c>
      <c r="N17" s="98">
        <v>0</v>
      </c>
      <c r="O17" s="98">
        <v>0</v>
      </c>
      <c r="P17" s="98">
        <v>0</v>
      </c>
      <c r="Q17" s="98">
        <v>0</v>
      </c>
      <c r="R17" s="99">
        <f t="shared" si="1"/>
        <v>0</v>
      </c>
      <c r="S17" s="42"/>
      <c r="T17" s="59">
        <f t="shared" si="2"/>
        <v>0</v>
      </c>
      <c r="U17" s="60">
        <f t="shared" si="3"/>
        <v>0</v>
      </c>
    </row>
    <row r="18" spans="1:21">
      <c r="A18" s="36"/>
      <c r="B18" s="100" t="s">
        <v>95</v>
      </c>
      <c r="C18" s="101">
        <v>5123.9832402234633</v>
      </c>
      <c r="D18" s="102">
        <v>357.16234636871474</v>
      </c>
      <c r="E18" s="42"/>
      <c r="F18" s="94">
        <f>+SUM(F19:F30)</f>
        <v>15</v>
      </c>
      <c r="G18" s="49">
        <f t="shared" ref="G18" si="4">+SUM(G19:G30)</f>
        <v>16</v>
      </c>
      <c r="H18" s="49">
        <f t="shared" ref="H18" si="5">+SUM(H19:H30)</f>
        <v>15</v>
      </c>
      <c r="I18" s="49">
        <f t="shared" ref="I18" si="6">+SUM(I19:I30)</f>
        <v>15</v>
      </c>
      <c r="J18" s="49">
        <f t="shared" ref="J18" si="7">+SUM(J19:J30)</f>
        <v>17</v>
      </c>
      <c r="K18" s="49">
        <f t="shared" ref="K18" si="8">+SUM(K19:K30)</f>
        <v>15</v>
      </c>
      <c r="L18" s="49">
        <f t="shared" ref="L18" si="9">+SUM(L19:L30)</f>
        <v>15</v>
      </c>
      <c r="M18" s="49">
        <f t="shared" ref="M18" si="10">+SUM(M19:M30)</f>
        <v>15</v>
      </c>
      <c r="N18" s="49">
        <f t="shared" ref="N18" si="11">+SUM(N19:N30)</f>
        <v>15</v>
      </c>
      <c r="O18" s="49">
        <f t="shared" ref="O18" si="12">+SUM(O19:O30)</f>
        <v>15</v>
      </c>
      <c r="P18" s="49">
        <f t="shared" ref="P18" si="13">+SUM(P19:P30)</f>
        <v>13</v>
      </c>
      <c r="Q18" s="49">
        <f t="shared" ref="Q18:R18" si="14">+SUM(Q19:Q30)</f>
        <v>13</v>
      </c>
      <c r="R18" s="95">
        <f t="shared" si="14"/>
        <v>179</v>
      </c>
      <c r="S18" s="42"/>
      <c r="T18" s="51">
        <f>+SUM(T19:T30)</f>
        <v>917193</v>
      </c>
      <c r="U18" s="52">
        <f>+SUM(U19:U30)</f>
        <v>63932.059999999947</v>
      </c>
    </row>
    <row r="19" spans="1:21">
      <c r="A19" s="36"/>
      <c r="B19" s="53" t="s">
        <v>83</v>
      </c>
      <c r="C19" s="54">
        <v>0</v>
      </c>
      <c r="D19" s="55">
        <v>0</v>
      </c>
      <c r="E19" s="42"/>
      <c r="F19" s="56">
        <v>0</v>
      </c>
      <c r="G19" s="57">
        <v>0</v>
      </c>
      <c r="H19" s="57">
        <v>0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0</v>
      </c>
      <c r="Q19" s="57">
        <v>0</v>
      </c>
      <c r="R19" s="96">
        <f>+SUM(F19:Q19)</f>
        <v>0</v>
      </c>
      <c r="S19" s="42"/>
      <c r="T19" s="59">
        <f>+SUM(F19:Q19)*C19</f>
        <v>0</v>
      </c>
      <c r="U19" s="60">
        <f>+SUM(F19:Q19)*D19</f>
        <v>0</v>
      </c>
    </row>
    <row r="20" spans="1:21">
      <c r="A20" s="36"/>
      <c r="B20" s="53" t="s">
        <v>84</v>
      </c>
      <c r="C20" s="54">
        <v>5291.3855421686749</v>
      </c>
      <c r="D20" s="55">
        <v>362.18481927710872</v>
      </c>
      <c r="E20" s="42"/>
      <c r="F20" s="56">
        <v>7</v>
      </c>
      <c r="G20" s="57">
        <v>7</v>
      </c>
      <c r="H20" s="57">
        <v>7</v>
      </c>
      <c r="I20" s="57">
        <v>7</v>
      </c>
      <c r="J20" s="57">
        <v>8</v>
      </c>
      <c r="K20" s="57">
        <v>7</v>
      </c>
      <c r="L20" s="57">
        <v>7</v>
      </c>
      <c r="M20" s="57">
        <v>7</v>
      </c>
      <c r="N20" s="57">
        <v>7</v>
      </c>
      <c r="O20" s="57">
        <v>7</v>
      </c>
      <c r="P20" s="57">
        <v>6</v>
      </c>
      <c r="Q20" s="57">
        <v>6</v>
      </c>
      <c r="R20" s="96">
        <f t="shared" ref="R20:R30" si="15">+SUM(F20:Q20)</f>
        <v>83</v>
      </c>
      <c r="S20" s="42"/>
      <c r="T20" s="59">
        <f t="shared" ref="T20:T30" si="16">+SUM(F20:Q20)*C20</f>
        <v>439185</v>
      </c>
      <c r="U20" s="60">
        <f t="shared" ref="U20:U30" si="17">+SUM(F20:Q20)*D20</f>
        <v>30061.340000000022</v>
      </c>
    </row>
    <row r="21" spans="1:21">
      <c r="A21" s="36"/>
      <c r="B21" s="53" t="s">
        <v>85</v>
      </c>
      <c r="C21" s="54">
        <v>0</v>
      </c>
      <c r="D21" s="55">
        <v>0</v>
      </c>
      <c r="E21" s="42"/>
      <c r="F21" s="56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>
        <v>0</v>
      </c>
      <c r="Q21" s="57">
        <v>0</v>
      </c>
      <c r="R21" s="96">
        <f t="shared" si="15"/>
        <v>0</v>
      </c>
      <c r="S21" s="42"/>
      <c r="T21" s="59">
        <f t="shared" si="16"/>
        <v>0</v>
      </c>
      <c r="U21" s="60">
        <f t="shared" si="17"/>
        <v>0</v>
      </c>
    </row>
    <row r="22" spans="1:21">
      <c r="A22" s="36"/>
      <c r="B22" s="53" t="s">
        <v>86</v>
      </c>
      <c r="C22" s="54">
        <v>5909</v>
      </c>
      <c r="D22" s="55">
        <v>352.81999999999971</v>
      </c>
      <c r="E22" s="42"/>
      <c r="F22" s="56">
        <v>1</v>
      </c>
      <c r="G22" s="57">
        <v>1</v>
      </c>
      <c r="H22" s="57">
        <v>1</v>
      </c>
      <c r="I22" s="57">
        <v>1</v>
      </c>
      <c r="J22" s="57">
        <v>1</v>
      </c>
      <c r="K22" s="57">
        <v>1</v>
      </c>
      <c r="L22" s="57">
        <v>1</v>
      </c>
      <c r="M22" s="57">
        <v>1</v>
      </c>
      <c r="N22" s="57">
        <v>1</v>
      </c>
      <c r="O22" s="57">
        <v>1</v>
      </c>
      <c r="P22" s="57">
        <v>1</v>
      </c>
      <c r="Q22" s="57">
        <v>1</v>
      </c>
      <c r="R22" s="96">
        <f t="shared" si="15"/>
        <v>12</v>
      </c>
      <c r="S22" s="42"/>
      <c r="T22" s="59">
        <f t="shared" si="16"/>
        <v>70908</v>
      </c>
      <c r="U22" s="60">
        <f t="shared" si="17"/>
        <v>4233.8399999999965</v>
      </c>
    </row>
    <row r="23" spans="1:21">
      <c r="A23" s="36"/>
      <c r="B23" s="53" t="s">
        <v>87</v>
      </c>
      <c r="C23" s="54">
        <v>0</v>
      </c>
      <c r="D23" s="55">
        <v>0</v>
      </c>
      <c r="E23" s="42"/>
      <c r="F23" s="56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57">
        <v>0</v>
      </c>
      <c r="P23" s="57">
        <v>0</v>
      </c>
      <c r="Q23" s="57">
        <v>0</v>
      </c>
      <c r="R23" s="96">
        <f t="shared" si="15"/>
        <v>0</v>
      </c>
      <c r="S23" s="42"/>
      <c r="T23" s="59">
        <f t="shared" si="16"/>
        <v>0</v>
      </c>
      <c r="U23" s="60">
        <f t="shared" si="17"/>
        <v>0</v>
      </c>
    </row>
    <row r="24" spans="1:21">
      <c r="A24" s="36"/>
      <c r="B24" s="53" t="s">
        <v>88</v>
      </c>
      <c r="C24" s="54">
        <v>5082.5</v>
      </c>
      <c r="D24" s="55">
        <v>352.81999999999891</v>
      </c>
      <c r="E24" s="42"/>
      <c r="F24" s="56">
        <v>6</v>
      </c>
      <c r="G24" s="57">
        <v>7</v>
      </c>
      <c r="H24" s="57">
        <v>6</v>
      </c>
      <c r="I24" s="57">
        <v>6</v>
      </c>
      <c r="J24" s="57">
        <v>7</v>
      </c>
      <c r="K24" s="57">
        <v>6</v>
      </c>
      <c r="L24" s="57">
        <v>6</v>
      </c>
      <c r="M24" s="57">
        <v>6</v>
      </c>
      <c r="N24" s="57">
        <v>6</v>
      </c>
      <c r="O24" s="57">
        <v>6</v>
      </c>
      <c r="P24" s="57">
        <v>5</v>
      </c>
      <c r="Q24" s="57">
        <v>5</v>
      </c>
      <c r="R24" s="96">
        <f t="shared" si="15"/>
        <v>72</v>
      </c>
      <c r="S24" s="42"/>
      <c r="T24" s="59">
        <f t="shared" si="16"/>
        <v>365940</v>
      </c>
      <c r="U24" s="60">
        <f t="shared" si="17"/>
        <v>25403.039999999921</v>
      </c>
    </row>
    <row r="25" spans="1:21">
      <c r="A25" s="36"/>
      <c r="B25" s="53" t="s">
        <v>89</v>
      </c>
      <c r="C25" s="54">
        <v>0</v>
      </c>
      <c r="D25" s="55">
        <v>0</v>
      </c>
      <c r="E25" s="42"/>
      <c r="F25" s="56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s="57">
        <v>0</v>
      </c>
      <c r="M25" s="57">
        <v>0</v>
      </c>
      <c r="N25" s="57">
        <v>0</v>
      </c>
      <c r="O25" s="57">
        <v>0</v>
      </c>
      <c r="P25" s="57">
        <v>0</v>
      </c>
      <c r="Q25" s="57">
        <v>0</v>
      </c>
      <c r="R25" s="96">
        <f t="shared" si="15"/>
        <v>0</v>
      </c>
      <c r="S25" s="42"/>
      <c r="T25" s="59">
        <f t="shared" si="16"/>
        <v>0</v>
      </c>
      <c r="U25" s="60">
        <f t="shared" si="17"/>
        <v>0</v>
      </c>
    </row>
    <row r="26" spans="1:21">
      <c r="A26" s="36"/>
      <c r="B26" s="53" t="s">
        <v>90</v>
      </c>
      <c r="C26" s="54">
        <v>0</v>
      </c>
      <c r="D26" s="55">
        <v>0</v>
      </c>
      <c r="E26" s="42"/>
      <c r="F26" s="56">
        <v>0</v>
      </c>
      <c r="G26" s="57">
        <v>0</v>
      </c>
      <c r="H26" s="57">
        <v>0</v>
      </c>
      <c r="I26" s="57">
        <v>0</v>
      </c>
      <c r="J26" s="57">
        <v>0</v>
      </c>
      <c r="K26" s="57">
        <v>0</v>
      </c>
      <c r="L26" s="57">
        <v>0</v>
      </c>
      <c r="M26" s="57">
        <v>0</v>
      </c>
      <c r="N26" s="57">
        <v>0</v>
      </c>
      <c r="O26" s="57">
        <v>0</v>
      </c>
      <c r="P26" s="57">
        <v>0</v>
      </c>
      <c r="Q26" s="57">
        <v>0</v>
      </c>
      <c r="R26" s="96">
        <f t="shared" si="15"/>
        <v>0</v>
      </c>
      <c r="S26" s="42"/>
      <c r="T26" s="59">
        <f t="shared" si="16"/>
        <v>0</v>
      </c>
      <c r="U26" s="60">
        <f t="shared" si="17"/>
        <v>0</v>
      </c>
    </row>
    <row r="27" spans="1:21">
      <c r="A27" s="36"/>
      <c r="B27" s="53" t="s">
        <v>91</v>
      </c>
      <c r="C27" s="54">
        <v>0</v>
      </c>
      <c r="D27" s="55">
        <v>0</v>
      </c>
      <c r="E27" s="42"/>
      <c r="F27" s="56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57">
        <v>0</v>
      </c>
      <c r="N27" s="57">
        <v>0</v>
      </c>
      <c r="O27" s="57">
        <v>0</v>
      </c>
      <c r="P27" s="57">
        <v>0</v>
      </c>
      <c r="Q27" s="57">
        <v>0</v>
      </c>
      <c r="R27" s="96">
        <f t="shared" si="15"/>
        <v>0</v>
      </c>
      <c r="S27" s="42"/>
      <c r="T27" s="59">
        <f t="shared" si="16"/>
        <v>0</v>
      </c>
      <c r="U27" s="60">
        <f t="shared" si="17"/>
        <v>0</v>
      </c>
    </row>
    <row r="28" spans="1:21">
      <c r="A28" s="36"/>
      <c r="B28" s="53" t="s">
        <v>92</v>
      </c>
      <c r="C28" s="54">
        <v>3430</v>
      </c>
      <c r="D28" s="55">
        <v>352.82000000000033</v>
      </c>
      <c r="E28" s="42"/>
      <c r="F28" s="56">
        <v>1</v>
      </c>
      <c r="G28" s="57">
        <v>1</v>
      </c>
      <c r="H28" s="57">
        <v>1</v>
      </c>
      <c r="I28" s="57">
        <v>1</v>
      </c>
      <c r="J28" s="57">
        <v>1</v>
      </c>
      <c r="K28" s="57">
        <v>1</v>
      </c>
      <c r="L28" s="57">
        <v>1</v>
      </c>
      <c r="M28" s="57">
        <v>1</v>
      </c>
      <c r="N28" s="57">
        <v>1</v>
      </c>
      <c r="O28" s="57">
        <v>1</v>
      </c>
      <c r="P28" s="57">
        <v>1</v>
      </c>
      <c r="Q28" s="57">
        <v>1</v>
      </c>
      <c r="R28" s="96">
        <f t="shared" si="15"/>
        <v>12</v>
      </c>
      <c r="S28" s="42"/>
      <c r="T28" s="59">
        <f t="shared" si="16"/>
        <v>41160</v>
      </c>
      <c r="U28" s="60">
        <f t="shared" si="17"/>
        <v>4233.8400000000038</v>
      </c>
    </row>
    <row r="29" spans="1:21">
      <c r="A29" s="36"/>
      <c r="B29" s="53" t="s">
        <v>93</v>
      </c>
      <c r="C29" s="54">
        <v>0</v>
      </c>
      <c r="D29" s="55">
        <v>0</v>
      </c>
      <c r="E29" s="42"/>
      <c r="F29" s="56">
        <v>0</v>
      </c>
      <c r="G29" s="57">
        <v>0</v>
      </c>
      <c r="H29" s="57">
        <v>0</v>
      </c>
      <c r="I29" s="57">
        <v>0</v>
      </c>
      <c r="J29" s="57">
        <v>0</v>
      </c>
      <c r="K29" s="57">
        <v>0</v>
      </c>
      <c r="L29" s="57">
        <v>0</v>
      </c>
      <c r="M29" s="57">
        <v>0</v>
      </c>
      <c r="N29" s="57">
        <v>0</v>
      </c>
      <c r="O29" s="57">
        <v>0</v>
      </c>
      <c r="P29" s="57">
        <v>0</v>
      </c>
      <c r="Q29" s="57">
        <v>0</v>
      </c>
      <c r="R29" s="96">
        <f t="shared" si="15"/>
        <v>0</v>
      </c>
      <c r="S29" s="42"/>
      <c r="T29" s="59">
        <f t="shared" si="16"/>
        <v>0</v>
      </c>
      <c r="U29" s="60">
        <f t="shared" si="17"/>
        <v>0</v>
      </c>
    </row>
    <row r="30" spans="1:21" ht="12" thickBot="1">
      <c r="A30" s="36"/>
      <c r="B30" s="103" t="s">
        <v>94</v>
      </c>
      <c r="C30" s="104">
        <v>0</v>
      </c>
      <c r="D30" s="105">
        <v>0</v>
      </c>
      <c r="E30" s="42"/>
      <c r="F30" s="97">
        <v>0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8">
        <v>0</v>
      </c>
      <c r="O30" s="98">
        <v>0</v>
      </c>
      <c r="P30" s="98">
        <v>0</v>
      </c>
      <c r="Q30" s="98">
        <v>0</v>
      </c>
      <c r="R30" s="99">
        <f t="shared" si="15"/>
        <v>0</v>
      </c>
      <c r="S30" s="42"/>
      <c r="T30" s="59">
        <f t="shared" si="16"/>
        <v>0</v>
      </c>
      <c r="U30" s="60">
        <f t="shared" si="17"/>
        <v>0</v>
      </c>
    </row>
    <row r="31" spans="1:21">
      <c r="A31" s="36"/>
      <c r="B31" s="106" t="s">
        <v>96</v>
      </c>
      <c r="C31" s="101">
        <v>4165.4668006700167</v>
      </c>
      <c r="D31" s="102">
        <v>340.77142378559472</v>
      </c>
      <c r="E31" s="42"/>
      <c r="F31" s="94">
        <f>+SUM(F32:F43)</f>
        <v>44</v>
      </c>
      <c r="G31" s="49">
        <f t="shared" ref="G31" si="18">+SUM(G32:G43)</f>
        <v>48</v>
      </c>
      <c r="H31" s="49">
        <f t="shared" ref="H31" si="19">+SUM(H32:H43)</f>
        <v>47</v>
      </c>
      <c r="I31" s="49">
        <f t="shared" ref="I31" si="20">+SUM(I32:I43)</f>
        <v>46</v>
      </c>
      <c r="J31" s="49">
        <f t="shared" ref="J31" si="21">+SUM(J32:J43)</f>
        <v>53</v>
      </c>
      <c r="K31" s="49">
        <f t="shared" ref="K31" si="22">+SUM(K32:K43)</f>
        <v>50</v>
      </c>
      <c r="L31" s="49">
        <f t="shared" ref="L31" si="23">+SUM(L32:L43)</f>
        <v>53</v>
      </c>
      <c r="M31" s="49">
        <f t="shared" ref="M31" si="24">+SUM(M32:M43)</f>
        <v>54</v>
      </c>
      <c r="N31" s="49">
        <f t="shared" ref="N31" si="25">+SUM(N32:N43)</f>
        <v>54</v>
      </c>
      <c r="O31" s="49">
        <f t="shared" ref="O31" si="26">+SUM(O32:O43)</f>
        <v>54</v>
      </c>
      <c r="P31" s="49">
        <f t="shared" ref="P31" si="27">+SUM(P32:P43)</f>
        <v>46</v>
      </c>
      <c r="Q31" s="49">
        <f t="shared" ref="Q31:R31" si="28">+SUM(Q32:Q43)</f>
        <v>48</v>
      </c>
      <c r="R31" s="95">
        <f t="shared" si="28"/>
        <v>597</v>
      </c>
      <c r="S31" s="42"/>
      <c r="T31" s="51">
        <f>+SUM(T32:T43)</f>
        <v>2486783.6800000002</v>
      </c>
      <c r="U31" s="52">
        <f>+SUM(U32:U43)</f>
        <v>203440.54000000007</v>
      </c>
    </row>
    <row r="32" spans="1:21">
      <c r="A32" s="36"/>
      <c r="B32" s="53" t="s">
        <v>83</v>
      </c>
      <c r="C32" s="54">
        <v>0</v>
      </c>
      <c r="D32" s="55">
        <v>0</v>
      </c>
      <c r="E32" s="42"/>
      <c r="F32" s="56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57">
        <v>0</v>
      </c>
      <c r="P32" s="57">
        <v>0</v>
      </c>
      <c r="Q32" s="57">
        <v>0</v>
      </c>
      <c r="R32" s="96">
        <f>+SUM(F32:Q32)</f>
        <v>0</v>
      </c>
      <c r="S32" s="42"/>
      <c r="T32" s="59">
        <f>+SUM(F32:Q32)*C32</f>
        <v>0</v>
      </c>
      <c r="U32" s="60">
        <f>+SUM(F32:Q32)*D32</f>
        <v>0</v>
      </c>
    </row>
    <row r="33" spans="1:21">
      <c r="A33" s="36"/>
      <c r="B33" s="53" t="s">
        <v>84</v>
      </c>
      <c r="C33" s="54">
        <v>5658.4120879120883</v>
      </c>
      <c r="D33" s="55">
        <v>389.63912087912126</v>
      </c>
      <c r="E33" s="42"/>
      <c r="F33" s="56">
        <v>14</v>
      </c>
      <c r="G33" s="57">
        <v>14</v>
      </c>
      <c r="H33" s="57">
        <v>15</v>
      </c>
      <c r="I33" s="57">
        <v>14</v>
      </c>
      <c r="J33" s="57">
        <v>16</v>
      </c>
      <c r="K33" s="57">
        <v>16</v>
      </c>
      <c r="L33" s="57">
        <v>15</v>
      </c>
      <c r="M33" s="57">
        <v>16</v>
      </c>
      <c r="N33" s="57">
        <v>16</v>
      </c>
      <c r="O33" s="57">
        <v>16</v>
      </c>
      <c r="P33" s="57">
        <v>15</v>
      </c>
      <c r="Q33" s="57">
        <v>15</v>
      </c>
      <c r="R33" s="96">
        <f t="shared" ref="R33:R43" si="29">+SUM(F33:Q33)</f>
        <v>182</v>
      </c>
      <c r="S33" s="42"/>
      <c r="T33" s="59">
        <f t="shared" ref="T33:T43" si="30">+SUM(F33:Q33)*C33</f>
        <v>1029831.0000000001</v>
      </c>
      <c r="U33" s="60">
        <f t="shared" ref="U33:U43" si="31">+SUM(F33:Q33)*D33</f>
        <v>70914.320000000065</v>
      </c>
    </row>
    <row r="34" spans="1:21">
      <c r="A34" s="36"/>
      <c r="B34" s="53" t="s">
        <v>85</v>
      </c>
      <c r="C34" s="54">
        <v>0</v>
      </c>
      <c r="D34" s="55">
        <v>0</v>
      </c>
      <c r="E34" s="42"/>
      <c r="F34" s="56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57">
        <v>0</v>
      </c>
      <c r="P34" s="57">
        <v>0</v>
      </c>
      <c r="Q34" s="57">
        <v>0</v>
      </c>
      <c r="R34" s="96">
        <f t="shared" si="29"/>
        <v>0</v>
      </c>
      <c r="S34" s="42"/>
      <c r="T34" s="59">
        <f t="shared" si="30"/>
        <v>0</v>
      </c>
      <c r="U34" s="60">
        <f t="shared" si="31"/>
        <v>0</v>
      </c>
    </row>
    <row r="35" spans="1:21">
      <c r="A35" s="36"/>
      <c r="B35" s="53" t="s">
        <v>86</v>
      </c>
      <c r="C35" s="54">
        <v>5571.3428571428567</v>
      </c>
      <c r="D35" s="55">
        <v>339.33428571428607</v>
      </c>
      <c r="E35" s="42"/>
      <c r="F35" s="56">
        <v>2</v>
      </c>
      <c r="G35" s="57">
        <v>2</v>
      </c>
      <c r="H35" s="57">
        <v>2</v>
      </c>
      <c r="I35" s="57">
        <v>2</v>
      </c>
      <c r="J35" s="57">
        <v>2</v>
      </c>
      <c r="K35" s="57">
        <v>2</v>
      </c>
      <c r="L35" s="57">
        <v>4</v>
      </c>
      <c r="M35" s="57">
        <v>4</v>
      </c>
      <c r="N35" s="57">
        <v>4</v>
      </c>
      <c r="O35" s="57">
        <v>4</v>
      </c>
      <c r="P35" s="57">
        <v>3</v>
      </c>
      <c r="Q35" s="57">
        <v>4</v>
      </c>
      <c r="R35" s="96">
        <f t="shared" si="29"/>
        <v>35</v>
      </c>
      <c r="S35" s="42"/>
      <c r="T35" s="59">
        <f t="shared" si="30"/>
        <v>194996.99999999997</v>
      </c>
      <c r="U35" s="60">
        <f t="shared" si="31"/>
        <v>11876.700000000012</v>
      </c>
    </row>
    <row r="36" spans="1:21">
      <c r="A36" s="36"/>
      <c r="B36" s="53" t="s">
        <v>87</v>
      </c>
      <c r="C36" s="54">
        <v>0</v>
      </c>
      <c r="D36" s="55">
        <v>0</v>
      </c>
      <c r="E36" s="42"/>
      <c r="F36" s="56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</v>
      </c>
      <c r="L36" s="57">
        <v>0</v>
      </c>
      <c r="M36" s="57">
        <v>0</v>
      </c>
      <c r="N36" s="57">
        <v>0</v>
      </c>
      <c r="O36" s="57">
        <v>0</v>
      </c>
      <c r="P36" s="57">
        <v>0</v>
      </c>
      <c r="Q36" s="57">
        <v>0</v>
      </c>
      <c r="R36" s="96">
        <f t="shared" si="29"/>
        <v>0</v>
      </c>
      <c r="S36" s="42"/>
      <c r="T36" s="59">
        <f t="shared" si="30"/>
        <v>0</v>
      </c>
      <c r="U36" s="60">
        <f t="shared" si="31"/>
        <v>0</v>
      </c>
    </row>
    <row r="37" spans="1:21">
      <c r="A37" s="36"/>
      <c r="B37" s="53" t="s">
        <v>88</v>
      </c>
      <c r="C37" s="54">
        <v>4614.2664827586204</v>
      </c>
      <c r="D37" s="55">
        <v>357.43448275862067</v>
      </c>
      <c r="E37" s="42"/>
      <c r="F37" s="56">
        <v>10</v>
      </c>
      <c r="G37" s="57">
        <v>12</v>
      </c>
      <c r="H37" s="57">
        <v>11</v>
      </c>
      <c r="I37" s="57">
        <v>12</v>
      </c>
      <c r="J37" s="57">
        <v>14</v>
      </c>
      <c r="K37" s="57">
        <v>12</v>
      </c>
      <c r="L37" s="57">
        <v>13</v>
      </c>
      <c r="M37" s="57">
        <v>13</v>
      </c>
      <c r="N37" s="57">
        <v>13</v>
      </c>
      <c r="O37" s="57">
        <v>13</v>
      </c>
      <c r="P37" s="57">
        <v>11</v>
      </c>
      <c r="Q37" s="57">
        <v>11</v>
      </c>
      <c r="R37" s="96">
        <f t="shared" si="29"/>
        <v>145</v>
      </c>
      <c r="S37" s="42"/>
      <c r="T37" s="59">
        <f t="shared" si="30"/>
        <v>669068.64</v>
      </c>
      <c r="U37" s="60">
        <f t="shared" si="31"/>
        <v>51828</v>
      </c>
    </row>
    <row r="38" spans="1:21">
      <c r="A38" s="36"/>
      <c r="B38" s="53" t="s">
        <v>89</v>
      </c>
      <c r="C38" s="54">
        <v>0</v>
      </c>
      <c r="D38" s="55">
        <v>0</v>
      </c>
      <c r="E38" s="42"/>
      <c r="F38" s="56">
        <v>0</v>
      </c>
      <c r="G38" s="57">
        <v>0</v>
      </c>
      <c r="H38" s="57">
        <v>0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96">
        <f t="shared" si="29"/>
        <v>0</v>
      </c>
      <c r="S38" s="42"/>
      <c r="T38" s="59">
        <f t="shared" si="30"/>
        <v>0</v>
      </c>
      <c r="U38" s="60">
        <f t="shared" si="31"/>
        <v>0</v>
      </c>
    </row>
    <row r="39" spans="1:21">
      <c r="A39" s="36"/>
      <c r="B39" s="53" t="s">
        <v>90</v>
      </c>
      <c r="C39" s="54">
        <v>4060</v>
      </c>
      <c r="D39" s="55">
        <v>359.90000000000015</v>
      </c>
      <c r="E39" s="42"/>
      <c r="F39" s="56">
        <v>2</v>
      </c>
      <c r="G39" s="57">
        <v>2</v>
      </c>
      <c r="H39" s="57">
        <v>2</v>
      </c>
      <c r="I39" s="57">
        <v>2</v>
      </c>
      <c r="J39" s="57">
        <v>2</v>
      </c>
      <c r="K39" s="57">
        <v>2</v>
      </c>
      <c r="L39" s="57">
        <v>2</v>
      </c>
      <c r="M39" s="57">
        <v>2</v>
      </c>
      <c r="N39" s="57">
        <v>2</v>
      </c>
      <c r="O39" s="57">
        <v>2</v>
      </c>
      <c r="P39" s="57">
        <v>1</v>
      </c>
      <c r="Q39" s="57">
        <v>1</v>
      </c>
      <c r="R39" s="96">
        <f t="shared" si="29"/>
        <v>22</v>
      </c>
      <c r="S39" s="42"/>
      <c r="T39" s="59">
        <f t="shared" si="30"/>
        <v>89320</v>
      </c>
      <c r="U39" s="60">
        <f t="shared" si="31"/>
        <v>7917.8000000000029</v>
      </c>
    </row>
    <row r="40" spans="1:21">
      <c r="A40" s="36"/>
      <c r="B40" s="53" t="s">
        <v>91</v>
      </c>
      <c r="C40" s="54">
        <v>0</v>
      </c>
      <c r="D40" s="55">
        <v>0</v>
      </c>
      <c r="E40" s="42"/>
      <c r="F40" s="56">
        <v>0</v>
      </c>
      <c r="G40" s="57">
        <v>0</v>
      </c>
      <c r="H40" s="57">
        <v>0</v>
      </c>
      <c r="I40" s="57">
        <v>0</v>
      </c>
      <c r="J40" s="57">
        <v>0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  <c r="P40" s="57">
        <v>0</v>
      </c>
      <c r="Q40" s="57">
        <v>0</v>
      </c>
      <c r="R40" s="96">
        <f t="shared" si="29"/>
        <v>0</v>
      </c>
      <c r="S40" s="42"/>
      <c r="T40" s="59">
        <f t="shared" si="30"/>
        <v>0</v>
      </c>
      <c r="U40" s="60">
        <f t="shared" si="31"/>
        <v>0</v>
      </c>
    </row>
    <row r="41" spans="1:21">
      <c r="A41" s="36"/>
      <c r="B41" s="53" t="s">
        <v>92</v>
      </c>
      <c r="C41" s="54">
        <v>3430</v>
      </c>
      <c r="D41" s="55">
        <v>359.9</v>
      </c>
      <c r="E41" s="42"/>
      <c r="F41" s="56">
        <v>7</v>
      </c>
      <c r="G41" s="57">
        <v>8</v>
      </c>
      <c r="H41" s="57">
        <v>7</v>
      </c>
      <c r="I41" s="57">
        <v>7</v>
      </c>
      <c r="J41" s="57">
        <v>8</v>
      </c>
      <c r="K41" s="57">
        <v>8</v>
      </c>
      <c r="L41" s="57">
        <v>8</v>
      </c>
      <c r="M41" s="57">
        <v>8</v>
      </c>
      <c r="N41" s="57">
        <v>8</v>
      </c>
      <c r="O41" s="57">
        <v>8</v>
      </c>
      <c r="P41" s="57">
        <v>6</v>
      </c>
      <c r="Q41" s="57">
        <v>7</v>
      </c>
      <c r="R41" s="96">
        <f t="shared" si="29"/>
        <v>90</v>
      </c>
      <c r="S41" s="42"/>
      <c r="T41" s="59">
        <f t="shared" si="30"/>
        <v>308700</v>
      </c>
      <c r="U41" s="60">
        <f t="shared" si="31"/>
        <v>32390.999999999996</v>
      </c>
    </row>
    <row r="42" spans="1:21">
      <c r="A42" s="36"/>
      <c r="B42" s="53" t="s">
        <v>93</v>
      </c>
      <c r="C42" s="54">
        <v>1584.2848780487805</v>
      </c>
      <c r="D42" s="55">
        <v>231.81073170731707</v>
      </c>
      <c r="E42" s="42"/>
      <c r="F42" s="56">
        <v>9</v>
      </c>
      <c r="G42" s="57">
        <v>10</v>
      </c>
      <c r="H42" s="57">
        <v>10</v>
      </c>
      <c r="I42" s="57">
        <v>9</v>
      </c>
      <c r="J42" s="57">
        <v>11</v>
      </c>
      <c r="K42" s="57">
        <v>10</v>
      </c>
      <c r="L42" s="57">
        <v>11</v>
      </c>
      <c r="M42" s="57">
        <v>11</v>
      </c>
      <c r="N42" s="57">
        <v>11</v>
      </c>
      <c r="O42" s="57">
        <v>11</v>
      </c>
      <c r="P42" s="57">
        <v>10</v>
      </c>
      <c r="Q42" s="57">
        <v>10</v>
      </c>
      <c r="R42" s="96">
        <f t="shared" si="29"/>
        <v>123</v>
      </c>
      <c r="S42" s="42"/>
      <c r="T42" s="59">
        <f t="shared" si="30"/>
        <v>194867.04</v>
      </c>
      <c r="U42" s="60">
        <f t="shared" si="31"/>
        <v>28512.720000000001</v>
      </c>
    </row>
    <row r="43" spans="1:21" ht="12" thickBot="1">
      <c r="A43" s="36"/>
      <c r="B43" s="103" t="s">
        <v>94</v>
      </c>
      <c r="C43" s="104">
        <v>0</v>
      </c>
      <c r="D43" s="105">
        <v>0</v>
      </c>
      <c r="E43" s="42"/>
      <c r="F43" s="97">
        <v>0</v>
      </c>
      <c r="G43" s="98">
        <v>0</v>
      </c>
      <c r="H43" s="98">
        <v>0</v>
      </c>
      <c r="I43" s="98">
        <v>0</v>
      </c>
      <c r="J43" s="98">
        <v>0</v>
      </c>
      <c r="K43" s="98">
        <v>0</v>
      </c>
      <c r="L43" s="98">
        <v>0</v>
      </c>
      <c r="M43" s="98">
        <v>0</v>
      </c>
      <c r="N43" s="98">
        <v>0</v>
      </c>
      <c r="O43" s="98">
        <v>0</v>
      </c>
      <c r="P43" s="98">
        <v>0</v>
      </c>
      <c r="Q43" s="98">
        <v>0</v>
      </c>
      <c r="R43" s="99">
        <f t="shared" si="29"/>
        <v>0</v>
      </c>
      <c r="S43" s="42"/>
      <c r="T43" s="59">
        <f t="shared" si="30"/>
        <v>0</v>
      </c>
      <c r="U43" s="60">
        <f t="shared" si="31"/>
        <v>0</v>
      </c>
    </row>
    <row r="44" spans="1:21" ht="12" thickBot="1">
      <c r="A44" s="36"/>
      <c r="B44" s="110" t="s">
        <v>151</v>
      </c>
      <c r="C44" s="111">
        <v>4686.7522259136213</v>
      </c>
      <c r="D44" s="112">
        <v>315.19225913621221</v>
      </c>
      <c r="E44" s="42"/>
      <c r="F44" s="117">
        <f>+F31+F18+F5</f>
        <v>88</v>
      </c>
      <c r="G44" s="118">
        <f t="shared" ref="G44:R44" si="32">+G31+G18+G5</f>
        <v>103</v>
      </c>
      <c r="H44" s="118">
        <f t="shared" si="32"/>
        <v>97</v>
      </c>
      <c r="I44" s="118">
        <f t="shared" si="32"/>
        <v>96</v>
      </c>
      <c r="J44" s="118">
        <f t="shared" si="32"/>
        <v>115</v>
      </c>
      <c r="K44" s="118">
        <f t="shared" si="32"/>
        <v>104</v>
      </c>
      <c r="L44" s="118">
        <f t="shared" si="32"/>
        <v>104</v>
      </c>
      <c r="M44" s="118">
        <f t="shared" si="32"/>
        <v>105</v>
      </c>
      <c r="N44" s="118">
        <f t="shared" si="32"/>
        <v>105</v>
      </c>
      <c r="O44" s="118">
        <f t="shared" si="32"/>
        <v>105</v>
      </c>
      <c r="P44" s="118">
        <f t="shared" si="32"/>
        <v>89</v>
      </c>
      <c r="Q44" s="118">
        <f t="shared" si="32"/>
        <v>93</v>
      </c>
      <c r="R44" s="119">
        <f t="shared" si="32"/>
        <v>1204</v>
      </c>
      <c r="S44" s="42"/>
      <c r="T44" s="51">
        <f>+T31+T18+T5</f>
        <v>5642849.6799999997</v>
      </c>
      <c r="U44" s="52">
        <f>+U31+U18+U5</f>
        <v>379491.48000000004</v>
      </c>
    </row>
    <row r="45" spans="1:21">
      <c r="A45" s="36"/>
      <c r="B45" s="71" t="s">
        <v>98</v>
      </c>
      <c r="C45" s="72">
        <v>41.767239866643273</v>
      </c>
      <c r="D45" s="73">
        <v>11.467822424986839</v>
      </c>
      <c r="E45" s="42"/>
      <c r="F45" s="74">
        <f>+SUM(F46:F53)</f>
        <v>924</v>
      </c>
      <c r="G45" s="75">
        <f t="shared" ref="G45:R45" si="33">+SUM(G46:G53)</f>
        <v>929</v>
      </c>
      <c r="H45" s="75">
        <f t="shared" si="33"/>
        <v>929</v>
      </c>
      <c r="I45" s="75">
        <f t="shared" si="33"/>
        <v>935</v>
      </c>
      <c r="J45" s="75">
        <f t="shared" si="33"/>
        <v>935</v>
      </c>
      <c r="K45" s="75">
        <f t="shared" si="33"/>
        <v>954</v>
      </c>
      <c r="L45" s="75">
        <f t="shared" si="33"/>
        <v>954</v>
      </c>
      <c r="M45" s="75">
        <f t="shared" si="33"/>
        <v>964</v>
      </c>
      <c r="N45" s="75">
        <f t="shared" si="33"/>
        <v>971</v>
      </c>
      <c r="O45" s="75">
        <f t="shared" si="33"/>
        <v>971</v>
      </c>
      <c r="P45" s="75">
        <f t="shared" si="33"/>
        <v>966</v>
      </c>
      <c r="Q45" s="75">
        <f t="shared" si="33"/>
        <v>966</v>
      </c>
      <c r="R45" s="120">
        <f t="shared" si="33"/>
        <v>11398</v>
      </c>
      <c r="S45" s="42"/>
      <c r="T45" s="77">
        <f>+SUM(T46:T53)</f>
        <v>476063</v>
      </c>
      <c r="U45" s="78">
        <f>+SUM(U46:U53)</f>
        <v>130710.23999999999</v>
      </c>
    </row>
    <row r="46" spans="1:21">
      <c r="A46" s="36"/>
      <c r="B46" s="79" t="s">
        <v>99</v>
      </c>
      <c r="C46" s="54">
        <v>24</v>
      </c>
      <c r="D46" s="55">
        <v>7.4599999999999991</v>
      </c>
      <c r="E46" s="42"/>
      <c r="F46" s="56">
        <v>820</v>
      </c>
      <c r="G46" s="57">
        <v>820</v>
      </c>
      <c r="H46" s="57">
        <v>820</v>
      </c>
      <c r="I46" s="57">
        <v>820</v>
      </c>
      <c r="J46" s="57">
        <v>820</v>
      </c>
      <c r="K46" s="57">
        <v>820</v>
      </c>
      <c r="L46" s="57">
        <v>820</v>
      </c>
      <c r="M46" s="57">
        <v>820</v>
      </c>
      <c r="N46" s="57">
        <v>820</v>
      </c>
      <c r="O46" s="57">
        <v>820</v>
      </c>
      <c r="P46" s="57">
        <v>820</v>
      </c>
      <c r="Q46" s="57">
        <v>820</v>
      </c>
      <c r="R46" s="96">
        <v>9840</v>
      </c>
      <c r="S46" s="42"/>
      <c r="T46" s="59">
        <f t="shared" ref="T46:T53" si="34">+SUM(F46:Q46)*C46</f>
        <v>236160</v>
      </c>
      <c r="U46" s="60">
        <f t="shared" ref="U46:U53" si="35">+SUM(F46:Q46)*D46</f>
        <v>73406.399999999994</v>
      </c>
    </row>
    <row r="47" spans="1:21">
      <c r="A47" s="36"/>
      <c r="B47" s="79" t="s">
        <v>100</v>
      </c>
      <c r="C47" s="54">
        <v>0</v>
      </c>
      <c r="D47" s="55">
        <v>0</v>
      </c>
      <c r="E47" s="42"/>
      <c r="F47" s="56">
        <v>0</v>
      </c>
      <c r="G47" s="57">
        <v>0</v>
      </c>
      <c r="H47" s="57">
        <v>0</v>
      </c>
      <c r="I47" s="57">
        <v>0</v>
      </c>
      <c r="J47" s="57">
        <v>0</v>
      </c>
      <c r="K47" s="57">
        <v>0</v>
      </c>
      <c r="L47" s="57">
        <v>0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96">
        <v>0</v>
      </c>
      <c r="S47" s="42"/>
      <c r="T47" s="59">
        <f t="shared" si="34"/>
        <v>0</v>
      </c>
      <c r="U47" s="60">
        <f t="shared" si="35"/>
        <v>0</v>
      </c>
    </row>
    <row r="48" spans="1:21">
      <c r="A48" s="36"/>
      <c r="B48" s="79" t="s">
        <v>101</v>
      </c>
      <c r="C48" s="54">
        <v>0</v>
      </c>
      <c r="D48" s="55">
        <v>0</v>
      </c>
      <c r="E48" s="42"/>
      <c r="F48" s="56">
        <v>0</v>
      </c>
      <c r="G48" s="57">
        <v>0</v>
      </c>
      <c r="H48" s="57">
        <v>0</v>
      </c>
      <c r="I48" s="57">
        <v>0</v>
      </c>
      <c r="J48" s="57">
        <v>0</v>
      </c>
      <c r="K48" s="57">
        <v>0</v>
      </c>
      <c r="L48" s="57">
        <v>0</v>
      </c>
      <c r="M48" s="57">
        <v>0</v>
      </c>
      <c r="N48" s="57">
        <v>0</v>
      </c>
      <c r="O48" s="57">
        <v>0</v>
      </c>
      <c r="P48" s="57">
        <v>0</v>
      </c>
      <c r="Q48" s="57">
        <v>0</v>
      </c>
      <c r="R48" s="96">
        <v>0</v>
      </c>
      <c r="S48" s="42"/>
      <c r="T48" s="59">
        <f t="shared" si="34"/>
        <v>0</v>
      </c>
      <c r="U48" s="60">
        <f t="shared" si="35"/>
        <v>0</v>
      </c>
    </row>
    <row r="49" spans="1:21">
      <c r="A49" s="36"/>
      <c r="B49" s="79" t="s">
        <v>102</v>
      </c>
      <c r="C49" s="54">
        <v>0</v>
      </c>
      <c r="D49" s="55">
        <v>0</v>
      </c>
      <c r="E49" s="42"/>
      <c r="F49" s="56">
        <v>0</v>
      </c>
      <c r="G49" s="57">
        <v>0</v>
      </c>
      <c r="H49" s="57">
        <v>0</v>
      </c>
      <c r="I49" s="57">
        <v>0</v>
      </c>
      <c r="J49" s="57">
        <v>0</v>
      </c>
      <c r="K49" s="57">
        <v>0</v>
      </c>
      <c r="L49" s="57">
        <v>0</v>
      </c>
      <c r="M49" s="57">
        <v>0</v>
      </c>
      <c r="N49" s="57">
        <v>0</v>
      </c>
      <c r="O49" s="57">
        <v>0</v>
      </c>
      <c r="P49" s="57">
        <v>0</v>
      </c>
      <c r="Q49" s="57">
        <v>0</v>
      </c>
      <c r="R49" s="96">
        <v>0</v>
      </c>
      <c r="S49" s="42"/>
      <c r="T49" s="59">
        <f t="shared" si="34"/>
        <v>0</v>
      </c>
      <c r="U49" s="60">
        <f t="shared" si="35"/>
        <v>0</v>
      </c>
    </row>
    <row r="50" spans="1:21">
      <c r="A50" s="36"/>
      <c r="B50" s="79" t="s">
        <v>103</v>
      </c>
      <c r="C50" s="54">
        <v>800</v>
      </c>
      <c r="D50" s="55">
        <v>119.87999999999995</v>
      </c>
      <c r="E50" s="42"/>
      <c r="F50" s="56">
        <v>4</v>
      </c>
      <c r="G50" s="57">
        <v>4</v>
      </c>
      <c r="H50" s="57">
        <v>4</v>
      </c>
      <c r="I50" s="57">
        <v>4</v>
      </c>
      <c r="J50" s="57">
        <v>4</v>
      </c>
      <c r="K50" s="57">
        <v>4</v>
      </c>
      <c r="L50" s="57">
        <v>4</v>
      </c>
      <c r="M50" s="57">
        <v>4</v>
      </c>
      <c r="N50" s="57">
        <v>4</v>
      </c>
      <c r="O50" s="57">
        <v>4</v>
      </c>
      <c r="P50" s="57">
        <v>4</v>
      </c>
      <c r="Q50" s="57">
        <v>4</v>
      </c>
      <c r="R50" s="96">
        <v>48</v>
      </c>
      <c r="S50" s="42"/>
      <c r="T50" s="59">
        <f t="shared" si="34"/>
        <v>38400</v>
      </c>
      <c r="U50" s="60">
        <f t="shared" si="35"/>
        <v>5754.239999999998</v>
      </c>
    </row>
    <row r="51" spans="1:21">
      <c r="A51" s="36"/>
      <c r="B51" s="79" t="s">
        <v>104</v>
      </c>
      <c r="C51" s="54">
        <v>2167.4499999999998</v>
      </c>
      <c r="D51" s="55">
        <v>775.30166666666673</v>
      </c>
      <c r="E51" s="42"/>
      <c r="F51" s="56">
        <v>5</v>
      </c>
      <c r="G51" s="57">
        <v>5</v>
      </c>
      <c r="H51" s="57">
        <v>5</v>
      </c>
      <c r="I51" s="57">
        <v>5</v>
      </c>
      <c r="J51" s="57">
        <v>5</v>
      </c>
      <c r="K51" s="57">
        <v>5</v>
      </c>
      <c r="L51" s="57">
        <v>5</v>
      </c>
      <c r="M51" s="57">
        <v>5</v>
      </c>
      <c r="N51" s="57">
        <v>5</v>
      </c>
      <c r="O51" s="57">
        <v>5</v>
      </c>
      <c r="P51" s="57">
        <v>5</v>
      </c>
      <c r="Q51" s="57">
        <v>5</v>
      </c>
      <c r="R51" s="96">
        <v>60</v>
      </c>
      <c r="S51" s="42"/>
      <c r="T51" s="59">
        <f t="shared" si="34"/>
        <v>130046.99999999999</v>
      </c>
      <c r="U51" s="60">
        <f t="shared" si="35"/>
        <v>46518.100000000006</v>
      </c>
    </row>
    <row r="52" spans="1:21">
      <c r="A52" s="36"/>
      <c r="B52" s="79" t="s">
        <v>105</v>
      </c>
      <c r="C52" s="54">
        <v>0</v>
      </c>
      <c r="D52" s="55">
        <v>0</v>
      </c>
      <c r="E52" s="42"/>
      <c r="F52" s="56">
        <v>0</v>
      </c>
      <c r="G52" s="57">
        <v>0</v>
      </c>
      <c r="H52" s="57">
        <v>0</v>
      </c>
      <c r="I52" s="57">
        <v>0</v>
      </c>
      <c r="J52" s="57">
        <v>0</v>
      </c>
      <c r="K52" s="57">
        <v>0</v>
      </c>
      <c r="L52" s="57">
        <v>0</v>
      </c>
      <c r="M52" s="57">
        <v>0</v>
      </c>
      <c r="N52" s="57">
        <v>0</v>
      </c>
      <c r="O52" s="57">
        <v>0</v>
      </c>
      <c r="P52" s="57">
        <v>0</v>
      </c>
      <c r="Q52" s="57">
        <v>0</v>
      </c>
      <c r="R52" s="96">
        <v>0</v>
      </c>
      <c r="S52" s="42"/>
      <c r="T52" s="59">
        <f t="shared" si="34"/>
        <v>0</v>
      </c>
      <c r="U52" s="60">
        <f t="shared" si="35"/>
        <v>0</v>
      </c>
    </row>
    <row r="53" spans="1:21" ht="12" thickBot="1">
      <c r="A53" s="36"/>
      <c r="B53" s="113" t="s">
        <v>106</v>
      </c>
      <c r="C53" s="104">
        <v>49.28</v>
      </c>
      <c r="D53" s="105">
        <v>3.47</v>
      </c>
      <c r="E53" s="42"/>
      <c r="F53" s="97">
        <v>95</v>
      </c>
      <c r="G53" s="98">
        <v>100</v>
      </c>
      <c r="H53" s="98">
        <v>100</v>
      </c>
      <c r="I53" s="98">
        <v>106</v>
      </c>
      <c r="J53" s="98">
        <v>106</v>
      </c>
      <c r="K53" s="98">
        <v>125</v>
      </c>
      <c r="L53" s="98">
        <v>125</v>
      </c>
      <c r="M53" s="98">
        <v>135</v>
      </c>
      <c r="N53" s="98">
        <v>142</v>
      </c>
      <c r="O53" s="98">
        <v>142</v>
      </c>
      <c r="P53" s="98">
        <v>137</v>
      </c>
      <c r="Q53" s="98">
        <v>137</v>
      </c>
      <c r="R53" s="99">
        <v>1450</v>
      </c>
      <c r="S53" s="42"/>
      <c r="T53" s="59">
        <f t="shared" si="34"/>
        <v>71456</v>
      </c>
      <c r="U53" s="60">
        <f t="shared" si="35"/>
        <v>5031.5</v>
      </c>
    </row>
    <row r="54" spans="1:21" ht="12" thickBot="1">
      <c r="A54" s="36"/>
      <c r="B54" s="107" t="s">
        <v>107</v>
      </c>
      <c r="C54" s="108"/>
      <c r="D54" s="109"/>
      <c r="E54" s="42"/>
      <c r="F54" s="114">
        <f>+F45+F44</f>
        <v>1012</v>
      </c>
      <c r="G54" s="115">
        <f t="shared" ref="G54:R54" si="36">+G45+G44</f>
        <v>1032</v>
      </c>
      <c r="H54" s="115">
        <f t="shared" si="36"/>
        <v>1026</v>
      </c>
      <c r="I54" s="115">
        <f t="shared" si="36"/>
        <v>1031</v>
      </c>
      <c r="J54" s="115">
        <f t="shared" si="36"/>
        <v>1050</v>
      </c>
      <c r="K54" s="115">
        <f t="shared" si="36"/>
        <v>1058</v>
      </c>
      <c r="L54" s="115">
        <f t="shared" si="36"/>
        <v>1058</v>
      </c>
      <c r="M54" s="115">
        <f t="shared" si="36"/>
        <v>1069</v>
      </c>
      <c r="N54" s="115">
        <f t="shared" si="36"/>
        <v>1076</v>
      </c>
      <c r="O54" s="115">
        <f t="shared" si="36"/>
        <v>1076</v>
      </c>
      <c r="P54" s="115">
        <f t="shared" si="36"/>
        <v>1055</v>
      </c>
      <c r="Q54" s="115">
        <f t="shared" si="36"/>
        <v>1059</v>
      </c>
      <c r="R54" s="116">
        <f t="shared" si="36"/>
        <v>12602</v>
      </c>
      <c r="S54" s="42"/>
      <c r="T54" s="86">
        <f>+T45+T44</f>
        <v>6118912.6799999997</v>
      </c>
      <c r="U54" s="87">
        <f>+U45+U44</f>
        <v>510201.72000000003</v>
      </c>
    </row>
    <row r="55" spans="1:21">
      <c r="A55" s="36"/>
      <c r="B55" s="88"/>
      <c r="C55" s="88"/>
      <c r="D55" s="88"/>
      <c r="E55" s="89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1"/>
      <c r="T55" s="92"/>
      <c r="U55" s="93"/>
    </row>
    <row r="56" spans="1:21" ht="12" thickBot="1"/>
    <row r="57" spans="1:21" ht="11.1" customHeight="1">
      <c r="B57" s="365">
        <v>2018</v>
      </c>
      <c r="C57" s="367" t="s">
        <v>149</v>
      </c>
      <c r="D57" s="369" t="s">
        <v>150</v>
      </c>
      <c r="E57" s="42"/>
      <c r="F57" s="371" t="s">
        <v>68</v>
      </c>
      <c r="G57" s="372"/>
      <c r="H57" s="372"/>
      <c r="I57" s="372"/>
      <c r="J57" s="372"/>
      <c r="K57" s="372"/>
      <c r="L57" s="372"/>
      <c r="M57" s="372"/>
      <c r="N57" s="372"/>
      <c r="O57" s="372"/>
      <c r="P57" s="372"/>
      <c r="Q57" s="373"/>
      <c r="R57" s="367" t="s">
        <v>69</v>
      </c>
      <c r="S57" s="42"/>
      <c r="T57" s="375" t="s">
        <v>139</v>
      </c>
      <c r="U57" s="377" t="s">
        <v>108</v>
      </c>
    </row>
    <row r="58" spans="1:21" ht="12" customHeight="1" thickBot="1">
      <c r="B58" s="379"/>
      <c r="C58" s="374"/>
      <c r="D58" s="380"/>
      <c r="E58" s="42"/>
      <c r="F58" s="43" t="s">
        <v>70</v>
      </c>
      <c r="G58" s="44" t="s">
        <v>71</v>
      </c>
      <c r="H58" s="44" t="s">
        <v>72</v>
      </c>
      <c r="I58" s="44" t="s">
        <v>73</v>
      </c>
      <c r="J58" s="44" t="s">
        <v>74</v>
      </c>
      <c r="K58" s="44" t="s">
        <v>75</v>
      </c>
      <c r="L58" s="44" t="s">
        <v>76</v>
      </c>
      <c r="M58" s="44" t="s">
        <v>77</v>
      </c>
      <c r="N58" s="44" t="s">
        <v>78</v>
      </c>
      <c r="O58" s="44" t="s">
        <v>79</v>
      </c>
      <c r="P58" s="44" t="s">
        <v>80</v>
      </c>
      <c r="Q58" s="44" t="s">
        <v>81</v>
      </c>
      <c r="R58" s="374"/>
      <c r="S58" s="42"/>
      <c r="T58" s="376"/>
      <c r="U58" s="378"/>
    </row>
    <row r="59" spans="1:21">
      <c r="B59" s="45" t="s">
        <v>82</v>
      </c>
      <c r="C59" s="46">
        <v>5231.0116822429909</v>
      </c>
      <c r="D59" s="47">
        <v>261.95999999999975</v>
      </c>
      <c r="E59" s="42"/>
      <c r="F59" s="48">
        <f>+SUM(F60:F71)</f>
        <v>40</v>
      </c>
      <c r="G59" s="49">
        <f t="shared" ref="G59" si="37">+SUM(G60:G71)</f>
        <v>50</v>
      </c>
      <c r="H59" s="49">
        <f t="shared" ref="H59" si="38">+SUM(H60:H71)</f>
        <v>46</v>
      </c>
      <c r="I59" s="49">
        <f t="shared" ref="I59" si="39">+SUM(I60:I71)</f>
        <v>46</v>
      </c>
      <c r="J59" s="49">
        <f t="shared" ref="J59" si="40">+SUM(J60:J71)</f>
        <v>57</v>
      </c>
      <c r="K59" s="49">
        <f t="shared" ref="K59" si="41">+SUM(K60:K71)</f>
        <v>50</v>
      </c>
      <c r="L59" s="49">
        <f t="shared" ref="L59" si="42">+SUM(L60:L71)</f>
        <v>47</v>
      </c>
      <c r="M59" s="49">
        <f t="shared" ref="M59" si="43">+SUM(M60:M71)</f>
        <v>47</v>
      </c>
      <c r="N59" s="49">
        <f t="shared" ref="N59" si="44">+SUM(N60:N71)</f>
        <v>47</v>
      </c>
      <c r="O59" s="49">
        <f t="shared" ref="O59" si="45">+SUM(O60:O71)</f>
        <v>47</v>
      </c>
      <c r="P59" s="49">
        <f t="shared" ref="P59" si="46">+SUM(P60:P71)</f>
        <v>40</v>
      </c>
      <c r="Q59" s="49">
        <f t="shared" ref="Q59" si="47">+SUM(Q60:Q71)</f>
        <v>43</v>
      </c>
      <c r="R59" s="50">
        <f t="shared" ref="R59" si="48">+SUM(R60:R71)</f>
        <v>483</v>
      </c>
      <c r="S59" s="42"/>
      <c r="T59" s="51">
        <f>+SUM(T60:T71)</f>
        <v>2651196.9750000001</v>
      </c>
      <c r="U59" s="52">
        <f>+SUM(U60:U71)</f>
        <v>126526.68</v>
      </c>
    </row>
    <row r="60" spans="1:21">
      <c r="B60" s="53" t="s">
        <v>83</v>
      </c>
      <c r="C60" s="54">
        <f>+C6*1.05</f>
        <v>6328.35</v>
      </c>
      <c r="D60" s="55">
        <v>261.95999999999992</v>
      </c>
      <c r="E60" s="42"/>
      <c r="F60" s="56">
        <f>ROUNDUP(F6*1.15,0)</f>
        <v>4</v>
      </c>
      <c r="G60" s="57">
        <f t="shared" ref="G60:Q60" si="49">ROUNDUP(G6*1.15,0)</f>
        <v>5</v>
      </c>
      <c r="H60" s="57">
        <f t="shared" si="49"/>
        <v>4</v>
      </c>
      <c r="I60" s="57">
        <f t="shared" si="49"/>
        <v>5</v>
      </c>
      <c r="J60" s="57">
        <f t="shared" si="49"/>
        <v>6</v>
      </c>
      <c r="K60" s="57">
        <f t="shared" si="49"/>
        <v>5</v>
      </c>
      <c r="L60" s="57">
        <f t="shared" si="49"/>
        <v>5</v>
      </c>
      <c r="M60" s="57">
        <f t="shared" si="49"/>
        <v>5</v>
      </c>
      <c r="N60" s="57">
        <f t="shared" si="49"/>
        <v>5</v>
      </c>
      <c r="O60" s="57">
        <f t="shared" si="49"/>
        <v>5</v>
      </c>
      <c r="P60" s="57">
        <f t="shared" si="49"/>
        <v>5</v>
      </c>
      <c r="Q60" s="57">
        <f t="shared" si="49"/>
        <v>5</v>
      </c>
      <c r="R60" s="58">
        <f>ROUNDUP(R6*1.12,0)</f>
        <v>53</v>
      </c>
      <c r="S60" s="42"/>
      <c r="T60" s="59">
        <f>+R60*C60</f>
        <v>335402.55000000005</v>
      </c>
      <c r="U60" s="60">
        <f>+R60*D60</f>
        <v>13883.879999999996</v>
      </c>
    </row>
    <row r="61" spans="1:21">
      <c r="B61" s="53" t="s">
        <v>84</v>
      </c>
      <c r="C61" s="54">
        <f t="shared" ref="C61:C71" si="50">+C7*1.05</f>
        <v>6328.35</v>
      </c>
      <c r="D61" s="55">
        <v>261.95999999999987</v>
      </c>
      <c r="E61" s="42"/>
      <c r="F61" s="56">
        <f t="shared" ref="F61:Q61" si="51">ROUNDUP(F7*1.15,0)</f>
        <v>11</v>
      </c>
      <c r="G61" s="57">
        <f t="shared" si="51"/>
        <v>12</v>
      </c>
      <c r="H61" s="57">
        <f t="shared" si="51"/>
        <v>11</v>
      </c>
      <c r="I61" s="57">
        <f t="shared" si="51"/>
        <v>12</v>
      </c>
      <c r="J61" s="57">
        <f t="shared" si="51"/>
        <v>14</v>
      </c>
      <c r="K61" s="57">
        <f t="shared" si="51"/>
        <v>12</v>
      </c>
      <c r="L61" s="57">
        <f t="shared" si="51"/>
        <v>12</v>
      </c>
      <c r="M61" s="57">
        <f t="shared" si="51"/>
        <v>12</v>
      </c>
      <c r="N61" s="57">
        <f t="shared" si="51"/>
        <v>12</v>
      </c>
      <c r="O61" s="57">
        <f t="shared" si="51"/>
        <v>12</v>
      </c>
      <c r="P61" s="57">
        <f t="shared" si="51"/>
        <v>10</v>
      </c>
      <c r="Q61" s="57">
        <f t="shared" si="51"/>
        <v>10</v>
      </c>
      <c r="R61" s="58">
        <f t="shared" ref="R61:R71" si="52">ROUNDUP(R7*1.12,0)</f>
        <v>130</v>
      </c>
      <c r="S61" s="42"/>
      <c r="T61" s="59">
        <f t="shared" ref="T61:T71" si="53">+R61*C61</f>
        <v>822685.5</v>
      </c>
      <c r="U61" s="60">
        <f t="shared" ref="U61:U71" si="54">+R61*D61</f>
        <v>34054.799999999981</v>
      </c>
    </row>
    <row r="62" spans="1:21">
      <c r="B62" s="53" t="s">
        <v>85</v>
      </c>
      <c r="C62" s="54">
        <f t="shared" si="50"/>
        <v>6204.45</v>
      </c>
      <c r="D62" s="55">
        <v>261.96000000000004</v>
      </c>
      <c r="E62" s="42"/>
      <c r="F62" s="56">
        <f t="shared" ref="F62:Q62" si="55">ROUNDUP(F8*1.15,0)</f>
        <v>2</v>
      </c>
      <c r="G62" s="57">
        <f t="shared" si="55"/>
        <v>3</v>
      </c>
      <c r="H62" s="57">
        <f t="shared" si="55"/>
        <v>3</v>
      </c>
      <c r="I62" s="57">
        <f t="shared" si="55"/>
        <v>2</v>
      </c>
      <c r="J62" s="57">
        <f t="shared" si="55"/>
        <v>3</v>
      </c>
      <c r="K62" s="57">
        <f t="shared" si="55"/>
        <v>3</v>
      </c>
      <c r="L62" s="57">
        <f t="shared" si="55"/>
        <v>2</v>
      </c>
      <c r="M62" s="57">
        <f t="shared" si="55"/>
        <v>2</v>
      </c>
      <c r="N62" s="57">
        <f t="shared" si="55"/>
        <v>2</v>
      </c>
      <c r="O62" s="57">
        <f t="shared" si="55"/>
        <v>2</v>
      </c>
      <c r="P62" s="57">
        <f t="shared" si="55"/>
        <v>2</v>
      </c>
      <c r="Q62" s="57">
        <f t="shared" si="55"/>
        <v>2</v>
      </c>
      <c r="R62" s="58">
        <f t="shared" si="52"/>
        <v>18</v>
      </c>
      <c r="S62" s="42"/>
      <c r="T62" s="59">
        <f t="shared" si="53"/>
        <v>111680.09999999999</v>
      </c>
      <c r="U62" s="60">
        <f t="shared" si="54"/>
        <v>4715.2800000000007</v>
      </c>
    </row>
    <row r="63" spans="1:21">
      <c r="B63" s="53" t="s">
        <v>86</v>
      </c>
      <c r="C63" s="54">
        <f t="shared" si="50"/>
        <v>6204.45</v>
      </c>
      <c r="D63" s="55">
        <v>261.96000000000004</v>
      </c>
      <c r="E63" s="42"/>
      <c r="F63" s="56">
        <f t="shared" ref="F63:Q63" si="56">ROUNDUP(F9*1.15,0)</f>
        <v>3</v>
      </c>
      <c r="G63" s="57">
        <f t="shared" si="56"/>
        <v>3</v>
      </c>
      <c r="H63" s="57">
        <f t="shared" si="56"/>
        <v>3</v>
      </c>
      <c r="I63" s="57">
        <f t="shared" si="56"/>
        <v>3</v>
      </c>
      <c r="J63" s="57">
        <f t="shared" si="56"/>
        <v>4</v>
      </c>
      <c r="K63" s="57">
        <f t="shared" si="56"/>
        <v>4</v>
      </c>
      <c r="L63" s="57">
        <f t="shared" si="56"/>
        <v>4</v>
      </c>
      <c r="M63" s="57">
        <f t="shared" si="56"/>
        <v>4</v>
      </c>
      <c r="N63" s="57">
        <f t="shared" si="56"/>
        <v>4</v>
      </c>
      <c r="O63" s="57">
        <f t="shared" si="56"/>
        <v>4</v>
      </c>
      <c r="P63" s="57">
        <f t="shared" si="56"/>
        <v>4</v>
      </c>
      <c r="Q63" s="57">
        <f t="shared" si="56"/>
        <v>4</v>
      </c>
      <c r="R63" s="58">
        <f t="shared" si="52"/>
        <v>36</v>
      </c>
      <c r="S63" s="42"/>
      <c r="T63" s="59">
        <f t="shared" si="53"/>
        <v>223360.19999999998</v>
      </c>
      <c r="U63" s="60">
        <f t="shared" si="54"/>
        <v>9430.5600000000013</v>
      </c>
    </row>
    <row r="64" spans="1:21">
      <c r="B64" s="53" t="s">
        <v>87</v>
      </c>
      <c r="C64" s="54">
        <f t="shared" si="50"/>
        <v>5336.625</v>
      </c>
      <c r="D64" s="55">
        <v>261.95999999999987</v>
      </c>
      <c r="E64" s="42"/>
      <c r="F64" s="56">
        <f t="shared" ref="F64:Q64" si="57">ROUNDUP(F10*1.15,0)</f>
        <v>5</v>
      </c>
      <c r="G64" s="57">
        <f t="shared" si="57"/>
        <v>7</v>
      </c>
      <c r="H64" s="57">
        <f t="shared" si="57"/>
        <v>7</v>
      </c>
      <c r="I64" s="57">
        <f t="shared" si="57"/>
        <v>7</v>
      </c>
      <c r="J64" s="57">
        <f t="shared" si="57"/>
        <v>9</v>
      </c>
      <c r="K64" s="57">
        <f t="shared" si="57"/>
        <v>7</v>
      </c>
      <c r="L64" s="57">
        <f t="shared" si="57"/>
        <v>7</v>
      </c>
      <c r="M64" s="57">
        <f t="shared" si="57"/>
        <v>7</v>
      </c>
      <c r="N64" s="57">
        <f t="shared" si="57"/>
        <v>7</v>
      </c>
      <c r="O64" s="57">
        <f t="shared" si="57"/>
        <v>7</v>
      </c>
      <c r="P64" s="57">
        <f t="shared" si="57"/>
        <v>6</v>
      </c>
      <c r="Q64" s="57">
        <f t="shared" si="57"/>
        <v>6</v>
      </c>
      <c r="R64" s="58">
        <f t="shared" si="52"/>
        <v>78</v>
      </c>
      <c r="S64" s="42"/>
      <c r="T64" s="59">
        <f t="shared" si="53"/>
        <v>416256.75</v>
      </c>
      <c r="U64" s="60">
        <f t="shared" si="54"/>
        <v>20432.87999999999</v>
      </c>
    </row>
    <row r="65" spans="2:21">
      <c r="B65" s="53" t="s">
        <v>88</v>
      </c>
      <c r="C65" s="54">
        <f t="shared" si="50"/>
        <v>5336.625</v>
      </c>
      <c r="D65" s="55">
        <v>261.96000000000026</v>
      </c>
      <c r="E65" s="42"/>
      <c r="F65" s="56">
        <f t="shared" ref="F65:Q65" si="58">ROUNDUP(F11*1.15,0)</f>
        <v>5</v>
      </c>
      <c r="G65" s="57">
        <f t="shared" si="58"/>
        <v>7</v>
      </c>
      <c r="H65" s="57">
        <f t="shared" si="58"/>
        <v>6</v>
      </c>
      <c r="I65" s="57">
        <f t="shared" si="58"/>
        <v>6</v>
      </c>
      <c r="J65" s="57">
        <f t="shared" si="58"/>
        <v>7</v>
      </c>
      <c r="K65" s="57">
        <f t="shared" si="58"/>
        <v>6</v>
      </c>
      <c r="L65" s="57">
        <f t="shared" si="58"/>
        <v>6</v>
      </c>
      <c r="M65" s="57">
        <f t="shared" si="58"/>
        <v>6</v>
      </c>
      <c r="N65" s="57">
        <f t="shared" si="58"/>
        <v>6</v>
      </c>
      <c r="O65" s="57">
        <f t="shared" si="58"/>
        <v>6</v>
      </c>
      <c r="P65" s="57">
        <f t="shared" si="58"/>
        <v>5</v>
      </c>
      <c r="Q65" s="57">
        <f t="shared" si="58"/>
        <v>5</v>
      </c>
      <c r="R65" s="58">
        <f t="shared" si="52"/>
        <v>67</v>
      </c>
      <c r="S65" s="42"/>
      <c r="T65" s="59">
        <f t="shared" si="53"/>
        <v>357553.875</v>
      </c>
      <c r="U65" s="60">
        <f t="shared" si="54"/>
        <v>17551.320000000018</v>
      </c>
    </row>
    <row r="66" spans="2:21">
      <c r="B66" s="53" t="s">
        <v>89</v>
      </c>
      <c r="C66" s="54">
        <f t="shared" si="50"/>
        <v>4263</v>
      </c>
      <c r="D66" s="55">
        <v>261.95999999999981</v>
      </c>
      <c r="E66" s="42"/>
      <c r="F66" s="56">
        <f t="shared" ref="F66:Q66" si="59">ROUNDUP(F12*1.15,0)</f>
        <v>2</v>
      </c>
      <c r="G66" s="57">
        <f t="shared" si="59"/>
        <v>2</v>
      </c>
      <c r="H66" s="57">
        <f t="shared" si="59"/>
        <v>2</v>
      </c>
      <c r="I66" s="57">
        <f t="shared" si="59"/>
        <v>2</v>
      </c>
      <c r="J66" s="57">
        <f t="shared" si="59"/>
        <v>2</v>
      </c>
      <c r="K66" s="57">
        <f t="shared" si="59"/>
        <v>2</v>
      </c>
      <c r="L66" s="57">
        <f t="shared" si="59"/>
        <v>2</v>
      </c>
      <c r="M66" s="57">
        <f t="shared" si="59"/>
        <v>2</v>
      </c>
      <c r="N66" s="57">
        <f t="shared" si="59"/>
        <v>2</v>
      </c>
      <c r="O66" s="57">
        <f t="shared" si="59"/>
        <v>2</v>
      </c>
      <c r="P66" s="57">
        <f t="shared" si="59"/>
        <v>0</v>
      </c>
      <c r="Q66" s="57">
        <f t="shared" si="59"/>
        <v>2</v>
      </c>
      <c r="R66" s="58">
        <f t="shared" si="52"/>
        <v>13</v>
      </c>
      <c r="S66" s="42"/>
      <c r="T66" s="59">
        <f t="shared" si="53"/>
        <v>55419</v>
      </c>
      <c r="U66" s="60">
        <f t="shared" si="54"/>
        <v>3405.4799999999977</v>
      </c>
    </row>
    <row r="67" spans="2:21">
      <c r="B67" s="53" t="s">
        <v>90</v>
      </c>
      <c r="C67" s="54">
        <f t="shared" si="50"/>
        <v>4263</v>
      </c>
      <c r="D67" s="55">
        <v>261.96000000000004</v>
      </c>
      <c r="E67" s="42"/>
      <c r="F67" s="56">
        <f t="shared" ref="F67:Q67" si="60">ROUNDUP(F13*1.15,0)</f>
        <v>2</v>
      </c>
      <c r="G67" s="57">
        <f t="shared" si="60"/>
        <v>3</v>
      </c>
      <c r="H67" s="57">
        <f t="shared" si="60"/>
        <v>3</v>
      </c>
      <c r="I67" s="57">
        <f t="shared" si="60"/>
        <v>2</v>
      </c>
      <c r="J67" s="57">
        <f t="shared" si="60"/>
        <v>3</v>
      </c>
      <c r="K67" s="57">
        <f t="shared" si="60"/>
        <v>3</v>
      </c>
      <c r="L67" s="57">
        <f t="shared" si="60"/>
        <v>2</v>
      </c>
      <c r="M67" s="57">
        <f t="shared" si="60"/>
        <v>2</v>
      </c>
      <c r="N67" s="57">
        <f t="shared" si="60"/>
        <v>2</v>
      </c>
      <c r="O67" s="57">
        <f t="shared" si="60"/>
        <v>2</v>
      </c>
      <c r="P67" s="57">
        <f t="shared" si="60"/>
        <v>2</v>
      </c>
      <c r="Q67" s="57">
        <f t="shared" si="60"/>
        <v>2</v>
      </c>
      <c r="R67" s="58">
        <f t="shared" si="52"/>
        <v>18</v>
      </c>
      <c r="S67" s="42"/>
      <c r="T67" s="59">
        <f t="shared" si="53"/>
        <v>76734</v>
      </c>
      <c r="U67" s="60">
        <f t="shared" si="54"/>
        <v>4715.2800000000007</v>
      </c>
    </row>
    <row r="68" spans="2:21">
      <c r="B68" s="53" t="s">
        <v>91</v>
      </c>
      <c r="C68" s="54">
        <f t="shared" si="50"/>
        <v>3601.5</v>
      </c>
      <c r="D68" s="55">
        <v>261.96000000000009</v>
      </c>
      <c r="E68" s="42"/>
      <c r="F68" s="56">
        <f t="shared" ref="F68:Q68" si="61">ROUNDUP(F14*1.15,0)</f>
        <v>4</v>
      </c>
      <c r="G68" s="57">
        <f t="shared" si="61"/>
        <v>5</v>
      </c>
      <c r="H68" s="57">
        <f t="shared" si="61"/>
        <v>4</v>
      </c>
      <c r="I68" s="57">
        <f t="shared" si="61"/>
        <v>5</v>
      </c>
      <c r="J68" s="57">
        <f t="shared" si="61"/>
        <v>6</v>
      </c>
      <c r="K68" s="57">
        <f t="shared" si="61"/>
        <v>5</v>
      </c>
      <c r="L68" s="57">
        <f t="shared" si="61"/>
        <v>5</v>
      </c>
      <c r="M68" s="57">
        <f t="shared" si="61"/>
        <v>5</v>
      </c>
      <c r="N68" s="57">
        <f t="shared" si="61"/>
        <v>5</v>
      </c>
      <c r="O68" s="57">
        <f t="shared" si="61"/>
        <v>5</v>
      </c>
      <c r="P68" s="57">
        <f t="shared" si="61"/>
        <v>4</v>
      </c>
      <c r="Q68" s="57">
        <f t="shared" si="61"/>
        <v>5</v>
      </c>
      <c r="R68" s="58">
        <f t="shared" si="52"/>
        <v>52</v>
      </c>
      <c r="S68" s="42"/>
      <c r="T68" s="59">
        <f t="shared" si="53"/>
        <v>187278</v>
      </c>
      <c r="U68" s="60">
        <f t="shared" si="54"/>
        <v>13621.920000000006</v>
      </c>
    </row>
    <row r="69" spans="2:21">
      <c r="B69" s="53" t="s">
        <v>92</v>
      </c>
      <c r="C69" s="54">
        <f t="shared" si="50"/>
        <v>3601.5</v>
      </c>
      <c r="D69" s="55">
        <v>261.96000000000004</v>
      </c>
      <c r="E69" s="42"/>
      <c r="F69" s="56">
        <f t="shared" ref="F69:Q69" si="62">ROUNDUP(F15*1.15,0)</f>
        <v>2</v>
      </c>
      <c r="G69" s="57">
        <f t="shared" si="62"/>
        <v>3</v>
      </c>
      <c r="H69" s="57">
        <f t="shared" si="62"/>
        <v>3</v>
      </c>
      <c r="I69" s="57">
        <f t="shared" si="62"/>
        <v>2</v>
      </c>
      <c r="J69" s="57">
        <f t="shared" si="62"/>
        <v>3</v>
      </c>
      <c r="K69" s="57">
        <f t="shared" si="62"/>
        <v>3</v>
      </c>
      <c r="L69" s="57">
        <f t="shared" si="62"/>
        <v>2</v>
      </c>
      <c r="M69" s="57">
        <f t="shared" si="62"/>
        <v>2</v>
      </c>
      <c r="N69" s="57">
        <f t="shared" si="62"/>
        <v>2</v>
      </c>
      <c r="O69" s="57">
        <f t="shared" si="62"/>
        <v>2</v>
      </c>
      <c r="P69" s="57">
        <f t="shared" si="62"/>
        <v>2</v>
      </c>
      <c r="Q69" s="57">
        <f t="shared" si="62"/>
        <v>2</v>
      </c>
      <c r="R69" s="58">
        <f t="shared" si="52"/>
        <v>18</v>
      </c>
      <c r="S69" s="42"/>
      <c r="T69" s="59">
        <f t="shared" si="53"/>
        <v>64827</v>
      </c>
      <c r="U69" s="60">
        <f t="shared" si="54"/>
        <v>4715.2800000000007</v>
      </c>
    </row>
    <row r="70" spans="2:21">
      <c r="B70" s="53" t="s">
        <v>93</v>
      </c>
      <c r="C70" s="54">
        <f t="shared" si="50"/>
        <v>0</v>
      </c>
      <c r="D70" s="55">
        <v>0</v>
      </c>
      <c r="E70" s="42"/>
      <c r="F70" s="56">
        <f t="shared" ref="F70:Q70" si="63">ROUNDUP(F16*1.15,0)</f>
        <v>0</v>
      </c>
      <c r="G70" s="57">
        <f t="shared" si="63"/>
        <v>0</v>
      </c>
      <c r="H70" s="57">
        <f t="shared" si="63"/>
        <v>0</v>
      </c>
      <c r="I70" s="57">
        <f t="shared" si="63"/>
        <v>0</v>
      </c>
      <c r="J70" s="57">
        <f t="shared" si="63"/>
        <v>0</v>
      </c>
      <c r="K70" s="57">
        <f t="shared" si="63"/>
        <v>0</v>
      </c>
      <c r="L70" s="57">
        <f t="shared" si="63"/>
        <v>0</v>
      </c>
      <c r="M70" s="57">
        <f t="shared" si="63"/>
        <v>0</v>
      </c>
      <c r="N70" s="57">
        <f t="shared" si="63"/>
        <v>0</v>
      </c>
      <c r="O70" s="57">
        <f t="shared" si="63"/>
        <v>0</v>
      </c>
      <c r="P70" s="57">
        <f t="shared" si="63"/>
        <v>0</v>
      </c>
      <c r="Q70" s="57">
        <f t="shared" si="63"/>
        <v>0</v>
      </c>
      <c r="R70" s="58">
        <f t="shared" si="52"/>
        <v>0</v>
      </c>
      <c r="S70" s="42"/>
      <c r="T70" s="59">
        <f t="shared" si="53"/>
        <v>0</v>
      </c>
      <c r="U70" s="60">
        <f t="shared" si="54"/>
        <v>0</v>
      </c>
    </row>
    <row r="71" spans="2:21" ht="12" thickBot="1">
      <c r="B71" s="53" t="s">
        <v>94</v>
      </c>
      <c r="C71" s="54">
        <f t="shared" si="50"/>
        <v>0</v>
      </c>
      <c r="D71" s="55">
        <v>0</v>
      </c>
      <c r="E71" s="42"/>
      <c r="F71" s="56">
        <f t="shared" ref="F71:Q71" si="64">ROUNDUP(F17*1.15,0)</f>
        <v>0</v>
      </c>
      <c r="G71" s="57">
        <f t="shared" si="64"/>
        <v>0</v>
      </c>
      <c r="H71" s="57">
        <f t="shared" si="64"/>
        <v>0</v>
      </c>
      <c r="I71" s="57">
        <f t="shared" si="64"/>
        <v>0</v>
      </c>
      <c r="J71" s="57">
        <f t="shared" si="64"/>
        <v>0</v>
      </c>
      <c r="K71" s="57">
        <f t="shared" si="64"/>
        <v>0</v>
      </c>
      <c r="L71" s="57">
        <f t="shared" si="64"/>
        <v>0</v>
      </c>
      <c r="M71" s="57">
        <f t="shared" si="64"/>
        <v>0</v>
      </c>
      <c r="N71" s="57">
        <f t="shared" si="64"/>
        <v>0</v>
      </c>
      <c r="O71" s="57">
        <f t="shared" si="64"/>
        <v>0</v>
      </c>
      <c r="P71" s="57">
        <f t="shared" si="64"/>
        <v>0</v>
      </c>
      <c r="Q71" s="57">
        <f t="shared" si="64"/>
        <v>0</v>
      </c>
      <c r="R71" s="58">
        <f t="shared" si="52"/>
        <v>0</v>
      </c>
      <c r="S71" s="42"/>
      <c r="T71" s="59">
        <f t="shared" si="53"/>
        <v>0</v>
      </c>
      <c r="U71" s="60">
        <f t="shared" si="54"/>
        <v>0</v>
      </c>
    </row>
    <row r="72" spans="2:21">
      <c r="B72" s="61" t="s">
        <v>95</v>
      </c>
      <c r="C72" s="62">
        <v>5123.9832402234633</v>
      </c>
      <c r="D72" s="63">
        <v>357.16234636871474</v>
      </c>
      <c r="E72" s="42"/>
      <c r="F72" s="48">
        <f>+SUM(F73:F84)</f>
        <v>15</v>
      </c>
      <c r="G72" s="49">
        <f t="shared" ref="G72" si="65">+SUM(G73:G84)</f>
        <v>16</v>
      </c>
      <c r="H72" s="49">
        <f t="shared" ref="H72" si="66">+SUM(H73:H84)</f>
        <v>15</v>
      </c>
      <c r="I72" s="49">
        <f t="shared" ref="I72" si="67">+SUM(I73:I84)</f>
        <v>15</v>
      </c>
      <c r="J72" s="49">
        <f t="shared" ref="J72" si="68">+SUM(J73:J84)</f>
        <v>17</v>
      </c>
      <c r="K72" s="49">
        <f t="shared" ref="K72" si="69">+SUM(K73:K84)</f>
        <v>15</v>
      </c>
      <c r="L72" s="49">
        <f t="shared" ref="L72" si="70">+SUM(L73:L84)</f>
        <v>15</v>
      </c>
      <c r="M72" s="49">
        <f t="shared" ref="M72" si="71">+SUM(M73:M84)</f>
        <v>15</v>
      </c>
      <c r="N72" s="49">
        <f t="shared" ref="N72" si="72">+SUM(N73:N84)</f>
        <v>15</v>
      </c>
      <c r="O72" s="49">
        <f t="shared" ref="O72" si="73">+SUM(O73:O84)</f>
        <v>15</v>
      </c>
      <c r="P72" s="49">
        <f t="shared" ref="P72" si="74">+SUM(P73:P84)</f>
        <v>13</v>
      </c>
      <c r="Q72" s="49">
        <f t="shared" ref="Q72:R72" si="75">+SUM(Q73:Q84)</f>
        <v>13</v>
      </c>
      <c r="R72" s="50">
        <f t="shared" si="75"/>
        <v>202</v>
      </c>
      <c r="S72" s="42"/>
      <c r="T72" s="51">
        <f>+SUM(T73:T84)</f>
        <v>1086253.7231927712</v>
      </c>
      <c r="U72" s="52">
        <f>+SUM(U73:U84)</f>
        <v>72140.568192771025</v>
      </c>
    </row>
    <row r="73" spans="2:21">
      <c r="B73" s="53" t="s">
        <v>83</v>
      </c>
      <c r="C73" s="54">
        <f>+C19*1.05</f>
        <v>0</v>
      </c>
      <c r="D73" s="55">
        <v>0</v>
      </c>
      <c r="E73" s="42"/>
      <c r="F73" s="56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8">
        <f>ROUNDUP(R19*1.12,0)</f>
        <v>0</v>
      </c>
      <c r="S73" s="42"/>
      <c r="T73" s="59">
        <f>+R73*C73</f>
        <v>0</v>
      </c>
      <c r="U73" s="60">
        <f>+R73*D73</f>
        <v>0</v>
      </c>
    </row>
    <row r="74" spans="2:21">
      <c r="B74" s="53" t="s">
        <v>84</v>
      </c>
      <c r="C74" s="54">
        <f t="shared" ref="C74:C84" si="76">+C20*1.05</f>
        <v>5555.954819277109</v>
      </c>
      <c r="D74" s="55">
        <v>362.18481927710872</v>
      </c>
      <c r="E74" s="42"/>
      <c r="F74" s="56">
        <v>7</v>
      </c>
      <c r="G74" s="57">
        <v>7</v>
      </c>
      <c r="H74" s="57">
        <v>7</v>
      </c>
      <c r="I74" s="57">
        <v>7</v>
      </c>
      <c r="J74" s="57">
        <v>8</v>
      </c>
      <c r="K74" s="57">
        <v>7</v>
      </c>
      <c r="L74" s="57">
        <v>7</v>
      </c>
      <c r="M74" s="57">
        <v>7</v>
      </c>
      <c r="N74" s="57">
        <v>7</v>
      </c>
      <c r="O74" s="57">
        <v>7</v>
      </c>
      <c r="P74" s="57">
        <v>6</v>
      </c>
      <c r="Q74" s="57">
        <v>6</v>
      </c>
      <c r="R74" s="58">
        <f t="shared" ref="R74:R84" si="77">ROUNDUP(R20*1.12,0)</f>
        <v>93</v>
      </c>
      <c r="S74" s="42"/>
      <c r="T74" s="59">
        <f t="shared" ref="T74:T84" si="78">+R74*C74</f>
        <v>516703.79819277115</v>
      </c>
      <c r="U74" s="60">
        <f t="shared" ref="U74:U84" si="79">+R74*D74</f>
        <v>33683.188192771107</v>
      </c>
    </row>
    <row r="75" spans="2:21">
      <c r="B75" s="53" t="s">
        <v>85</v>
      </c>
      <c r="C75" s="54">
        <f t="shared" si="76"/>
        <v>0</v>
      </c>
      <c r="D75" s="55">
        <v>0</v>
      </c>
      <c r="E75" s="42"/>
      <c r="F75" s="56">
        <v>0</v>
      </c>
      <c r="G75" s="57">
        <v>0</v>
      </c>
      <c r="H75" s="57">
        <v>0</v>
      </c>
      <c r="I75" s="57">
        <v>0</v>
      </c>
      <c r="J75" s="57">
        <v>0</v>
      </c>
      <c r="K75" s="57">
        <v>0</v>
      </c>
      <c r="L75" s="57">
        <v>0</v>
      </c>
      <c r="M75" s="57">
        <v>0</v>
      </c>
      <c r="N75" s="57">
        <v>0</v>
      </c>
      <c r="O75" s="57">
        <v>0</v>
      </c>
      <c r="P75" s="57">
        <v>0</v>
      </c>
      <c r="Q75" s="57">
        <v>0</v>
      </c>
      <c r="R75" s="58">
        <f t="shared" si="77"/>
        <v>0</v>
      </c>
      <c r="S75" s="42"/>
      <c r="T75" s="59">
        <f t="shared" si="78"/>
        <v>0</v>
      </c>
      <c r="U75" s="60">
        <f t="shared" si="79"/>
        <v>0</v>
      </c>
    </row>
    <row r="76" spans="2:21">
      <c r="B76" s="53" t="s">
        <v>86</v>
      </c>
      <c r="C76" s="54">
        <f t="shared" si="76"/>
        <v>6204.45</v>
      </c>
      <c r="D76" s="55">
        <v>352.81999999999971</v>
      </c>
      <c r="E76" s="42"/>
      <c r="F76" s="56">
        <v>1</v>
      </c>
      <c r="G76" s="57">
        <v>1</v>
      </c>
      <c r="H76" s="57">
        <v>1</v>
      </c>
      <c r="I76" s="57">
        <v>1</v>
      </c>
      <c r="J76" s="57">
        <v>1</v>
      </c>
      <c r="K76" s="57">
        <v>1</v>
      </c>
      <c r="L76" s="57">
        <v>1</v>
      </c>
      <c r="M76" s="57">
        <v>1</v>
      </c>
      <c r="N76" s="57">
        <v>1</v>
      </c>
      <c r="O76" s="57">
        <v>1</v>
      </c>
      <c r="P76" s="57">
        <v>1</v>
      </c>
      <c r="Q76" s="57">
        <v>1</v>
      </c>
      <c r="R76" s="58">
        <f t="shared" si="77"/>
        <v>14</v>
      </c>
      <c r="S76" s="42"/>
      <c r="T76" s="59">
        <f t="shared" si="78"/>
        <v>86862.3</v>
      </c>
      <c r="U76" s="60">
        <f t="shared" si="79"/>
        <v>4939.4799999999959</v>
      </c>
    </row>
    <row r="77" spans="2:21">
      <c r="B77" s="53" t="s">
        <v>87</v>
      </c>
      <c r="C77" s="54">
        <f t="shared" si="76"/>
        <v>0</v>
      </c>
      <c r="D77" s="55">
        <v>0</v>
      </c>
      <c r="E77" s="42"/>
      <c r="F77" s="56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58">
        <f t="shared" si="77"/>
        <v>0</v>
      </c>
      <c r="S77" s="42"/>
      <c r="T77" s="59">
        <f t="shared" si="78"/>
        <v>0</v>
      </c>
      <c r="U77" s="60">
        <f t="shared" si="79"/>
        <v>0</v>
      </c>
    </row>
    <row r="78" spans="2:21">
      <c r="B78" s="53" t="s">
        <v>88</v>
      </c>
      <c r="C78" s="54">
        <f t="shared" si="76"/>
        <v>5336.625</v>
      </c>
      <c r="D78" s="55">
        <v>352.81999999999891</v>
      </c>
      <c r="E78" s="42"/>
      <c r="F78" s="56">
        <v>6</v>
      </c>
      <c r="G78" s="57">
        <v>7</v>
      </c>
      <c r="H78" s="57">
        <v>6</v>
      </c>
      <c r="I78" s="57">
        <v>6</v>
      </c>
      <c r="J78" s="57">
        <v>7</v>
      </c>
      <c r="K78" s="57">
        <v>6</v>
      </c>
      <c r="L78" s="57">
        <v>6</v>
      </c>
      <c r="M78" s="57">
        <v>6</v>
      </c>
      <c r="N78" s="57">
        <v>6</v>
      </c>
      <c r="O78" s="57">
        <v>6</v>
      </c>
      <c r="P78" s="57">
        <v>5</v>
      </c>
      <c r="Q78" s="57">
        <v>5</v>
      </c>
      <c r="R78" s="58">
        <f t="shared" si="77"/>
        <v>81</v>
      </c>
      <c r="S78" s="42"/>
      <c r="T78" s="59">
        <f t="shared" si="78"/>
        <v>432266.625</v>
      </c>
      <c r="U78" s="60">
        <f t="shared" si="79"/>
        <v>28578.419999999911</v>
      </c>
    </row>
    <row r="79" spans="2:21">
      <c r="B79" s="53" t="s">
        <v>89</v>
      </c>
      <c r="C79" s="54">
        <f t="shared" si="76"/>
        <v>0</v>
      </c>
      <c r="D79" s="55">
        <v>0</v>
      </c>
      <c r="E79" s="42"/>
      <c r="F79" s="56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58">
        <f t="shared" si="77"/>
        <v>0</v>
      </c>
      <c r="S79" s="42"/>
      <c r="T79" s="59">
        <f t="shared" si="78"/>
        <v>0</v>
      </c>
      <c r="U79" s="60">
        <f t="shared" si="79"/>
        <v>0</v>
      </c>
    </row>
    <row r="80" spans="2:21">
      <c r="B80" s="53" t="s">
        <v>90</v>
      </c>
      <c r="C80" s="54">
        <f t="shared" si="76"/>
        <v>0</v>
      </c>
      <c r="D80" s="55">
        <v>0</v>
      </c>
      <c r="E80" s="42"/>
      <c r="F80" s="56">
        <v>0</v>
      </c>
      <c r="G80" s="57">
        <v>0</v>
      </c>
      <c r="H80" s="57">
        <v>0</v>
      </c>
      <c r="I80" s="57">
        <v>0</v>
      </c>
      <c r="J80" s="57">
        <v>0</v>
      </c>
      <c r="K80" s="57">
        <v>0</v>
      </c>
      <c r="L80" s="57">
        <v>0</v>
      </c>
      <c r="M80" s="57">
        <v>0</v>
      </c>
      <c r="N80" s="57">
        <v>0</v>
      </c>
      <c r="O80" s="57">
        <v>0</v>
      </c>
      <c r="P80" s="57">
        <v>0</v>
      </c>
      <c r="Q80" s="57">
        <v>0</v>
      </c>
      <c r="R80" s="58">
        <f t="shared" si="77"/>
        <v>0</v>
      </c>
      <c r="S80" s="42"/>
      <c r="T80" s="59">
        <f t="shared" si="78"/>
        <v>0</v>
      </c>
      <c r="U80" s="60">
        <f t="shared" si="79"/>
        <v>0</v>
      </c>
    </row>
    <row r="81" spans="2:21">
      <c r="B81" s="53" t="s">
        <v>91</v>
      </c>
      <c r="C81" s="54">
        <f t="shared" si="76"/>
        <v>0</v>
      </c>
      <c r="D81" s="55">
        <v>0</v>
      </c>
      <c r="E81" s="42"/>
      <c r="F81" s="56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57">
        <v>0</v>
      </c>
      <c r="Q81" s="57">
        <v>0</v>
      </c>
      <c r="R81" s="58">
        <f t="shared" si="77"/>
        <v>0</v>
      </c>
      <c r="S81" s="42"/>
      <c r="T81" s="59">
        <f t="shared" si="78"/>
        <v>0</v>
      </c>
      <c r="U81" s="60">
        <f t="shared" si="79"/>
        <v>0</v>
      </c>
    </row>
    <row r="82" spans="2:21">
      <c r="B82" s="53" t="s">
        <v>92</v>
      </c>
      <c r="C82" s="54">
        <f t="shared" si="76"/>
        <v>3601.5</v>
      </c>
      <c r="D82" s="55">
        <v>352.82000000000033</v>
      </c>
      <c r="E82" s="42"/>
      <c r="F82" s="56">
        <v>1</v>
      </c>
      <c r="G82" s="57">
        <v>1</v>
      </c>
      <c r="H82" s="57">
        <v>1</v>
      </c>
      <c r="I82" s="57">
        <v>1</v>
      </c>
      <c r="J82" s="57">
        <v>1</v>
      </c>
      <c r="K82" s="57">
        <v>1</v>
      </c>
      <c r="L82" s="57">
        <v>1</v>
      </c>
      <c r="M82" s="57">
        <v>1</v>
      </c>
      <c r="N82" s="57">
        <v>1</v>
      </c>
      <c r="O82" s="57">
        <v>1</v>
      </c>
      <c r="P82" s="57">
        <v>1</v>
      </c>
      <c r="Q82" s="57">
        <v>1</v>
      </c>
      <c r="R82" s="58">
        <f t="shared" si="77"/>
        <v>14</v>
      </c>
      <c r="S82" s="42"/>
      <c r="T82" s="59">
        <f t="shared" si="78"/>
        <v>50421</v>
      </c>
      <c r="U82" s="60">
        <f t="shared" si="79"/>
        <v>4939.480000000005</v>
      </c>
    </row>
    <row r="83" spans="2:21">
      <c r="B83" s="53" t="s">
        <v>93</v>
      </c>
      <c r="C83" s="54">
        <f t="shared" si="76"/>
        <v>0</v>
      </c>
      <c r="D83" s="55">
        <v>0</v>
      </c>
      <c r="E83" s="42"/>
      <c r="F83" s="56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8">
        <f t="shared" si="77"/>
        <v>0</v>
      </c>
      <c r="S83" s="42"/>
      <c r="T83" s="59">
        <f t="shared" si="78"/>
        <v>0</v>
      </c>
      <c r="U83" s="60">
        <f t="shared" si="79"/>
        <v>0</v>
      </c>
    </row>
    <row r="84" spans="2:21" ht="12" thickBot="1">
      <c r="B84" s="53" t="s">
        <v>94</v>
      </c>
      <c r="C84" s="54">
        <f t="shared" si="76"/>
        <v>0</v>
      </c>
      <c r="D84" s="55">
        <v>0</v>
      </c>
      <c r="E84" s="42"/>
      <c r="F84" s="56">
        <v>0</v>
      </c>
      <c r="G84" s="57">
        <v>0</v>
      </c>
      <c r="H84" s="57">
        <v>0</v>
      </c>
      <c r="I84" s="57">
        <v>0</v>
      </c>
      <c r="J84" s="57">
        <v>0</v>
      </c>
      <c r="K84" s="57">
        <v>0</v>
      </c>
      <c r="L84" s="57">
        <v>0</v>
      </c>
      <c r="M84" s="57">
        <v>0</v>
      </c>
      <c r="N84" s="57">
        <v>0</v>
      </c>
      <c r="O84" s="57">
        <v>0</v>
      </c>
      <c r="P84" s="57">
        <v>0</v>
      </c>
      <c r="Q84" s="57">
        <v>0</v>
      </c>
      <c r="R84" s="58">
        <f t="shared" si="77"/>
        <v>0</v>
      </c>
      <c r="S84" s="42"/>
      <c r="T84" s="59">
        <f t="shared" si="78"/>
        <v>0</v>
      </c>
      <c r="U84" s="60">
        <f t="shared" si="79"/>
        <v>0</v>
      </c>
    </row>
    <row r="85" spans="2:21">
      <c r="B85" s="64" t="s">
        <v>96</v>
      </c>
      <c r="C85" s="62">
        <v>4165.4668006700167</v>
      </c>
      <c r="D85" s="63">
        <v>340.77142378559472</v>
      </c>
      <c r="E85" s="42"/>
      <c r="F85" s="48">
        <f>+SUM(F86:F97)</f>
        <v>44</v>
      </c>
      <c r="G85" s="49">
        <f t="shared" ref="G85" si="80">+SUM(G86:G97)</f>
        <v>48</v>
      </c>
      <c r="H85" s="49">
        <f t="shared" ref="H85" si="81">+SUM(H86:H97)</f>
        <v>47</v>
      </c>
      <c r="I85" s="49">
        <f t="shared" ref="I85" si="82">+SUM(I86:I97)</f>
        <v>46</v>
      </c>
      <c r="J85" s="49">
        <f t="shared" ref="J85" si="83">+SUM(J86:J97)</f>
        <v>53</v>
      </c>
      <c r="K85" s="49">
        <f t="shared" ref="K85" si="84">+SUM(K86:K97)</f>
        <v>50</v>
      </c>
      <c r="L85" s="49">
        <f t="shared" ref="L85" si="85">+SUM(L86:L97)</f>
        <v>53</v>
      </c>
      <c r="M85" s="49">
        <f t="shared" ref="M85" si="86">+SUM(M86:M97)</f>
        <v>54</v>
      </c>
      <c r="N85" s="49">
        <f t="shared" ref="N85" si="87">+SUM(N86:N97)</f>
        <v>54</v>
      </c>
      <c r="O85" s="49">
        <f t="shared" ref="O85" si="88">+SUM(O86:O97)</f>
        <v>54</v>
      </c>
      <c r="P85" s="49">
        <f t="shared" ref="P85" si="89">+SUM(P86:P97)</f>
        <v>46</v>
      </c>
      <c r="Q85" s="49">
        <f t="shared" ref="Q85:R85" si="90">+SUM(Q86:Q97)</f>
        <v>48</v>
      </c>
      <c r="R85" s="50">
        <f t="shared" si="90"/>
        <v>671</v>
      </c>
      <c r="S85" s="42"/>
      <c r="T85" s="51">
        <f>+SUM(T86:T97)</f>
        <v>2935649.3565841755</v>
      </c>
      <c r="U85" s="52">
        <f>+SUM(U86:U97)</f>
        <v>228658.8537531771</v>
      </c>
    </row>
    <row r="86" spans="2:21">
      <c r="B86" s="53" t="s">
        <v>83</v>
      </c>
      <c r="C86" s="54">
        <f>+C32*1.05</f>
        <v>0</v>
      </c>
      <c r="D86" s="55">
        <v>0</v>
      </c>
      <c r="E86" s="42"/>
      <c r="F86" s="56">
        <v>0</v>
      </c>
      <c r="G86" s="57">
        <v>0</v>
      </c>
      <c r="H86" s="57">
        <v>0</v>
      </c>
      <c r="I86" s="57">
        <v>0</v>
      </c>
      <c r="J86" s="57">
        <v>0</v>
      </c>
      <c r="K86" s="57">
        <v>0</v>
      </c>
      <c r="L86" s="57">
        <v>0</v>
      </c>
      <c r="M86" s="57">
        <v>0</v>
      </c>
      <c r="N86" s="57">
        <v>0</v>
      </c>
      <c r="O86" s="57">
        <v>0</v>
      </c>
      <c r="P86" s="57">
        <v>0</v>
      </c>
      <c r="Q86" s="57">
        <v>0</v>
      </c>
      <c r="R86" s="58">
        <f>ROUNDUP(R32*1.12,0)</f>
        <v>0</v>
      </c>
      <c r="S86" s="42"/>
      <c r="T86" s="59">
        <f>+R86*C86</f>
        <v>0</v>
      </c>
      <c r="U86" s="60">
        <f>+R86*D86</f>
        <v>0</v>
      </c>
    </row>
    <row r="87" spans="2:21">
      <c r="B87" s="53" t="s">
        <v>84</v>
      </c>
      <c r="C87" s="54">
        <f t="shared" ref="C87:C97" si="91">+C33*1.05</f>
        <v>5941.3326923076929</v>
      </c>
      <c r="D87" s="55">
        <v>389.63912087912126</v>
      </c>
      <c r="E87" s="42"/>
      <c r="F87" s="56">
        <v>14</v>
      </c>
      <c r="G87" s="57">
        <v>14</v>
      </c>
      <c r="H87" s="57">
        <v>15</v>
      </c>
      <c r="I87" s="57">
        <v>14</v>
      </c>
      <c r="J87" s="57">
        <v>16</v>
      </c>
      <c r="K87" s="57">
        <v>16</v>
      </c>
      <c r="L87" s="57">
        <v>15</v>
      </c>
      <c r="M87" s="57">
        <v>16</v>
      </c>
      <c r="N87" s="57">
        <v>16</v>
      </c>
      <c r="O87" s="57">
        <v>16</v>
      </c>
      <c r="P87" s="57">
        <v>15</v>
      </c>
      <c r="Q87" s="57">
        <v>15</v>
      </c>
      <c r="R87" s="58">
        <f t="shared" ref="R87:R97" si="92">ROUNDUP(R33*1.12,0)</f>
        <v>204</v>
      </c>
      <c r="S87" s="42"/>
      <c r="T87" s="59">
        <f t="shared" ref="T87:T97" si="93">+R87*C87</f>
        <v>1212031.8692307693</v>
      </c>
      <c r="U87" s="60">
        <f t="shared" ref="U87:U97" si="94">+R87*D87</f>
        <v>79486.380659340735</v>
      </c>
    </row>
    <row r="88" spans="2:21">
      <c r="B88" s="53" t="s">
        <v>85</v>
      </c>
      <c r="C88" s="54">
        <f t="shared" si="91"/>
        <v>0</v>
      </c>
      <c r="D88" s="55">
        <v>0</v>
      </c>
      <c r="E88" s="42"/>
      <c r="F88" s="56">
        <v>0</v>
      </c>
      <c r="G88" s="57">
        <v>0</v>
      </c>
      <c r="H88" s="57">
        <v>0</v>
      </c>
      <c r="I88" s="57">
        <v>0</v>
      </c>
      <c r="J88" s="57">
        <v>0</v>
      </c>
      <c r="K88" s="57">
        <v>0</v>
      </c>
      <c r="L88" s="57">
        <v>0</v>
      </c>
      <c r="M88" s="57">
        <v>0</v>
      </c>
      <c r="N88" s="57">
        <v>0</v>
      </c>
      <c r="O88" s="57">
        <v>0</v>
      </c>
      <c r="P88" s="57">
        <v>0</v>
      </c>
      <c r="Q88" s="57">
        <v>0</v>
      </c>
      <c r="R88" s="58">
        <f t="shared" si="92"/>
        <v>0</v>
      </c>
      <c r="S88" s="42"/>
      <c r="T88" s="59">
        <f t="shared" si="93"/>
        <v>0</v>
      </c>
      <c r="U88" s="60">
        <f t="shared" si="94"/>
        <v>0</v>
      </c>
    </row>
    <row r="89" spans="2:21">
      <c r="B89" s="53" t="s">
        <v>86</v>
      </c>
      <c r="C89" s="54">
        <f t="shared" si="91"/>
        <v>5849.91</v>
      </c>
      <c r="D89" s="55">
        <v>339.33428571428607</v>
      </c>
      <c r="E89" s="42"/>
      <c r="F89" s="56">
        <v>2</v>
      </c>
      <c r="G89" s="57">
        <v>2</v>
      </c>
      <c r="H89" s="57">
        <v>2</v>
      </c>
      <c r="I89" s="57">
        <v>2</v>
      </c>
      <c r="J89" s="57">
        <v>2</v>
      </c>
      <c r="K89" s="57">
        <v>2</v>
      </c>
      <c r="L89" s="57">
        <v>4</v>
      </c>
      <c r="M89" s="57">
        <v>4</v>
      </c>
      <c r="N89" s="57">
        <v>4</v>
      </c>
      <c r="O89" s="57">
        <v>4</v>
      </c>
      <c r="P89" s="57">
        <v>3</v>
      </c>
      <c r="Q89" s="57">
        <v>4</v>
      </c>
      <c r="R89" s="58">
        <f t="shared" si="92"/>
        <v>40</v>
      </c>
      <c r="S89" s="42"/>
      <c r="T89" s="59">
        <f t="shared" si="93"/>
        <v>233996.4</v>
      </c>
      <c r="U89" s="60">
        <f t="shared" si="94"/>
        <v>13573.371428571443</v>
      </c>
    </row>
    <row r="90" spans="2:21">
      <c r="B90" s="53" t="s">
        <v>87</v>
      </c>
      <c r="C90" s="54">
        <f t="shared" si="91"/>
        <v>0</v>
      </c>
      <c r="D90" s="55">
        <v>0</v>
      </c>
      <c r="E90" s="42"/>
      <c r="F90" s="56">
        <v>0</v>
      </c>
      <c r="G90" s="57">
        <v>0</v>
      </c>
      <c r="H90" s="57">
        <v>0</v>
      </c>
      <c r="I90" s="57">
        <v>0</v>
      </c>
      <c r="J90" s="57">
        <v>0</v>
      </c>
      <c r="K90" s="57">
        <v>0</v>
      </c>
      <c r="L90" s="57">
        <v>0</v>
      </c>
      <c r="M90" s="57">
        <v>0</v>
      </c>
      <c r="N90" s="57">
        <v>0</v>
      </c>
      <c r="O90" s="57">
        <v>0</v>
      </c>
      <c r="P90" s="57">
        <v>0</v>
      </c>
      <c r="Q90" s="57">
        <v>0</v>
      </c>
      <c r="R90" s="58">
        <f t="shared" si="92"/>
        <v>0</v>
      </c>
      <c r="S90" s="42"/>
      <c r="T90" s="59">
        <f t="shared" si="93"/>
        <v>0</v>
      </c>
      <c r="U90" s="60">
        <f t="shared" si="94"/>
        <v>0</v>
      </c>
    </row>
    <row r="91" spans="2:21">
      <c r="B91" s="53" t="s">
        <v>88</v>
      </c>
      <c r="C91" s="54">
        <f t="shared" si="91"/>
        <v>4844.979806896552</v>
      </c>
      <c r="D91" s="55">
        <v>357.43448275862067</v>
      </c>
      <c r="E91" s="42"/>
      <c r="F91" s="56">
        <v>10</v>
      </c>
      <c r="G91" s="57">
        <v>12</v>
      </c>
      <c r="H91" s="57">
        <v>11</v>
      </c>
      <c r="I91" s="57">
        <v>12</v>
      </c>
      <c r="J91" s="57">
        <v>14</v>
      </c>
      <c r="K91" s="57">
        <v>12</v>
      </c>
      <c r="L91" s="57">
        <v>13</v>
      </c>
      <c r="M91" s="57">
        <v>13</v>
      </c>
      <c r="N91" s="57">
        <v>13</v>
      </c>
      <c r="O91" s="57">
        <v>13</v>
      </c>
      <c r="P91" s="57">
        <v>11</v>
      </c>
      <c r="Q91" s="57">
        <v>11</v>
      </c>
      <c r="R91" s="58">
        <f t="shared" si="92"/>
        <v>163</v>
      </c>
      <c r="S91" s="42"/>
      <c r="T91" s="59">
        <f t="shared" si="93"/>
        <v>789731.70852413797</v>
      </c>
      <c r="U91" s="60">
        <f t="shared" si="94"/>
        <v>58261.820689655171</v>
      </c>
    </row>
    <row r="92" spans="2:21">
      <c r="B92" s="53" t="s">
        <v>89</v>
      </c>
      <c r="C92" s="54">
        <f t="shared" si="91"/>
        <v>0</v>
      </c>
      <c r="D92" s="55">
        <v>0</v>
      </c>
      <c r="E92" s="42"/>
      <c r="F92" s="56">
        <v>0</v>
      </c>
      <c r="G92" s="57">
        <v>0</v>
      </c>
      <c r="H92" s="57">
        <v>0</v>
      </c>
      <c r="I92" s="57">
        <v>0</v>
      </c>
      <c r="J92" s="57">
        <v>0</v>
      </c>
      <c r="K92" s="57">
        <v>0</v>
      </c>
      <c r="L92" s="57">
        <v>0</v>
      </c>
      <c r="M92" s="57">
        <v>0</v>
      </c>
      <c r="N92" s="57">
        <v>0</v>
      </c>
      <c r="O92" s="57">
        <v>0</v>
      </c>
      <c r="P92" s="57">
        <v>0</v>
      </c>
      <c r="Q92" s="57">
        <v>0</v>
      </c>
      <c r="R92" s="58">
        <f t="shared" si="92"/>
        <v>0</v>
      </c>
      <c r="S92" s="42"/>
      <c r="T92" s="59">
        <f t="shared" si="93"/>
        <v>0</v>
      </c>
      <c r="U92" s="60">
        <f t="shared" si="94"/>
        <v>0</v>
      </c>
    </row>
    <row r="93" spans="2:21">
      <c r="B93" s="53" t="s">
        <v>90</v>
      </c>
      <c r="C93" s="54">
        <f t="shared" si="91"/>
        <v>4263</v>
      </c>
      <c r="D93" s="55">
        <v>359.90000000000015</v>
      </c>
      <c r="E93" s="42"/>
      <c r="F93" s="56">
        <v>2</v>
      </c>
      <c r="G93" s="57">
        <v>2</v>
      </c>
      <c r="H93" s="57">
        <v>2</v>
      </c>
      <c r="I93" s="57">
        <v>2</v>
      </c>
      <c r="J93" s="57">
        <v>2</v>
      </c>
      <c r="K93" s="57">
        <v>2</v>
      </c>
      <c r="L93" s="57">
        <v>2</v>
      </c>
      <c r="M93" s="57">
        <v>2</v>
      </c>
      <c r="N93" s="57">
        <v>2</v>
      </c>
      <c r="O93" s="57">
        <v>2</v>
      </c>
      <c r="P93" s="57">
        <v>1</v>
      </c>
      <c r="Q93" s="57">
        <v>1</v>
      </c>
      <c r="R93" s="58">
        <f t="shared" si="92"/>
        <v>25</v>
      </c>
      <c r="S93" s="42"/>
      <c r="T93" s="59">
        <f t="shared" si="93"/>
        <v>106575</v>
      </c>
      <c r="U93" s="60">
        <f t="shared" si="94"/>
        <v>8997.5000000000036</v>
      </c>
    </row>
    <row r="94" spans="2:21">
      <c r="B94" s="53" t="s">
        <v>91</v>
      </c>
      <c r="C94" s="54">
        <f t="shared" si="91"/>
        <v>0</v>
      </c>
      <c r="D94" s="55">
        <v>0</v>
      </c>
      <c r="E94" s="42"/>
      <c r="F94" s="56">
        <v>0</v>
      </c>
      <c r="G94" s="57">
        <v>0</v>
      </c>
      <c r="H94" s="57">
        <v>0</v>
      </c>
      <c r="I94" s="57">
        <v>0</v>
      </c>
      <c r="J94" s="57">
        <v>0</v>
      </c>
      <c r="K94" s="57">
        <v>0</v>
      </c>
      <c r="L94" s="57">
        <v>0</v>
      </c>
      <c r="M94" s="57">
        <v>0</v>
      </c>
      <c r="N94" s="57">
        <v>0</v>
      </c>
      <c r="O94" s="57">
        <v>0</v>
      </c>
      <c r="P94" s="57">
        <v>0</v>
      </c>
      <c r="Q94" s="57">
        <v>0</v>
      </c>
      <c r="R94" s="58">
        <f t="shared" si="92"/>
        <v>0</v>
      </c>
      <c r="S94" s="42"/>
      <c r="T94" s="59">
        <f t="shared" si="93"/>
        <v>0</v>
      </c>
      <c r="U94" s="60">
        <f t="shared" si="94"/>
        <v>0</v>
      </c>
    </row>
    <row r="95" spans="2:21">
      <c r="B95" s="53" t="s">
        <v>92</v>
      </c>
      <c r="C95" s="54">
        <f t="shared" si="91"/>
        <v>3601.5</v>
      </c>
      <c r="D95" s="55">
        <v>359.9</v>
      </c>
      <c r="E95" s="42"/>
      <c r="F95" s="56">
        <v>7</v>
      </c>
      <c r="G95" s="57">
        <v>8</v>
      </c>
      <c r="H95" s="57">
        <v>7</v>
      </c>
      <c r="I95" s="57">
        <v>7</v>
      </c>
      <c r="J95" s="57">
        <v>8</v>
      </c>
      <c r="K95" s="57">
        <v>8</v>
      </c>
      <c r="L95" s="57">
        <v>8</v>
      </c>
      <c r="M95" s="57">
        <v>8</v>
      </c>
      <c r="N95" s="57">
        <v>8</v>
      </c>
      <c r="O95" s="57">
        <v>8</v>
      </c>
      <c r="P95" s="57">
        <v>6</v>
      </c>
      <c r="Q95" s="57">
        <v>7</v>
      </c>
      <c r="R95" s="58">
        <f t="shared" si="92"/>
        <v>101</v>
      </c>
      <c r="S95" s="42"/>
      <c r="T95" s="59">
        <f t="shared" si="93"/>
        <v>363751.5</v>
      </c>
      <c r="U95" s="60">
        <f t="shared" si="94"/>
        <v>36349.899999999994</v>
      </c>
    </row>
    <row r="96" spans="2:21">
      <c r="B96" s="53" t="s">
        <v>93</v>
      </c>
      <c r="C96" s="54">
        <f t="shared" si="91"/>
        <v>1663.4991219512196</v>
      </c>
      <c r="D96" s="55">
        <v>231.81073170731707</v>
      </c>
      <c r="E96" s="42"/>
      <c r="F96" s="56">
        <v>9</v>
      </c>
      <c r="G96" s="57">
        <v>10</v>
      </c>
      <c r="H96" s="57">
        <v>10</v>
      </c>
      <c r="I96" s="57">
        <v>9</v>
      </c>
      <c r="J96" s="57">
        <v>11</v>
      </c>
      <c r="K96" s="57">
        <v>10</v>
      </c>
      <c r="L96" s="57">
        <v>11</v>
      </c>
      <c r="M96" s="57">
        <v>11</v>
      </c>
      <c r="N96" s="57">
        <v>11</v>
      </c>
      <c r="O96" s="57">
        <v>11</v>
      </c>
      <c r="P96" s="57">
        <v>10</v>
      </c>
      <c r="Q96" s="57">
        <v>10</v>
      </c>
      <c r="R96" s="58">
        <f t="shared" si="92"/>
        <v>138</v>
      </c>
      <c r="S96" s="42"/>
      <c r="T96" s="59">
        <f t="shared" si="93"/>
        <v>229562.8788292683</v>
      </c>
      <c r="U96" s="60">
        <f t="shared" si="94"/>
        <v>31989.880975609758</v>
      </c>
    </row>
    <row r="97" spans="2:21" ht="12" thickBot="1">
      <c r="B97" s="53" t="s">
        <v>94</v>
      </c>
      <c r="C97" s="54">
        <f t="shared" si="91"/>
        <v>0</v>
      </c>
      <c r="D97" s="55">
        <v>0</v>
      </c>
      <c r="E97" s="42"/>
      <c r="F97" s="56">
        <v>0</v>
      </c>
      <c r="G97" s="57">
        <v>0</v>
      </c>
      <c r="H97" s="57">
        <v>0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57">
        <v>0</v>
      </c>
      <c r="Q97" s="57">
        <v>0</v>
      </c>
      <c r="R97" s="58">
        <f t="shared" si="92"/>
        <v>0</v>
      </c>
      <c r="S97" s="42"/>
      <c r="T97" s="59">
        <f t="shared" si="93"/>
        <v>0</v>
      </c>
      <c r="U97" s="60">
        <f t="shared" si="94"/>
        <v>0</v>
      </c>
    </row>
    <row r="98" spans="2:21" ht="12" thickBot="1">
      <c r="B98" s="65" t="s">
        <v>97</v>
      </c>
      <c r="C98" s="66">
        <v>4686.7522259136213</v>
      </c>
      <c r="D98" s="67">
        <v>315.19225913621221</v>
      </c>
      <c r="E98" s="42"/>
      <c r="F98" s="68">
        <f>+F85+F72+F59</f>
        <v>99</v>
      </c>
      <c r="G98" s="69">
        <f t="shared" ref="G98:R98" si="95">+G85+G72+G59</f>
        <v>114</v>
      </c>
      <c r="H98" s="69">
        <f t="shared" si="95"/>
        <v>108</v>
      </c>
      <c r="I98" s="69">
        <f t="shared" si="95"/>
        <v>107</v>
      </c>
      <c r="J98" s="69">
        <f t="shared" si="95"/>
        <v>127</v>
      </c>
      <c r="K98" s="69">
        <f t="shared" si="95"/>
        <v>115</v>
      </c>
      <c r="L98" s="69">
        <f t="shared" si="95"/>
        <v>115</v>
      </c>
      <c r="M98" s="69">
        <f t="shared" si="95"/>
        <v>116</v>
      </c>
      <c r="N98" s="69">
        <f t="shared" si="95"/>
        <v>116</v>
      </c>
      <c r="O98" s="69">
        <f t="shared" si="95"/>
        <v>116</v>
      </c>
      <c r="P98" s="69">
        <f t="shared" si="95"/>
        <v>99</v>
      </c>
      <c r="Q98" s="69">
        <f t="shared" si="95"/>
        <v>104</v>
      </c>
      <c r="R98" s="70">
        <f t="shared" si="95"/>
        <v>1356</v>
      </c>
      <c r="S98" s="42"/>
      <c r="T98" s="51">
        <f>+T85+T72+T59</f>
        <v>6673100.0547769461</v>
      </c>
      <c r="U98" s="52">
        <f>+U85+U72+U59</f>
        <v>427326.10194594815</v>
      </c>
    </row>
    <row r="99" spans="2:21">
      <c r="B99" s="71" t="s">
        <v>98</v>
      </c>
      <c r="C99" s="72">
        <v>41.767239866643273</v>
      </c>
      <c r="D99" s="73">
        <v>11.467822424986839</v>
      </c>
      <c r="E99" s="42"/>
      <c r="F99" s="74">
        <f>+SUM(F100:F107)</f>
        <v>924</v>
      </c>
      <c r="G99" s="75">
        <f t="shared" ref="G99" si="96">+SUM(G100:G107)</f>
        <v>929</v>
      </c>
      <c r="H99" s="75">
        <f t="shared" ref="H99" si="97">+SUM(H100:H107)</f>
        <v>929</v>
      </c>
      <c r="I99" s="75">
        <f t="shared" ref="I99" si="98">+SUM(I100:I107)</f>
        <v>935</v>
      </c>
      <c r="J99" s="75">
        <f t="shared" ref="J99" si="99">+SUM(J100:J107)</f>
        <v>935</v>
      </c>
      <c r="K99" s="75">
        <f t="shared" ref="K99" si="100">+SUM(K100:K107)</f>
        <v>954</v>
      </c>
      <c r="L99" s="75">
        <f t="shared" ref="L99" si="101">+SUM(L100:L107)</f>
        <v>954</v>
      </c>
      <c r="M99" s="75">
        <f t="shared" ref="M99" si="102">+SUM(M100:M107)</f>
        <v>964</v>
      </c>
      <c r="N99" s="75">
        <f t="shared" ref="N99" si="103">+SUM(N100:N107)</f>
        <v>971</v>
      </c>
      <c r="O99" s="75">
        <f t="shared" ref="O99" si="104">+SUM(O100:O107)</f>
        <v>971</v>
      </c>
      <c r="P99" s="75">
        <f t="shared" ref="P99" si="105">+SUM(P100:P107)</f>
        <v>966</v>
      </c>
      <c r="Q99" s="75">
        <f t="shared" ref="Q99" si="106">+SUM(Q100:Q107)</f>
        <v>966</v>
      </c>
      <c r="R99" s="76">
        <f t="shared" ref="R99" si="107">+SUM(R100:R107)</f>
        <v>13109</v>
      </c>
      <c r="S99" s="42"/>
      <c r="T99" s="77">
        <f>+SUM(T100:T107)</f>
        <v>548137.09</v>
      </c>
      <c r="U99" s="78">
        <f>+SUM(U100:U107)</f>
        <v>150414.41499999998</v>
      </c>
    </row>
    <row r="100" spans="2:21">
      <c r="B100" s="79" t="s">
        <v>99</v>
      </c>
      <c r="C100" s="54">
        <v>24</v>
      </c>
      <c r="D100" s="55">
        <v>7.4599999999999991</v>
      </c>
      <c r="E100" s="42"/>
      <c r="F100" s="56">
        <v>820</v>
      </c>
      <c r="G100" s="57">
        <v>820</v>
      </c>
      <c r="H100" s="57">
        <v>820</v>
      </c>
      <c r="I100" s="57">
        <v>820</v>
      </c>
      <c r="J100" s="57">
        <v>820</v>
      </c>
      <c r="K100" s="57">
        <v>820</v>
      </c>
      <c r="L100" s="57">
        <v>820</v>
      </c>
      <c r="M100" s="57">
        <v>820</v>
      </c>
      <c r="N100" s="57">
        <v>820</v>
      </c>
      <c r="O100" s="57">
        <v>820</v>
      </c>
      <c r="P100" s="57">
        <v>820</v>
      </c>
      <c r="Q100" s="57">
        <v>820</v>
      </c>
      <c r="R100" s="58">
        <f t="shared" ref="R100:R107" si="108">ROUNDUP(R46*1.15,0)</f>
        <v>11316</v>
      </c>
      <c r="S100" s="42"/>
      <c r="T100" s="59">
        <f t="shared" ref="T100:T107" si="109">+R100*C100</f>
        <v>271584</v>
      </c>
      <c r="U100" s="60">
        <f t="shared" ref="U100:U107" si="110">+R100*D100</f>
        <v>84417.359999999986</v>
      </c>
    </row>
    <row r="101" spans="2:21">
      <c r="B101" s="79" t="s">
        <v>100</v>
      </c>
      <c r="C101" s="54">
        <v>0</v>
      </c>
      <c r="D101" s="55">
        <v>0</v>
      </c>
      <c r="E101" s="42"/>
      <c r="F101" s="56">
        <v>0</v>
      </c>
      <c r="G101" s="57">
        <v>0</v>
      </c>
      <c r="H101" s="57">
        <v>0</v>
      </c>
      <c r="I101" s="57">
        <v>0</v>
      </c>
      <c r="J101" s="57">
        <v>0</v>
      </c>
      <c r="K101" s="57">
        <v>0</v>
      </c>
      <c r="L101" s="57">
        <v>0</v>
      </c>
      <c r="M101" s="57">
        <v>0</v>
      </c>
      <c r="N101" s="57">
        <v>0</v>
      </c>
      <c r="O101" s="57">
        <v>0</v>
      </c>
      <c r="P101" s="57">
        <v>0</v>
      </c>
      <c r="Q101" s="57">
        <v>0</v>
      </c>
      <c r="R101" s="58">
        <f t="shared" si="108"/>
        <v>0</v>
      </c>
      <c r="S101" s="42"/>
      <c r="T101" s="59">
        <f t="shared" si="109"/>
        <v>0</v>
      </c>
      <c r="U101" s="60">
        <f t="shared" si="110"/>
        <v>0</v>
      </c>
    </row>
    <row r="102" spans="2:21">
      <c r="B102" s="79" t="s">
        <v>101</v>
      </c>
      <c r="C102" s="54">
        <v>0</v>
      </c>
      <c r="D102" s="55">
        <v>0</v>
      </c>
      <c r="E102" s="42"/>
      <c r="F102" s="56">
        <v>0</v>
      </c>
      <c r="G102" s="57">
        <v>0</v>
      </c>
      <c r="H102" s="57">
        <v>0</v>
      </c>
      <c r="I102" s="57">
        <v>0</v>
      </c>
      <c r="J102" s="57">
        <v>0</v>
      </c>
      <c r="K102" s="57">
        <v>0</v>
      </c>
      <c r="L102" s="57">
        <v>0</v>
      </c>
      <c r="M102" s="57">
        <v>0</v>
      </c>
      <c r="N102" s="57">
        <v>0</v>
      </c>
      <c r="O102" s="57">
        <v>0</v>
      </c>
      <c r="P102" s="57">
        <v>0</v>
      </c>
      <c r="Q102" s="57">
        <v>0</v>
      </c>
      <c r="R102" s="58">
        <f t="shared" si="108"/>
        <v>0</v>
      </c>
      <c r="S102" s="42"/>
      <c r="T102" s="59">
        <f t="shared" si="109"/>
        <v>0</v>
      </c>
      <c r="U102" s="60">
        <f t="shared" si="110"/>
        <v>0</v>
      </c>
    </row>
    <row r="103" spans="2:21">
      <c r="B103" s="79" t="s">
        <v>102</v>
      </c>
      <c r="C103" s="54">
        <v>0</v>
      </c>
      <c r="D103" s="55">
        <v>0</v>
      </c>
      <c r="E103" s="42"/>
      <c r="F103" s="56">
        <v>0</v>
      </c>
      <c r="G103" s="57">
        <v>0</v>
      </c>
      <c r="H103" s="57">
        <v>0</v>
      </c>
      <c r="I103" s="57">
        <v>0</v>
      </c>
      <c r="J103" s="57">
        <v>0</v>
      </c>
      <c r="K103" s="57">
        <v>0</v>
      </c>
      <c r="L103" s="57">
        <v>0</v>
      </c>
      <c r="M103" s="57">
        <v>0</v>
      </c>
      <c r="N103" s="57">
        <v>0</v>
      </c>
      <c r="O103" s="57">
        <v>0</v>
      </c>
      <c r="P103" s="57">
        <v>0</v>
      </c>
      <c r="Q103" s="57">
        <v>0</v>
      </c>
      <c r="R103" s="58">
        <f t="shared" si="108"/>
        <v>0</v>
      </c>
      <c r="S103" s="42"/>
      <c r="T103" s="59">
        <f t="shared" si="109"/>
        <v>0</v>
      </c>
      <c r="U103" s="60">
        <f t="shared" si="110"/>
        <v>0</v>
      </c>
    </row>
    <row r="104" spans="2:21">
      <c r="B104" s="79" t="s">
        <v>103</v>
      </c>
      <c r="C104" s="54">
        <v>800</v>
      </c>
      <c r="D104" s="55">
        <v>119.87999999999995</v>
      </c>
      <c r="E104" s="42"/>
      <c r="F104" s="56">
        <v>4</v>
      </c>
      <c r="G104" s="57">
        <v>4</v>
      </c>
      <c r="H104" s="57">
        <v>4</v>
      </c>
      <c r="I104" s="57">
        <v>4</v>
      </c>
      <c r="J104" s="57">
        <v>4</v>
      </c>
      <c r="K104" s="57">
        <v>4</v>
      </c>
      <c r="L104" s="57">
        <v>4</v>
      </c>
      <c r="M104" s="57">
        <v>4</v>
      </c>
      <c r="N104" s="57">
        <v>4</v>
      </c>
      <c r="O104" s="57">
        <v>4</v>
      </c>
      <c r="P104" s="57">
        <v>4</v>
      </c>
      <c r="Q104" s="57">
        <v>4</v>
      </c>
      <c r="R104" s="58">
        <f t="shared" si="108"/>
        <v>56</v>
      </c>
      <c r="S104" s="42"/>
      <c r="T104" s="59">
        <f t="shared" si="109"/>
        <v>44800</v>
      </c>
      <c r="U104" s="60">
        <f t="shared" si="110"/>
        <v>6713.279999999997</v>
      </c>
    </row>
    <row r="105" spans="2:21">
      <c r="B105" s="79" t="s">
        <v>104</v>
      </c>
      <c r="C105" s="54">
        <v>2167.4499999999998</v>
      </c>
      <c r="D105" s="55">
        <v>775.30166666666673</v>
      </c>
      <c r="E105" s="42"/>
      <c r="F105" s="56">
        <v>5</v>
      </c>
      <c r="G105" s="57">
        <v>5</v>
      </c>
      <c r="H105" s="57">
        <v>5</v>
      </c>
      <c r="I105" s="57">
        <v>5</v>
      </c>
      <c r="J105" s="57">
        <v>5</v>
      </c>
      <c r="K105" s="57">
        <v>5</v>
      </c>
      <c r="L105" s="57">
        <v>5</v>
      </c>
      <c r="M105" s="57">
        <v>5</v>
      </c>
      <c r="N105" s="57">
        <v>5</v>
      </c>
      <c r="O105" s="57">
        <v>5</v>
      </c>
      <c r="P105" s="57">
        <v>5</v>
      </c>
      <c r="Q105" s="57">
        <v>5</v>
      </c>
      <c r="R105" s="58">
        <f t="shared" si="108"/>
        <v>69</v>
      </c>
      <c r="S105" s="42"/>
      <c r="T105" s="59">
        <f t="shared" si="109"/>
        <v>149554.04999999999</v>
      </c>
      <c r="U105" s="60">
        <f t="shared" si="110"/>
        <v>53495.815000000002</v>
      </c>
    </row>
    <row r="106" spans="2:21">
      <c r="B106" s="79" t="s">
        <v>105</v>
      </c>
      <c r="C106" s="54">
        <v>0</v>
      </c>
      <c r="D106" s="55">
        <v>0</v>
      </c>
      <c r="E106" s="42"/>
      <c r="F106" s="56">
        <v>0</v>
      </c>
      <c r="G106" s="57">
        <v>0</v>
      </c>
      <c r="H106" s="57">
        <v>0</v>
      </c>
      <c r="I106" s="57">
        <v>0</v>
      </c>
      <c r="J106" s="57">
        <v>0</v>
      </c>
      <c r="K106" s="57">
        <v>0</v>
      </c>
      <c r="L106" s="57">
        <v>0</v>
      </c>
      <c r="M106" s="57">
        <v>0</v>
      </c>
      <c r="N106" s="57">
        <v>0</v>
      </c>
      <c r="O106" s="57">
        <v>0</v>
      </c>
      <c r="P106" s="57">
        <v>0</v>
      </c>
      <c r="Q106" s="57">
        <v>0</v>
      </c>
      <c r="R106" s="58">
        <f t="shared" si="108"/>
        <v>0</v>
      </c>
      <c r="S106" s="42"/>
      <c r="T106" s="59">
        <f t="shared" si="109"/>
        <v>0</v>
      </c>
      <c r="U106" s="60">
        <f t="shared" si="110"/>
        <v>0</v>
      </c>
    </row>
    <row r="107" spans="2:21" ht="12" thickBot="1">
      <c r="B107" s="79" t="s">
        <v>106</v>
      </c>
      <c r="C107" s="54">
        <v>49.28</v>
      </c>
      <c r="D107" s="55">
        <v>3.47</v>
      </c>
      <c r="E107" s="42"/>
      <c r="F107" s="56">
        <v>95</v>
      </c>
      <c r="G107" s="57">
        <v>100</v>
      </c>
      <c r="H107" s="57">
        <v>100</v>
      </c>
      <c r="I107" s="57">
        <v>106</v>
      </c>
      <c r="J107" s="57">
        <v>106</v>
      </c>
      <c r="K107" s="57">
        <v>125</v>
      </c>
      <c r="L107" s="57">
        <v>125</v>
      </c>
      <c r="M107" s="57">
        <v>135</v>
      </c>
      <c r="N107" s="57">
        <v>142</v>
      </c>
      <c r="O107" s="57">
        <v>142</v>
      </c>
      <c r="P107" s="57">
        <v>137</v>
      </c>
      <c r="Q107" s="57">
        <v>137</v>
      </c>
      <c r="R107" s="58">
        <f t="shared" si="108"/>
        <v>1668</v>
      </c>
      <c r="S107" s="42"/>
      <c r="T107" s="59">
        <f t="shared" si="109"/>
        <v>82199.040000000008</v>
      </c>
      <c r="U107" s="60">
        <f t="shared" si="110"/>
        <v>5787.96</v>
      </c>
    </row>
    <row r="108" spans="2:21" ht="12" thickBot="1">
      <c r="B108" s="80" t="s">
        <v>107</v>
      </c>
      <c r="C108" s="81"/>
      <c r="D108" s="82"/>
      <c r="E108" s="42"/>
      <c r="F108" s="83">
        <f>+F99+F98</f>
        <v>1023</v>
      </c>
      <c r="G108" s="84">
        <f t="shared" ref="G108:R108" si="111">+G99+G98</f>
        <v>1043</v>
      </c>
      <c r="H108" s="84">
        <f t="shared" si="111"/>
        <v>1037</v>
      </c>
      <c r="I108" s="84">
        <f t="shared" si="111"/>
        <v>1042</v>
      </c>
      <c r="J108" s="84">
        <f t="shared" si="111"/>
        <v>1062</v>
      </c>
      <c r="K108" s="84">
        <f t="shared" si="111"/>
        <v>1069</v>
      </c>
      <c r="L108" s="84">
        <f t="shared" si="111"/>
        <v>1069</v>
      </c>
      <c r="M108" s="84">
        <f t="shared" si="111"/>
        <v>1080</v>
      </c>
      <c r="N108" s="84">
        <f t="shared" si="111"/>
        <v>1087</v>
      </c>
      <c r="O108" s="84">
        <f t="shared" si="111"/>
        <v>1087</v>
      </c>
      <c r="P108" s="84">
        <f t="shared" si="111"/>
        <v>1065</v>
      </c>
      <c r="Q108" s="84">
        <f t="shared" si="111"/>
        <v>1070</v>
      </c>
      <c r="R108" s="85">
        <f t="shared" si="111"/>
        <v>14465</v>
      </c>
      <c r="S108" s="42"/>
      <c r="T108" s="86">
        <f>+T99+T98</f>
        <v>7221237.1447769459</v>
      </c>
      <c r="U108" s="87">
        <f>+U99+U98</f>
        <v>577740.51694594813</v>
      </c>
    </row>
    <row r="110" spans="2:21" ht="12" thickBot="1"/>
    <row r="111" spans="2:21" ht="11.1" customHeight="1">
      <c r="B111" s="365">
        <v>2019</v>
      </c>
      <c r="C111" s="367" t="s">
        <v>149</v>
      </c>
      <c r="D111" s="369" t="s">
        <v>150</v>
      </c>
      <c r="E111" s="42"/>
      <c r="F111" s="371" t="s">
        <v>68</v>
      </c>
      <c r="G111" s="372"/>
      <c r="H111" s="372"/>
      <c r="I111" s="372"/>
      <c r="J111" s="372"/>
      <c r="K111" s="372"/>
      <c r="L111" s="372"/>
      <c r="M111" s="372"/>
      <c r="N111" s="372"/>
      <c r="O111" s="372"/>
      <c r="P111" s="372"/>
      <c r="Q111" s="373"/>
      <c r="R111" s="367" t="s">
        <v>69</v>
      </c>
      <c r="S111" s="42"/>
      <c r="T111" s="375" t="s">
        <v>139</v>
      </c>
      <c r="U111" s="377" t="s">
        <v>108</v>
      </c>
    </row>
    <row r="112" spans="2:21" ht="12" thickBot="1">
      <c r="B112" s="379"/>
      <c r="C112" s="374"/>
      <c r="D112" s="380"/>
      <c r="E112" s="42"/>
      <c r="F112" s="43" t="s">
        <v>70</v>
      </c>
      <c r="G112" s="44" t="s">
        <v>71</v>
      </c>
      <c r="H112" s="44" t="s">
        <v>72</v>
      </c>
      <c r="I112" s="44" t="s">
        <v>73</v>
      </c>
      <c r="J112" s="44" t="s">
        <v>74</v>
      </c>
      <c r="K112" s="44" t="s">
        <v>75</v>
      </c>
      <c r="L112" s="44" t="s">
        <v>76</v>
      </c>
      <c r="M112" s="44" t="s">
        <v>77</v>
      </c>
      <c r="N112" s="44" t="s">
        <v>78</v>
      </c>
      <c r="O112" s="44" t="s">
        <v>79</v>
      </c>
      <c r="P112" s="44" t="s">
        <v>80</v>
      </c>
      <c r="Q112" s="44" t="s">
        <v>81</v>
      </c>
      <c r="R112" s="374"/>
      <c r="S112" s="42"/>
      <c r="T112" s="376"/>
      <c r="U112" s="378"/>
    </row>
    <row r="113" spans="2:21">
      <c r="B113" s="45" t="s">
        <v>82</v>
      </c>
      <c r="C113" s="46">
        <v>5231.0116822429909</v>
      </c>
      <c r="D113" s="47">
        <v>261.95999999999975</v>
      </c>
      <c r="E113" s="42"/>
      <c r="F113" s="48">
        <f>+SUM(F114:F125)</f>
        <v>51</v>
      </c>
      <c r="G113" s="49">
        <f t="shared" ref="G113" si="112">+SUM(G114:G125)</f>
        <v>63</v>
      </c>
      <c r="H113" s="49">
        <f t="shared" ref="H113" si="113">+SUM(H114:H125)</f>
        <v>58</v>
      </c>
      <c r="I113" s="49">
        <f t="shared" ref="I113" si="114">+SUM(I114:I125)</f>
        <v>58</v>
      </c>
      <c r="J113" s="49">
        <f t="shared" ref="J113" si="115">+SUM(J114:J125)</f>
        <v>71</v>
      </c>
      <c r="K113" s="49">
        <f t="shared" ref="K113" si="116">+SUM(K114:K125)</f>
        <v>62</v>
      </c>
      <c r="L113" s="49">
        <f t="shared" ref="L113" si="117">+SUM(L114:L125)</f>
        <v>59</v>
      </c>
      <c r="M113" s="49">
        <f t="shared" ref="M113" si="118">+SUM(M114:M125)</f>
        <v>59</v>
      </c>
      <c r="N113" s="49">
        <f t="shared" ref="N113" si="119">+SUM(N114:N125)</f>
        <v>59</v>
      </c>
      <c r="O113" s="49">
        <f t="shared" ref="O113" si="120">+SUM(O114:O125)</f>
        <v>59</v>
      </c>
      <c r="P113" s="49">
        <f t="shared" ref="P113" si="121">+SUM(P114:P125)</f>
        <v>50</v>
      </c>
      <c r="Q113" s="49">
        <f t="shared" ref="Q113" si="122">+SUM(Q114:Q125)</f>
        <v>54</v>
      </c>
      <c r="R113" s="50">
        <f t="shared" ref="R113" si="123">+SUM(R114:R125)</f>
        <v>559</v>
      </c>
      <c r="S113" s="42"/>
      <c r="T113" s="51">
        <f>+SUM(T114:T125)</f>
        <v>3221299.9350000001</v>
      </c>
      <c r="U113" s="52">
        <f>+SUM(U114:U125)</f>
        <v>146435.63999999998</v>
      </c>
    </row>
    <row r="114" spans="2:21">
      <c r="B114" s="53" t="s">
        <v>83</v>
      </c>
      <c r="C114" s="54">
        <f>+C60*1.05</f>
        <v>6644.7675000000008</v>
      </c>
      <c r="D114" s="55">
        <v>261.95999999999992</v>
      </c>
      <c r="E114" s="42"/>
      <c r="F114" s="56">
        <f>ROUNDUP(F60*1.15,0)</f>
        <v>5</v>
      </c>
      <c r="G114" s="57">
        <f t="shared" ref="G114:Q114" si="124">ROUNDUP(G60*1.15,0)</f>
        <v>6</v>
      </c>
      <c r="H114" s="57">
        <f t="shared" si="124"/>
        <v>5</v>
      </c>
      <c r="I114" s="57">
        <f t="shared" si="124"/>
        <v>6</v>
      </c>
      <c r="J114" s="57">
        <f t="shared" si="124"/>
        <v>7</v>
      </c>
      <c r="K114" s="57">
        <f t="shared" si="124"/>
        <v>6</v>
      </c>
      <c r="L114" s="57">
        <f t="shared" si="124"/>
        <v>6</v>
      </c>
      <c r="M114" s="57">
        <f t="shared" si="124"/>
        <v>6</v>
      </c>
      <c r="N114" s="57">
        <f t="shared" si="124"/>
        <v>6</v>
      </c>
      <c r="O114" s="57">
        <f t="shared" si="124"/>
        <v>6</v>
      </c>
      <c r="P114" s="57">
        <f t="shared" si="124"/>
        <v>6</v>
      </c>
      <c r="Q114" s="57">
        <f t="shared" si="124"/>
        <v>6</v>
      </c>
      <c r="R114" s="58">
        <f>ROUNDUP(R60*1.15,0)</f>
        <v>61</v>
      </c>
      <c r="S114" s="42"/>
      <c r="T114" s="59">
        <f>+R114*C114</f>
        <v>405330.81750000006</v>
      </c>
      <c r="U114" s="60">
        <f>+R114*D114</f>
        <v>15979.559999999996</v>
      </c>
    </row>
    <row r="115" spans="2:21">
      <c r="B115" s="53" t="s">
        <v>84</v>
      </c>
      <c r="C115" s="54">
        <f t="shared" ref="C115:C125" si="125">+C61*1.05</f>
        <v>6644.7675000000008</v>
      </c>
      <c r="D115" s="55">
        <v>261.95999999999987</v>
      </c>
      <c r="E115" s="42"/>
      <c r="F115" s="56">
        <f t="shared" ref="F115:R115" si="126">ROUNDUP(F61*1.15,0)</f>
        <v>13</v>
      </c>
      <c r="G115" s="57">
        <f t="shared" si="126"/>
        <v>14</v>
      </c>
      <c r="H115" s="57">
        <f t="shared" si="126"/>
        <v>13</v>
      </c>
      <c r="I115" s="57">
        <f t="shared" si="126"/>
        <v>14</v>
      </c>
      <c r="J115" s="57">
        <f t="shared" si="126"/>
        <v>17</v>
      </c>
      <c r="K115" s="57">
        <f t="shared" si="126"/>
        <v>14</v>
      </c>
      <c r="L115" s="57">
        <f t="shared" si="126"/>
        <v>14</v>
      </c>
      <c r="M115" s="57">
        <f t="shared" si="126"/>
        <v>14</v>
      </c>
      <c r="N115" s="57">
        <f t="shared" si="126"/>
        <v>14</v>
      </c>
      <c r="O115" s="57">
        <f t="shared" si="126"/>
        <v>14</v>
      </c>
      <c r="P115" s="57">
        <f t="shared" si="126"/>
        <v>12</v>
      </c>
      <c r="Q115" s="57">
        <f t="shared" si="126"/>
        <v>12</v>
      </c>
      <c r="R115" s="58">
        <f t="shared" si="126"/>
        <v>150</v>
      </c>
      <c r="S115" s="42"/>
      <c r="T115" s="59">
        <f t="shared" ref="T115:T125" si="127">+R115*C115</f>
        <v>996715.12500000012</v>
      </c>
      <c r="U115" s="60">
        <f t="shared" ref="U115:U125" si="128">+R115*D115</f>
        <v>39293.999999999978</v>
      </c>
    </row>
    <row r="116" spans="2:21">
      <c r="B116" s="53" t="s">
        <v>85</v>
      </c>
      <c r="C116" s="54">
        <f t="shared" si="125"/>
        <v>6514.6724999999997</v>
      </c>
      <c r="D116" s="55">
        <v>261.96000000000004</v>
      </c>
      <c r="E116" s="42"/>
      <c r="F116" s="56">
        <f t="shared" ref="F116:R116" si="129">ROUNDUP(F62*1.15,0)</f>
        <v>3</v>
      </c>
      <c r="G116" s="57">
        <f t="shared" si="129"/>
        <v>4</v>
      </c>
      <c r="H116" s="57">
        <f t="shared" si="129"/>
        <v>4</v>
      </c>
      <c r="I116" s="57">
        <f t="shared" si="129"/>
        <v>3</v>
      </c>
      <c r="J116" s="57">
        <f t="shared" si="129"/>
        <v>4</v>
      </c>
      <c r="K116" s="57">
        <f t="shared" si="129"/>
        <v>4</v>
      </c>
      <c r="L116" s="57">
        <f t="shared" si="129"/>
        <v>3</v>
      </c>
      <c r="M116" s="57">
        <f t="shared" si="129"/>
        <v>3</v>
      </c>
      <c r="N116" s="57">
        <f t="shared" si="129"/>
        <v>3</v>
      </c>
      <c r="O116" s="57">
        <f t="shared" si="129"/>
        <v>3</v>
      </c>
      <c r="P116" s="57">
        <f t="shared" si="129"/>
        <v>3</v>
      </c>
      <c r="Q116" s="57">
        <f t="shared" si="129"/>
        <v>3</v>
      </c>
      <c r="R116" s="58">
        <f t="shared" si="129"/>
        <v>21</v>
      </c>
      <c r="S116" s="42"/>
      <c r="T116" s="59">
        <f t="shared" si="127"/>
        <v>136808.1225</v>
      </c>
      <c r="U116" s="60">
        <f t="shared" si="128"/>
        <v>5501.1600000000008</v>
      </c>
    </row>
    <row r="117" spans="2:21">
      <c r="B117" s="53" t="s">
        <v>86</v>
      </c>
      <c r="C117" s="54">
        <f t="shared" si="125"/>
        <v>6514.6724999999997</v>
      </c>
      <c r="D117" s="55">
        <v>261.96000000000004</v>
      </c>
      <c r="E117" s="42"/>
      <c r="F117" s="56">
        <f t="shared" ref="F117:R117" si="130">ROUNDUP(F63*1.15,0)</f>
        <v>4</v>
      </c>
      <c r="G117" s="57">
        <f t="shared" si="130"/>
        <v>4</v>
      </c>
      <c r="H117" s="57">
        <f t="shared" si="130"/>
        <v>4</v>
      </c>
      <c r="I117" s="57">
        <f t="shared" si="130"/>
        <v>4</v>
      </c>
      <c r="J117" s="57">
        <f t="shared" si="130"/>
        <v>5</v>
      </c>
      <c r="K117" s="57">
        <f t="shared" si="130"/>
        <v>5</v>
      </c>
      <c r="L117" s="57">
        <f t="shared" si="130"/>
        <v>5</v>
      </c>
      <c r="M117" s="57">
        <f t="shared" si="130"/>
        <v>5</v>
      </c>
      <c r="N117" s="57">
        <f t="shared" si="130"/>
        <v>5</v>
      </c>
      <c r="O117" s="57">
        <f t="shared" si="130"/>
        <v>5</v>
      </c>
      <c r="P117" s="57">
        <f t="shared" si="130"/>
        <v>5</v>
      </c>
      <c r="Q117" s="57">
        <f t="shared" si="130"/>
        <v>5</v>
      </c>
      <c r="R117" s="58">
        <f t="shared" si="130"/>
        <v>42</v>
      </c>
      <c r="S117" s="42"/>
      <c r="T117" s="59">
        <f t="shared" si="127"/>
        <v>273616.245</v>
      </c>
      <c r="U117" s="60">
        <f t="shared" si="128"/>
        <v>11002.320000000002</v>
      </c>
    </row>
    <row r="118" spans="2:21">
      <c r="B118" s="53" t="s">
        <v>87</v>
      </c>
      <c r="C118" s="54">
        <f t="shared" si="125"/>
        <v>5603.4562500000002</v>
      </c>
      <c r="D118" s="55">
        <v>261.95999999999987</v>
      </c>
      <c r="E118" s="42"/>
      <c r="F118" s="56">
        <f t="shared" ref="F118:R118" si="131">ROUNDUP(F64*1.15,0)</f>
        <v>6</v>
      </c>
      <c r="G118" s="57">
        <f t="shared" si="131"/>
        <v>9</v>
      </c>
      <c r="H118" s="57">
        <f t="shared" si="131"/>
        <v>9</v>
      </c>
      <c r="I118" s="57">
        <f t="shared" si="131"/>
        <v>9</v>
      </c>
      <c r="J118" s="57">
        <f t="shared" si="131"/>
        <v>11</v>
      </c>
      <c r="K118" s="57">
        <f t="shared" si="131"/>
        <v>9</v>
      </c>
      <c r="L118" s="57">
        <f t="shared" si="131"/>
        <v>9</v>
      </c>
      <c r="M118" s="57">
        <f t="shared" si="131"/>
        <v>9</v>
      </c>
      <c r="N118" s="57">
        <f t="shared" si="131"/>
        <v>9</v>
      </c>
      <c r="O118" s="57">
        <f t="shared" si="131"/>
        <v>9</v>
      </c>
      <c r="P118" s="57">
        <f t="shared" si="131"/>
        <v>7</v>
      </c>
      <c r="Q118" s="57">
        <f t="shared" si="131"/>
        <v>7</v>
      </c>
      <c r="R118" s="58">
        <f t="shared" si="131"/>
        <v>90</v>
      </c>
      <c r="S118" s="42"/>
      <c r="T118" s="59">
        <f t="shared" si="127"/>
        <v>504311.0625</v>
      </c>
      <c r="U118" s="60">
        <f t="shared" si="128"/>
        <v>23576.399999999987</v>
      </c>
    </row>
    <row r="119" spans="2:21">
      <c r="B119" s="53" t="s">
        <v>88</v>
      </c>
      <c r="C119" s="54">
        <f t="shared" si="125"/>
        <v>5603.4562500000002</v>
      </c>
      <c r="D119" s="55">
        <v>261.96000000000026</v>
      </c>
      <c r="E119" s="42"/>
      <c r="F119" s="56">
        <f t="shared" ref="F119:R119" si="132">ROUNDUP(F65*1.15,0)</f>
        <v>6</v>
      </c>
      <c r="G119" s="57">
        <f t="shared" si="132"/>
        <v>9</v>
      </c>
      <c r="H119" s="57">
        <f t="shared" si="132"/>
        <v>7</v>
      </c>
      <c r="I119" s="57">
        <f t="shared" si="132"/>
        <v>7</v>
      </c>
      <c r="J119" s="57">
        <f t="shared" si="132"/>
        <v>9</v>
      </c>
      <c r="K119" s="57">
        <f t="shared" si="132"/>
        <v>7</v>
      </c>
      <c r="L119" s="57">
        <f t="shared" si="132"/>
        <v>7</v>
      </c>
      <c r="M119" s="57">
        <f t="shared" si="132"/>
        <v>7</v>
      </c>
      <c r="N119" s="57">
        <f t="shared" si="132"/>
        <v>7</v>
      </c>
      <c r="O119" s="57">
        <f t="shared" si="132"/>
        <v>7</v>
      </c>
      <c r="P119" s="57">
        <f t="shared" si="132"/>
        <v>6</v>
      </c>
      <c r="Q119" s="57">
        <f t="shared" si="132"/>
        <v>6</v>
      </c>
      <c r="R119" s="58">
        <f t="shared" si="132"/>
        <v>78</v>
      </c>
      <c r="S119" s="42"/>
      <c r="T119" s="59">
        <f t="shared" si="127"/>
        <v>437069.58750000002</v>
      </c>
      <c r="U119" s="60">
        <f t="shared" si="128"/>
        <v>20432.880000000019</v>
      </c>
    </row>
    <row r="120" spans="2:21">
      <c r="B120" s="53" t="s">
        <v>89</v>
      </c>
      <c r="C120" s="54">
        <f t="shared" si="125"/>
        <v>4476.1500000000005</v>
      </c>
      <c r="D120" s="55">
        <v>261.95999999999981</v>
      </c>
      <c r="E120" s="42"/>
      <c r="F120" s="56">
        <f t="shared" ref="F120:R120" si="133">ROUNDUP(F66*1.15,0)</f>
        <v>3</v>
      </c>
      <c r="G120" s="57">
        <f t="shared" si="133"/>
        <v>3</v>
      </c>
      <c r="H120" s="57">
        <f t="shared" si="133"/>
        <v>3</v>
      </c>
      <c r="I120" s="57">
        <f t="shared" si="133"/>
        <v>3</v>
      </c>
      <c r="J120" s="57">
        <f t="shared" si="133"/>
        <v>3</v>
      </c>
      <c r="K120" s="57">
        <f t="shared" si="133"/>
        <v>3</v>
      </c>
      <c r="L120" s="57">
        <f t="shared" si="133"/>
        <v>3</v>
      </c>
      <c r="M120" s="57">
        <f t="shared" si="133"/>
        <v>3</v>
      </c>
      <c r="N120" s="57">
        <f t="shared" si="133"/>
        <v>3</v>
      </c>
      <c r="O120" s="57">
        <f t="shared" si="133"/>
        <v>3</v>
      </c>
      <c r="P120" s="57">
        <f t="shared" si="133"/>
        <v>0</v>
      </c>
      <c r="Q120" s="57">
        <f t="shared" si="133"/>
        <v>3</v>
      </c>
      <c r="R120" s="58">
        <f t="shared" si="133"/>
        <v>15</v>
      </c>
      <c r="S120" s="42"/>
      <c r="T120" s="59">
        <f t="shared" si="127"/>
        <v>67142.250000000015</v>
      </c>
      <c r="U120" s="60">
        <f t="shared" si="128"/>
        <v>3929.3999999999969</v>
      </c>
    </row>
    <row r="121" spans="2:21">
      <c r="B121" s="53" t="s">
        <v>90</v>
      </c>
      <c r="C121" s="54">
        <f t="shared" si="125"/>
        <v>4476.1500000000005</v>
      </c>
      <c r="D121" s="55">
        <v>261.96000000000004</v>
      </c>
      <c r="E121" s="42"/>
      <c r="F121" s="56">
        <f t="shared" ref="F121:R121" si="134">ROUNDUP(F67*1.15,0)</f>
        <v>3</v>
      </c>
      <c r="G121" s="57">
        <f t="shared" si="134"/>
        <v>4</v>
      </c>
      <c r="H121" s="57">
        <f t="shared" si="134"/>
        <v>4</v>
      </c>
      <c r="I121" s="57">
        <f t="shared" si="134"/>
        <v>3</v>
      </c>
      <c r="J121" s="57">
        <f t="shared" si="134"/>
        <v>4</v>
      </c>
      <c r="K121" s="57">
        <f t="shared" si="134"/>
        <v>4</v>
      </c>
      <c r="L121" s="57">
        <f t="shared" si="134"/>
        <v>3</v>
      </c>
      <c r="M121" s="57">
        <f t="shared" si="134"/>
        <v>3</v>
      </c>
      <c r="N121" s="57">
        <f t="shared" si="134"/>
        <v>3</v>
      </c>
      <c r="O121" s="57">
        <f t="shared" si="134"/>
        <v>3</v>
      </c>
      <c r="P121" s="57">
        <f t="shared" si="134"/>
        <v>3</v>
      </c>
      <c r="Q121" s="57">
        <f t="shared" si="134"/>
        <v>3</v>
      </c>
      <c r="R121" s="58">
        <f t="shared" si="134"/>
        <v>21</v>
      </c>
      <c r="S121" s="42"/>
      <c r="T121" s="59">
        <f t="shared" si="127"/>
        <v>93999.150000000009</v>
      </c>
      <c r="U121" s="60">
        <f t="shared" si="128"/>
        <v>5501.1600000000008</v>
      </c>
    </row>
    <row r="122" spans="2:21">
      <c r="B122" s="53" t="s">
        <v>91</v>
      </c>
      <c r="C122" s="54">
        <f t="shared" si="125"/>
        <v>3781.5750000000003</v>
      </c>
      <c r="D122" s="55">
        <v>261.96000000000009</v>
      </c>
      <c r="E122" s="42"/>
      <c r="F122" s="56">
        <f t="shared" ref="F122:R122" si="135">ROUNDUP(F68*1.15,0)</f>
        <v>5</v>
      </c>
      <c r="G122" s="57">
        <f t="shared" si="135"/>
        <v>6</v>
      </c>
      <c r="H122" s="57">
        <f t="shared" si="135"/>
        <v>5</v>
      </c>
      <c r="I122" s="57">
        <f t="shared" si="135"/>
        <v>6</v>
      </c>
      <c r="J122" s="57">
        <f t="shared" si="135"/>
        <v>7</v>
      </c>
      <c r="K122" s="57">
        <f t="shared" si="135"/>
        <v>6</v>
      </c>
      <c r="L122" s="57">
        <f t="shared" si="135"/>
        <v>6</v>
      </c>
      <c r="M122" s="57">
        <f t="shared" si="135"/>
        <v>6</v>
      </c>
      <c r="N122" s="57">
        <f t="shared" si="135"/>
        <v>6</v>
      </c>
      <c r="O122" s="57">
        <f t="shared" si="135"/>
        <v>6</v>
      </c>
      <c r="P122" s="57">
        <f t="shared" si="135"/>
        <v>5</v>
      </c>
      <c r="Q122" s="57">
        <f t="shared" si="135"/>
        <v>6</v>
      </c>
      <c r="R122" s="58">
        <f t="shared" si="135"/>
        <v>60</v>
      </c>
      <c r="S122" s="42"/>
      <c r="T122" s="59">
        <f t="shared" si="127"/>
        <v>226894.50000000003</v>
      </c>
      <c r="U122" s="60">
        <f t="shared" si="128"/>
        <v>15717.600000000006</v>
      </c>
    </row>
    <row r="123" spans="2:21">
      <c r="B123" s="53" t="s">
        <v>92</v>
      </c>
      <c r="C123" s="54">
        <f t="shared" si="125"/>
        <v>3781.5750000000003</v>
      </c>
      <c r="D123" s="55">
        <v>261.96000000000004</v>
      </c>
      <c r="E123" s="42"/>
      <c r="F123" s="56">
        <f t="shared" ref="F123:R123" si="136">ROUNDUP(F69*1.15,0)</f>
        <v>3</v>
      </c>
      <c r="G123" s="57">
        <f t="shared" si="136"/>
        <v>4</v>
      </c>
      <c r="H123" s="57">
        <f t="shared" si="136"/>
        <v>4</v>
      </c>
      <c r="I123" s="57">
        <f t="shared" si="136"/>
        <v>3</v>
      </c>
      <c r="J123" s="57">
        <f t="shared" si="136"/>
        <v>4</v>
      </c>
      <c r="K123" s="57">
        <f t="shared" si="136"/>
        <v>4</v>
      </c>
      <c r="L123" s="57">
        <f t="shared" si="136"/>
        <v>3</v>
      </c>
      <c r="M123" s="57">
        <f t="shared" si="136"/>
        <v>3</v>
      </c>
      <c r="N123" s="57">
        <f t="shared" si="136"/>
        <v>3</v>
      </c>
      <c r="O123" s="57">
        <f t="shared" si="136"/>
        <v>3</v>
      </c>
      <c r="P123" s="57">
        <f t="shared" si="136"/>
        <v>3</v>
      </c>
      <c r="Q123" s="57">
        <f t="shared" si="136"/>
        <v>3</v>
      </c>
      <c r="R123" s="58">
        <f t="shared" si="136"/>
        <v>21</v>
      </c>
      <c r="S123" s="42"/>
      <c r="T123" s="59">
        <f t="shared" si="127"/>
        <v>79413.075000000012</v>
      </c>
      <c r="U123" s="60">
        <f t="shared" si="128"/>
        <v>5501.1600000000008</v>
      </c>
    </row>
    <row r="124" spans="2:21">
      <c r="B124" s="53" t="s">
        <v>93</v>
      </c>
      <c r="C124" s="54">
        <f t="shared" si="125"/>
        <v>0</v>
      </c>
      <c r="D124" s="55">
        <v>0</v>
      </c>
      <c r="E124" s="42"/>
      <c r="F124" s="56">
        <f t="shared" ref="F124:R124" si="137">ROUNDUP(F70*1.15,0)</f>
        <v>0</v>
      </c>
      <c r="G124" s="57">
        <f t="shared" si="137"/>
        <v>0</v>
      </c>
      <c r="H124" s="57">
        <f t="shared" si="137"/>
        <v>0</v>
      </c>
      <c r="I124" s="57">
        <f t="shared" si="137"/>
        <v>0</v>
      </c>
      <c r="J124" s="57">
        <f t="shared" si="137"/>
        <v>0</v>
      </c>
      <c r="K124" s="57">
        <f t="shared" si="137"/>
        <v>0</v>
      </c>
      <c r="L124" s="57">
        <f t="shared" si="137"/>
        <v>0</v>
      </c>
      <c r="M124" s="57">
        <f t="shared" si="137"/>
        <v>0</v>
      </c>
      <c r="N124" s="57">
        <f t="shared" si="137"/>
        <v>0</v>
      </c>
      <c r="O124" s="57">
        <f t="shared" si="137"/>
        <v>0</v>
      </c>
      <c r="P124" s="57">
        <f t="shared" si="137"/>
        <v>0</v>
      </c>
      <c r="Q124" s="57">
        <f t="shared" si="137"/>
        <v>0</v>
      </c>
      <c r="R124" s="58">
        <f t="shared" si="137"/>
        <v>0</v>
      </c>
      <c r="S124" s="42"/>
      <c r="T124" s="59">
        <f t="shared" si="127"/>
        <v>0</v>
      </c>
      <c r="U124" s="60">
        <f t="shared" si="128"/>
        <v>0</v>
      </c>
    </row>
    <row r="125" spans="2:21" ht="12" thickBot="1">
      <c r="B125" s="53" t="s">
        <v>94</v>
      </c>
      <c r="C125" s="54">
        <f t="shared" si="125"/>
        <v>0</v>
      </c>
      <c r="D125" s="55">
        <v>0</v>
      </c>
      <c r="E125" s="42"/>
      <c r="F125" s="56">
        <f t="shared" ref="F125:R125" si="138">ROUNDUP(F71*1.15,0)</f>
        <v>0</v>
      </c>
      <c r="G125" s="57">
        <f t="shared" si="138"/>
        <v>0</v>
      </c>
      <c r="H125" s="57">
        <f t="shared" si="138"/>
        <v>0</v>
      </c>
      <c r="I125" s="57">
        <f t="shared" si="138"/>
        <v>0</v>
      </c>
      <c r="J125" s="57">
        <f t="shared" si="138"/>
        <v>0</v>
      </c>
      <c r="K125" s="57">
        <f t="shared" si="138"/>
        <v>0</v>
      </c>
      <c r="L125" s="57">
        <f t="shared" si="138"/>
        <v>0</v>
      </c>
      <c r="M125" s="57">
        <f t="shared" si="138"/>
        <v>0</v>
      </c>
      <c r="N125" s="57">
        <f t="shared" si="138"/>
        <v>0</v>
      </c>
      <c r="O125" s="57">
        <f t="shared" si="138"/>
        <v>0</v>
      </c>
      <c r="P125" s="57">
        <f t="shared" si="138"/>
        <v>0</v>
      </c>
      <c r="Q125" s="57">
        <f t="shared" si="138"/>
        <v>0</v>
      </c>
      <c r="R125" s="58">
        <f t="shared" si="138"/>
        <v>0</v>
      </c>
      <c r="S125" s="42"/>
      <c r="T125" s="59">
        <f t="shared" si="127"/>
        <v>0</v>
      </c>
      <c r="U125" s="60">
        <f t="shared" si="128"/>
        <v>0</v>
      </c>
    </row>
    <row r="126" spans="2:21">
      <c r="B126" s="61" t="s">
        <v>95</v>
      </c>
      <c r="C126" s="62">
        <v>5123.9832402234633</v>
      </c>
      <c r="D126" s="63">
        <v>357.16234636871474</v>
      </c>
      <c r="E126" s="42"/>
      <c r="F126" s="48">
        <f>+SUM(F127:F138)</f>
        <v>15</v>
      </c>
      <c r="G126" s="49">
        <f t="shared" ref="G126" si="139">+SUM(G127:G138)</f>
        <v>16</v>
      </c>
      <c r="H126" s="49">
        <f t="shared" ref="H126" si="140">+SUM(H127:H138)</f>
        <v>15</v>
      </c>
      <c r="I126" s="49">
        <f t="shared" ref="I126" si="141">+SUM(I127:I138)</f>
        <v>15</v>
      </c>
      <c r="J126" s="49">
        <f t="shared" ref="J126" si="142">+SUM(J127:J138)</f>
        <v>17</v>
      </c>
      <c r="K126" s="49">
        <f t="shared" ref="K126" si="143">+SUM(K127:K138)</f>
        <v>15</v>
      </c>
      <c r="L126" s="49">
        <f t="shared" ref="L126" si="144">+SUM(L127:L138)</f>
        <v>15</v>
      </c>
      <c r="M126" s="49">
        <f t="shared" ref="M126" si="145">+SUM(M127:M138)</f>
        <v>15</v>
      </c>
      <c r="N126" s="49">
        <f t="shared" ref="N126" si="146">+SUM(N127:N138)</f>
        <v>15</v>
      </c>
      <c r="O126" s="49">
        <f t="shared" ref="O126" si="147">+SUM(O127:O138)</f>
        <v>15</v>
      </c>
      <c r="P126" s="49">
        <f t="shared" ref="P126" si="148">+SUM(P127:P138)</f>
        <v>13</v>
      </c>
      <c r="Q126" s="49">
        <f t="shared" ref="Q126" si="149">+SUM(Q127:Q138)</f>
        <v>13</v>
      </c>
      <c r="R126" s="50">
        <f t="shared" ref="R126" si="150">+SUM(R127:R138)</f>
        <v>235</v>
      </c>
      <c r="S126" s="42"/>
      <c r="T126" s="51">
        <f>+SUM(T127:T138)</f>
        <v>1325972.6189457832</v>
      </c>
      <c r="U126" s="52">
        <f>+SUM(U127:U138)</f>
        <v>83914.735662650521</v>
      </c>
    </row>
    <row r="127" spans="2:21">
      <c r="B127" s="53" t="s">
        <v>83</v>
      </c>
      <c r="C127" s="54">
        <f>+C73*1.05</f>
        <v>0</v>
      </c>
      <c r="D127" s="55">
        <v>0</v>
      </c>
      <c r="E127" s="42"/>
      <c r="F127" s="56">
        <v>0</v>
      </c>
      <c r="G127" s="57">
        <v>0</v>
      </c>
      <c r="H127" s="57">
        <v>0</v>
      </c>
      <c r="I127" s="57">
        <v>0</v>
      </c>
      <c r="J127" s="57">
        <v>0</v>
      </c>
      <c r="K127" s="57">
        <v>0</v>
      </c>
      <c r="L127" s="57">
        <v>0</v>
      </c>
      <c r="M127" s="57">
        <v>0</v>
      </c>
      <c r="N127" s="57">
        <v>0</v>
      </c>
      <c r="O127" s="57">
        <v>0</v>
      </c>
      <c r="P127" s="57">
        <v>0</v>
      </c>
      <c r="Q127" s="57">
        <v>0</v>
      </c>
      <c r="R127" s="58">
        <f>ROUNDUP(R73*1.15,0)</f>
        <v>0</v>
      </c>
      <c r="S127" s="42"/>
      <c r="T127" s="59">
        <f>+R127*C127</f>
        <v>0</v>
      </c>
      <c r="U127" s="60">
        <f>+R127*D127</f>
        <v>0</v>
      </c>
    </row>
    <row r="128" spans="2:21">
      <c r="B128" s="53" t="s">
        <v>84</v>
      </c>
      <c r="C128" s="54">
        <f t="shared" ref="C128:C138" si="151">+C74*1.05</f>
        <v>5833.7525602409651</v>
      </c>
      <c r="D128" s="55">
        <v>362.18481927710872</v>
      </c>
      <c r="E128" s="42"/>
      <c r="F128" s="56">
        <v>7</v>
      </c>
      <c r="G128" s="57">
        <v>7</v>
      </c>
      <c r="H128" s="57">
        <v>7</v>
      </c>
      <c r="I128" s="57">
        <v>7</v>
      </c>
      <c r="J128" s="57">
        <v>8</v>
      </c>
      <c r="K128" s="57">
        <v>7</v>
      </c>
      <c r="L128" s="57">
        <v>7</v>
      </c>
      <c r="M128" s="57">
        <v>7</v>
      </c>
      <c r="N128" s="57">
        <v>7</v>
      </c>
      <c r="O128" s="57">
        <v>7</v>
      </c>
      <c r="P128" s="57">
        <v>6</v>
      </c>
      <c r="Q128" s="57">
        <v>6</v>
      </c>
      <c r="R128" s="58">
        <f t="shared" ref="R128" si="152">ROUNDUP(R74*1.15,0)</f>
        <v>107</v>
      </c>
      <c r="S128" s="42"/>
      <c r="T128" s="59">
        <f t="shared" ref="T128:T138" si="153">+R128*C128</f>
        <v>624211.52394578326</v>
      </c>
      <c r="U128" s="60">
        <f t="shared" ref="U128:U138" si="154">+R128*D128</f>
        <v>38753.775662650631</v>
      </c>
    </row>
    <row r="129" spans="2:21">
      <c r="B129" s="53" t="s">
        <v>85</v>
      </c>
      <c r="C129" s="54">
        <f t="shared" si="151"/>
        <v>0</v>
      </c>
      <c r="D129" s="55">
        <v>0</v>
      </c>
      <c r="E129" s="42"/>
      <c r="F129" s="56">
        <v>0</v>
      </c>
      <c r="G129" s="57">
        <v>0</v>
      </c>
      <c r="H129" s="57">
        <v>0</v>
      </c>
      <c r="I129" s="57">
        <v>0</v>
      </c>
      <c r="J129" s="57">
        <v>0</v>
      </c>
      <c r="K129" s="57">
        <v>0</v>
      </c>
      <c r="L129" s="57">
        <v>0</v>
      </c>
      <c r="M129" s="57">
        <v>0</v>
      </c>
      <c r="N129" s="57">
        <v>0</v>
      </c>
      <c r="O129" s="57">
        <v>0</v>
      </c>
      <c r="P129" s="57">
        <v>0</v>
      </c>
      <c r="Q129" s="57">
        <v>0</v>
      </c>
      <c r="R129" s="58">
        <f t="shared" ref="R129" si="155">ROUNDUP(R75*1.15,0)</f>
        <v>0</v>
      </c>
      <c r="S129" s="42"/>
      <c r="T129" s="59">
        <f t="shared" si="153"/>
        <v>0</v>
      </c>
      <c r="U129" s="60">
        <f t="shared" si="154"/>
        <v>0</v>
      </c>
    </row>
    <row r="130" spans="2:21">
      <c r="B130" s="53" t="s">
        <v>86</v>
      </c>
      <c r="C130" s="54">
        <f t="shared" si="151"/>
        <v>6514.6724999999997</v>
      </c>
      <c r="D130" s="55">
        <v>352.81999999999971</v>
      </c>
      <c r="E130" s="42"/>
      <c r="F130" s="56">
        <v>1</v>
      </c>
      <c r="G130" s="57">
        <v>1</v>
      </c>
      <c r="H130" s="57">
        <v>1</v>
      </c>
      <c r="I130" s="57">
        <v>1</v>
      </c>
      <c r="J130" s="57">
        <v>1</v>
      </c>
      <c r="K130" s="57">
        <v>1</v>
      </c>
      <c r="L130" s="57">
        <v>1</v>
      </c>
      <c r="M130" s="57">
        <v>1</v>
      </c>
      <c r="N130" s="57">
        <v>1</v>
      </c>
      <c r="O130" s="57">
        <v>1</v>
      </c>
      <c r="P130" s="57">
        <v>1</v>
      </c>
      <c r="Q130" s="57">
        <v>1</v>
      </c>
      <c r="R130" s="58">
        <f t="shared" ref="R130" si="156">ROUNDUP(R76*1.15,0)</f>
        <v>17</v>
      </c>
      <c r="S130" s="42"/>
      <c r="T130" s="59">
        <f t="shared" si="153"/>
        <v>110749.4325</v>
      </c>
      <c r="U130" s="60">
        <f t="shared" si="154"/>
        <v>5997.9399999999951</v>
      </c>
    </row>
    <row r="131" spans="2:21">
      <c r="B131" s="53" t="s">
        <v>87</v>
      </c>
      <c r="C131" s="54">
        <f t="shared" si="151"/>
        <v>0</v>
      </c>
      <c r="D131" s="55">
        <v>0</v>
      </c>
      <c r="E131" s="42"/>
      <c r="F131" s="56">
        <v>0</v>
      </c>
      <c r="G131" s="57">
        <v>0</v>
      </c>
      <c r="H131" s="57">
        <v>0</v>
      </c>
      <c r="I131" s="57">
        <v>0</v>
      </c>
      <c r="J131" s="57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</v>
      </c>
      <c r="P131" s="57">
        <v>0</v>
      </c>
      <c r="Q131" s="57">
        <v>0</v>
      </c>
      <c r="R131" s="58">
        <f t="shared" ref="R131" si="157">ROUNDUP(R77*1.15,0)</f>
        <v>0</v>
      </c>
      <c r="S131" s="42"/>
      <c r="T131" s="59">
        <f t="shared" si="153"/>
        <v>0</v>
      </c>
      <c r="U131" s="60">
        <f t="shared" si="154"/>
        <v>0</v>
      </c>
    </row>
    <row r="132" spans="2:21">
      <c r="B132" s="53" t="s">
        <v>88</v>
      </c>
      <c r="C132" s="54">
        <f t="shared" si="151"/>
        <v>5603.4562500000002</v>
      </c>
      <c r="D132" s="55">
        <v>352.81999999999891</v>
      </c>
      <c r="E132" s="42"/>
      <c r="F132" s="56">
        <v>6</v>
      </c>
      <c r="G132" s="57">
        <v>7</v>
      </c>
      <c r="H132" s="57">
        <v>6</v>
      </c>
      <c r="I132" s="57">
        <v>6</v>
      </c>
      <c r="J132" s="57">
        <v>7</v>
      </c>
      <c r="K132" s="57">
        <v>6</v>
      </c>
      <c r="L132" s="57">
        <v>6</v>
      </c>
      <c r="M132" s="57">
        <v>6</v>
      </c>
      <c r="N132" s="57">
        <v>6</v>
      </c>
      <c r="O132" s="57">
        <v>6</v>
      </c>
      <c r="P132" s="57">
        <v>5</v>
      </c>
      <c r="Q132" s="57">
        <v>5</v>
      </c>
      <c r="R132" s="58">
        <f t="shared" ref="R132" si="158">ROUNDUP(R78*1.15,0)</f>
        <v>94</v>
      </c>
      <c r="S132" s="42"/>
      <c r="T132" s="59">
        <f t="shared" si="153"/>
        <v>526724.88750000007</v>
      </c>
      <c r="U132" s="60">
        <f t="shared" si="154"/>
        <v>33165.0799999999</v>
      </c>
    </row>
    <row r="133" spans="2:21">
      <c r="B133" s="53" t="s">
        <v>89</v>
      </c>
      <c r="C133" s="54">
        <f t="shared" si="151"/>
        <v>0</v>
      </c>
      <c r="D133" s="55">
        <v>0</v>
      </c>
      <c r="E133" s="42"/>
      <c r="F133" s="56">
        <v>0</v>
      </c>
      <c r="G133" s="57">
        <v>0</v>
      </c>
      <c r="H133" s="57">
        <v>0</v>
      </c>
      <c r="I133" s="57">
        <v>0</v>
      </c>
      <c r="J133" s="57">
        <v>0</v>
      </c>
      <c r="K133" s="57">
        <v>0</v>
      </c>
      <c r="L133" s="57">
        <v>0</v>
      </c>
      <c r="M133" s="57">
        <v>0</v>
      </c>
      <c r="N133" s="57">
        <v>0</v>
      </c>
      <c r="O133" s="57">
        <v>0</v>
      </c>
      <c r="P133" s="57">
        <v>0</v>
      </c>
      <c r="Q133" s="57">
        <v>0</v>
      </c>
      <c r="R133" s="58">
        <f t="shared" ref="R133" si="159">ROUNDUP(R79*1.15,0)</f>
        <v>0</v>
      </c>
      <c r="S133" s="42"/>
      <c r="T133" s="59">
        <f t="shared" si="153"/>
        <v>0</v>
      </c>
      <c r="U133" s="60">
        <f t="shared" si="154"/>
        <v>0</v>
      </c>
    </row>
    <row r="134" spans="2:21">
      <c r="B134" s="53" t="s">
        <v>90</v>
      </c>
      <c r="C134" s="54">
        <f t="shared" si="151"/>
        <v>0</v>
      </c>
      <c r="D134" s="55">
        <v>0</v>
      </c>
      <c r="E134" s="42"/>
      <c r="F134" s="56">
        <v>0</v>
      </c>
      <c r="G134" s="57">
        <v>0</v>
      </c>
      <c r="H134" s="57">
        <v>0</v>
      </c>
      <c r="I134" s="57">
        <v>0</v>
      </c>
      <c r="J134" s="57">
        <v>0</v>
      </c>
      <c r="K134" s="57">
        <v>0</v>
      </c>
      <c r="L134" s="57">
        <v>0</v>
      </c>
      <c r="M134" s="57">
        <v>0</v>
      </c>
      <c r="N134" s="57">
        <v>0</v>
      </c>
      <c r="O134" s="57">
        <v>0</v>
      </c>
      <c r="P134" s="57">
        <v>0</v>
      </c>
      <c r="Q134" s="57">
        <v>0</v>
      </c>
      <c r="R134" s="58">
        <f t="shared" ref="R134" si="160">ROUNDUP(R80*1.15,0)</f>
        <v>0</v>
      </c>
      <c r="S134" s="42"/>
      <c r="T134" s="59">
        <f t="shared" si="153"/>
        <v>0</v>
      </c>
      <c r="U134" s="60">
        <f t="shared" si="154"/>
        <v>0</v>
      </c>
    </row>
    <row r="135" spans="2:21">
      <c r="B135" s="53" t="s">
        <v>91</v>
      </c>
      <c r="C135" s="54">
        <f t="shared" si="151"/>
        <v>0</v>
      </c>
      <c r="D135" s="55">
        <v>0</v>
      </c>
      <c r="E135" s="42"/>
      <c r="F135" s="56">
        <v>0</v>
      </c>
      <c r="G135" s="57">
        <v>0</v>
      </c>
      <c r="H135" s="57">
        <v>0</v>
      </c>
      <c r="I135" s="57">
        <v>0</v>
      </c>
      <c r="J135" s="57">
        <v>0</v>
      </c>
      <c r="K135" s="57">
        <v>0</v>
      </c>
      <c r="L135" s="57">
        <v>0</v>
      </c>
      <c r="M135" s="57">
        <v>0</v>
      </c>
      <c r="N135" s="57">
        <v>0</v>
      </c>
      <c r="O135" s="57">
        <v>0</v>
      </c>
      <c r="P135" s="57">
        <v>0</v>
      </c>
      <c r="Q135" s="57">
        <v>0</v>
      </c>
      <c r="R135" s="58">
        <f t="shared" ref="R135" si="161">ROUNDUP(R81*1.15,0)</f>
        <v>0</v>
      </c>
      <c r="S135" s="42"/>
      <c r="T135" s="59">
        <f t="shared" si="153"/>
        <v>0</v>
      </c>
      <c r="U135" s="60">
        <f t="shared" si="154"/>
        <v>0</v>
      </c>
    </row>
    <row r="136" spans="2:21">
      <c r="B136" s="53" t="s">
        <v>92</v>
      </c>
      <c r="C136" s="54">
        <f t="shared" si="151"/>
        <v>3781.5750000000003</v>
      </c>
      <c r="D136" s="55">
        <v>352.82000000000033</v>
      </c>
      <c r="E136" s="42"/>
      <c r="F136" s="56">
        <v>1</v>
      </c>
      <c r="G136" s="57">
        <v>1</v>
      </c>
      <c r="H136" s="57">
        <v>1</v>
      </c>
      <c r="I136" s="57">
        <v>1</v>
      </c>
      <c r="J136" s="57">
        <v>1</v>
      </c>
      <c r="K136" s="57">
        <v>1</v>
      </c>
      <c r="L136" s="57">
        <v>1</v>
      </c>
      <c r="M136" s="57">
        <v>1</v>
      </c>
      <c r="N136" s="57">
        <v>1</v>
      </c>
      <c r="O136" s="57">
        <v>1</v>
      </c>
      <c r="P136" s="57">
        <v>1</v>
      </c>
      <c r="Q136" s="57">
        <v>1</v>
      </c>
      <c r="R136" s="58">
        <f t="shared" ref="R136" si="162">ROUNDUP(R82*1.15,0)</f>
        <v>17</v>
      </c>
      <c r="S136" s="42"/>
      <c r="T136" s="59">
        <f t="shared" si="153"/>
        <v>64286.775000000001</v>
      </c>
      <c r="U136" s="60">
        <f t="shared" si="154"/>
        <v>5997.940000000006</v>
      </c>
    </row>
    <row r="137" spans="2:21">
      <c r="B137" s="53" t="s">
        <v>93</v>
      </c>
      <c r="C137" s="54">
        <f t="shared" si="151"/>
        <v>0</v>
      </c>
      <c r="D137" s="55">
        <v>0</v>
      </c>
      <c r="E137" s="42"/>
      <c r="F137" s="56">
        <v>0</v>
      </c>
      <c r="G137" s="57">
        <v>0</v>
      </c>
      <c r="H137" s="57">
        <v>0</v>
      </c>
      <c r="I137" s="57">
        <v>0</v>
      </c>
      <c r="J137" s="57">
        <v>0</v>
      </c>
      <c r="K137" s="57">
        <v>0</v>
      </c>
      <c r="L137" s="57">
        <v>0</v>
      </c>
      <c r="M137" s="57">
        <v>0</v>
      </c>
      <c r="N137" s="57">
        <v>0</v>
      </c>
      <c r="O137" s="57">
        <v>0</v>
      </c>
      <c r="P137" s="57">
        <v>0</v>
      </c>
      <c r="Q137" s="57">
        <v>0</v>
      </c>
      <c r="R137" s="58">
        <f t="shared" ref="R137" si="163">ROUNDUP(R83*1.15,0)</f>
        <v>0</v>
      </c>
      <c r="S137" s="42"/>
      <c r="T137" s="59">
        <f t="shared" si="153"/>
        <v>0</v>
      </c>
      <c r="U137" s="60">
        <f t="shared" si="154"/>
        <v>0</v>
      </c>
    </row>
    <row r="138" spans="2:21" ht="12" thickBot="1">
      <c r="B138" s="53" t="s">
        <v>94</v>
      </c>
      <c r="C138" s="54">
        <f t="shared" si="151"/>
        <v>0</v>
      </c>
      <c r="D138" s="55">
        <v>0</v>
      </c>
      <c r="E138" s="42"/>
      <c r="F138" s="56">
        <v>0</v>
      </c>
      <c r="G138" s="57">
        <v>0</v>
      </c>
      <c r="H138" s="57">
        <v>0</v>
      </c>
      <c r="I138" s="57">
        <v>0</v>
      </c>
      <c r="J138" s="57">
        <v>0</v>
      </c>
      <c r="K138" s="57">
        <v>0</v>
      </c>
      <c r="L138" s="57">
        <v>0</v>
      </c>
      <c r="M138" s="57">
        <v>0</v>
      </c>
      <c r="N138" s="57">
        <v>0</v>
      </c>
      <c r="O138" s="57">
        <v>0</v>
      </c>
      <c r="P138" s="57">
        <v>0</v>
      </c>
      <c r="Q138" s="57">
        <v>0</v>
      </c>
      <c r="R138" s="58">
        <f t="shared" ref="R138" si="164">ROUNDUP(R84*1.15,0)</f>
        <v>0</v>
      </c>
      <c r="S138" s="42"/>
      <c r="T138" s="59">
        <f t="shared" si="153"/>
        <v>0</v>
      </c>
      <c r="U138" s="60">
        <f t="shared" si="154"/>
        <v>0</v>
      </c>
    </row>
    <row r="139" spans="2:21">
      <c r="B139" s="64" t="s">
        <v>96</v>
      </c>
      <c r="C139" s="62">
        <v>4165.4668006700167</v>
      </c>
      <c r="D139" s="63">
        <v>340.77142378559472</v>
      </c>
      <c r="E139" s="42"/>
      <c r="F139" s="48">
        <f>+SUM(F140:F151)</f>
        <v>44</v>
      </c>
      <c r="G139" s="49">
        <f t="shared" ref="G139" si="165">+SUM(G140:G151)</f>
        <v>48</v>
      </c>
      <c r="H139" s="49">
        <f t="shared" ref="H139" si="166">+SUM(H140:H151)</f>
        <v>47</v>
      </c>
      <c r="I139" s="49">
        <f t="shared" ref="I139" si="167">+SUM(I140:I151)</f>
        <v>46</v>
      </c>
      <c r="J139" s="49">
        <f t="shared" ref="J139" si="168">+SUM(J140:J151)</f>
        <v>53</v>
      </c>
      <c r="K139" s="49">
        <f t="shared" ref="K139" si="169">+SUM(K140:K151)</f>
        <v>50</v>
      </c>
      <c r="L139" s="49">
        <f t="shared" ref="L139" si="170">+SUM(L140:L151)</f>
        <v>53</v>
      </c>
      <c r="M139" s="49">
        <f t="shared" ref="M139" si="171">+SUM(M140:M151)</f>
        <v>54</v>
      </c>
      <c r="N139" s="49">
        <f t="shared" ref="N139" si="172">+SUM(N140:N151)</f>
        <v>54</v>
      </c>
      <c r="O139" s="49">
        <f t="shared" ref="O139" si="173">+SUM(O140:O151)</f>
        <v>54</v>
      </c>
      <c r="P139" s="49">
        <f t="shared" ref="P139" si="174">+SUM(P140:P151)</f>
        <v>46</v>
      </c>
      <c r="Q139" s="49">
        <f t="shared" ref="Q139" si="175">+SUM(Q140:Q151)</f>
        <v>48</v>
      </c>
      <c r="R139" s="50">
        <f t="shared" ref="R139" si="176">+SUM(R140:R151)</f>
        <v>774</v>
      </c>
      <c r="S139" s="42"/>
      <c r="T139" s="51">
        <f>+SUM(T140:T151)</f>
        <v>3554947.3121180586</v>
      </c>
      <c r="U139" s="52">
        <f>+SUM(U140:U151)</f>
        <v>263775.55964953476</v>
      </c>
    </row>
    <row r="140" spans="2:21">
      <c r="B140" s="53" t="s">
        <v>83</v>
      </c>
      <c r="C140" s="54">
        <f>+C86*1.05</f>
        <v>0</v>
      </c>
      <c r="D140" s="55">
        <v>0</v>
      </c>
      <c r="E140" s="42"/>
      <c r="F140" s="56">
        <v>0</v>
      </c>
      <c r="G140" s="57">
        <v>0</v>
      </c>
      <c r="H140" s="57">
        <v>0</v>
      </c>
      <c r="I140" s="57">
        <v>0</v>
      </c>
      <c r="J140" s="57">
        <v>0</v>
      </c>
      <c r="K140" s="57">
        <v>0</v>
      </c>
      <c r="L140" s="57">
        <v>0</v>
      </c>
      <c r="M140" s="57">
        <v>0</v>
      </c>
      <c r="N140" s="57">
        <v>0</v>
      </c>
      <c r="O140" s="57">
        <v>0</v>
      </c>
      <c r="P140" s="57">
        <v>0</v>
      </c>
      <c r="Q140" s="57">
        <v>0</v>
      </c>
      <c r="R140" s="58">
        <f>ROUNDUP(R86*1.15,0)</f>
        <v>0</v>
      </c>
      <c r="S140" s="42"/>
      <c r="T140" s="59">
        <f>+R140*C140</f>
        <v>0</v>
      </c>
      <c r="U140" s="60">
        <f>+R140*D140</f>
        <v>0</v>
      </c>
    </row>
    <row r="141" spans="2:21">
      <c r="B141" s="53" t="s">
        <v>84</v>
      </c>
      <c r="C141" s="54">
        <f t="shared" ref="C141:C151" si="177">+C87*1.05</f>
        <v>6238.3993269230778</v>
      </c>
      <c r="D141" s="55">
        <v>389.63912087912126</v>
      </c>
      <c r="E141" s="42"/>
      <c r="F141" s="56">
        <v>14</v>
      </c>
      <c r="G141" s="57">
        <v>14</v>
      </c>
      <c r="H141" s="57">
        <v>15</v>
      </c>
      <c r="I141" s="57">
        <v>14</v>
      </c>
      <c r="J141" s="57">
        <v>16</v>
      </c>
      <c r="K141" s="57">
        <v>16</v>
      </c>
      <c r="L141" s="57">
        <v>15</v>
      </c>
      <c r="M141" s="57">
        <v>16</v>
      </c>
      <c r="N141" s="57">
        <v>16</v>
      </c>
      <c r="O141" s="57">
        <v>16</v>
      </c>
      <c r="P141" s="57">
        <v>15</v>
      </c>
      <c r="Q141" s="57">
        <v>15</v>
      </c>
      <c r="R141" s="58">
        <f t="shared" ref="R141:R151" si="178">ROUNDUP(R87*1.15,0)</f>
        <v>235</v>
      </c>
      <c r="S141" s="42"/>
      <c r="T141" s="59">
        <f t="shared" ref="T141:T151" si="179">+R141*C141</f>
        <v>1466023.8418269232</v>
      </c>
      <c r="U141" s="60">
        <f t="shared" ref="U141:U151" si="180">+R141*D141</f>
        <v>91565.193406593491</v>
      </c>
    </row>
    <row r="142" spans="2:21">
      <c r="B142" s="53" t="s">
        <v>85</v>
      </c>
      <c r="C142" s="54">
        <f t="shared" si="177"/>
        <v>0</v>
      </c>
      <c r="D142" s="55">
        <v>0</v>
      </c>
      <c r="E142" s="42"/>
      <c r="F142" s="56">
        <v>0</v>
      </c>
      <c r="G142" s="57">
        <v>0</v>
      </c>
      <c r="H142" s="57">
        <v>0</v>
      </c>
      <c r="I142" s="57">
        <v>0</v>
      </c>
      <c r="J142" s="57">
        <v>0</v>
      </c>
      <c r="K142" s="57">
        <v>0</v>
      </c>
      <c r="L142" s="57">
        <v>0</v>
      </c>
      <c r="M142" s="57">
        <v>0</v>
      </c>
      <c r="N142" s="57">
        <v>0</v>
      </c>
      <c r="O142" s="57">
        <v>0</v>
      </c>
      <c r="P142" s="57">
        <v>0</v>
      </c>
      <c r="Q142" s="57">
        <v>0</v>
      </c>
      <c r="R142" s="58">
        <f t="shared" si="178"/>
        <v>0</v>
      </c>
      <c r="S142" s="42"/>
      <c r="T142" s="59">
        <f t="shared" si="179"/>
        <v>0</v>
      </c>
      <c r="U142" s="60">
        <f t="shared" si="180"/>
        <v>0</v>
      </c>
    </row>
    <row r="143" spans="2:21">
      <c r="B143" s="53" t="s">
        <v>86</v>
      </c>
      <c r="C143" s="54">
        <f t="shared" si="177"/>
        <v>6142.4054999999998</v>
      </c>
      <c r="D143" s="55">
        <v>339.33428571428607</v>
      </c>
      <c r="E143" s="42"/>
      <c r="F143" s="56">
        <v>2</v>
      </c>
      <c r="G143" s="57">
        <v>2</v>
      </c>
      <c r="H143" s="57">
        <v>2</v>
      </c>
      <c r="I143" s="57">
        <v>2</v>
      </c>
      <c r="J143" s="57">
        <v>2</v>
      </c>
      <c r="K143" s="57">
        <v>2</v>
      </c>
      <c r="L143" s="57">
        <v>4</v>
      </c>
      <c r="M143" s="57">
        <v>4</v>
      </c>
      <c r="N143" s="57">
        <v>4</v>
      </c>
      <c r="O143" s="57">
        <v>4</v>
      </c>
      <c r="P143" s="57">
        <v>3</v>
      </c>
      <c r="Q143" s="57">
        <v>4</v>
      </c>
      <c r="R143" s="58">
        <f t="shared" si="178"/>
        <v>46</v>
      </c>
      <c r="S143" s="42"/>
      <c r="T143" s="59">
        <f t="shared" si="179"/>
        <v>282550.65299999999</v>
      </c>
      <c r="U143" s="60">
        <f t="shared" si="180"/>
        <v>15609.37714285716</v>
      </c>
    </row>
    <row r="144" spans="2:21">
      <c r="B144" s="53" t="s">
        <v>87</v>
      </c>
      <c r="C144" s="54">
        <f t="shared" si="177"/>
        <v>0</v>
      </c>
      <c r="D144" s="55">
        <v>0</v>
      </c>
      <c r="E144" s="42"/>
      <c r="F144" s="56">
        <v>0</v>
      </c>
      <c r="G144" s="57">
        <v>0</v>
      </c>
      <c r="H144" s="57">
        <v>0</v>
      </c>
      <c r="I144" s="57">
        <v>0</v>
      </c>
      <c r="J144" s="57">
        <v>0</v>
      </c>
      <c r="K144" s="57">
        <v>0</v>
      </c>
      <c r="L144" s="57">
        <v>0</v>
      </c>
      <c r="M144" s="57">
        <v>0</v>
      </c>
      <c r="N144" s="57">
        <v>0</v>
      </c>
      <c r="O144" s="57">
        <v>0</v>
      </c>
      <c r="P144" s="57">
        <v>0</v>
      </c>
      <c r="Q144" s="57">
        <v>0</v>
      </c>
      <c r="R144" s="58">
        <f t="shared" si="178"/>
        <v>0</v>
      </c>
      <c r="S144" s="42"/>
      <c r="T144" s="59">
        <f t="shared" si="179"/>
        <v>0</v>
      </c>
      <c r="U144" s="60">
        <f t="shared" si="180"/>
        <v>0</v>
      </c>
    </row>
    <row r="145" spans="2:21">
      <c r="B145" s="53" t="s">
        <v>88</v>
      </c>
      <c r="C145" s="54">
        <f t="shared" si="177"/>
        <v>5087.2287972413797</v>
      </c>
      <c r="D145" s="55">
        <v>357.43448275862067</v>
      </c>
      <c r="E145" s="42"/>
      <c r="F145" s="56">
        <v>10</v>
      </c>
      <c r="G145" s="57">
        <v>12</v>
      </c>
      <c r="H145" s="57">
        <v>11</v>
      </c>
      <c r="I145" s="57">
        <v>12</v>
      </c>
      <c r="J145" s="57">
        <v>14</v>
      </c>
      <c r="K145" s="57">
        <v>12</v>
      </c>
      <c r="L145" s="57">
        <v>13</v>
      </c>
      <c r="M145" s="57">
        <v>13</v>
      </c>
      <c r="N145" s="57">
        <v>13</v>
      </c>
      <c r="O145" s="57">
        <v>13</v>
      </c>
      <c r="P145" s="57">
        <v>11</v>
      </c>
      <c r="Q145" s="57">
        <v>11</v>
      </c>
      <c r="R145" s="58">
        <f t="shared" si="178"/>
        <v>188</v>
      </c>
      <c r="S145" s="42"/>
      <c r="T145" s="59">
        <f t="shared" si="179"/>
        <v>956399.01388137939</v>
      </c>
      <c r="U145" s="60">
        <f t="shared" si="180"/>
        <v>67197.682758620693</v>
      </c>
    </row>
    <row r="146" spans="2:21">
      <c r="B146" s="53" t="s">
        <v>89</v>
      </c>
      <c r="C146" s="54">
        <f t="shared" si="177"/>
        <v>0</v>
      </c>
      <c r="D146" s="55">
        <v>0</v>
      </c>
      <c r="E146" s="42"/>
      <c r="F146" s="56">
        <v>0</v>
      </c>
      <c r="G146" s="57">
        <v>0</v>
      </c>
      <c r="H146" s="57">
        <v>0</v>
      </c>
      <c r="I146" s="57">
        <v>0</v>
      </c>
      <c r="J146" s="57">
        <v>0</v>
      </c>
      <c r="K146" s="57">
        <v>0</v>
      </c>
      <c r="L146" s="57">
        <v>0</v>
      </c>
      <c r="M146" s="57">
        <v>0</v>
      </c>
      <c r="N146" s="57">
        <v>0</v>
      </c>
      <c r="O146" s="57">
        <v>0</v>
      </c>
      <c r="P146" s="57">
        <v>0</v>
      </c>
      <c r="Q146" s="57">
        <v>0</v>
      </c>
      <c r="R146" s="58">
        <f t="shared" si="178"/>
        <v>0</v>
      </c>
      <c r="S146" s="42"/>
      <c r="T146" s="59">
        <f t="shared" si="179"/>
        <v>0</v>
      </c>
      <c r="U146" s="60">
        <f t="shared" si="180"/>
        <v>0</v>
      </c>
    </row>
    <row r="147" spans="2:21">
      <c r="B147" s="53" t="s">
        <v>90</v>
      </c>
      <c r="C147" s="54">
        <f t="shared" si="177"/>
        <v>4476.1500000000005</v>
      </c>
      <c r="D147" s="55">
        <v>359.90000000000015</v>
      </c>
      <c r="E147" s="42"/>
      <c r="F147" s="56">
        <v>2</v>
      </c>
      <c r="G147" s="57">
        <v>2</v>
      </c>
      <c r="H147" s="57">
        <v>2</v>
      </c>
      <c r="I147" s="57">
        <v>2</v>
      </c>
      <c r="J147" s="57">
        <v>2</v>
      </c>
      <c r="K147" s="57">
        <v>2</v>
      </c>
      <c r="L147" s="57">
        <v>2</v>
      </c>
      <c r="M147" s="57">
        <v>2</v>
      </c>
      <c r="N147" s="57">
        <v>2</v>
      </c>
      <c r="O147" s="57">
        <v>2</v>
      </c>
      <c r="P147" s="57">
        <v>1</v>
      </c>
      <c r="Q147" s="57">
        <v>1</v>
      </c>
      <c r="R147" s="58">
        <f t="shared" si="178"/>
        <v>29</v>
      </c>
      <c r="S147" s="42"/>
      <c r="T147" s="59">
        <f t="shared" si="179"/>
        <v>129808.35000000002</v>
      </c>
      <c r="U147" s="60">
        <f t="shared" si="180"/>
        <v>10437.100000000004</v>
      </c>
    </row>
    <row r="148" spans="2:21">
      <c r="B148" s="53" t="s">
        <v>91</v>
      </c>
      <c r="C148" s="54">
        <f t="shared" si="177"/>
        <v>0</v>
      </c>
      <c r="D148" s="55">
        <v>0</v>
      </c>
      <c r="E148" s="42"/>
      <c r="F148" s="56">
        <v>0</v>
      </c>
      <c r="G148" s="57">
        <v>0</v>
      </c>
      <c r="H148" s="57">
        <v>0</v>
      </c>
      <c r="I148" s="57">
        <v>0</v>
      </c>
      <c r="J148" s="57">
        <v>0</v>
      </c>
      <c r="K148" s="57">
        <v>0</v>
      </c>
      <c r="L148" s="57">
        <v>0</v>
      </c>
      <c r="M148" s="57">
        <v>0</v>
      </c>
      <c r="N148" s="57">
        <v>0</v>
      </c>
      <c r="O148" s="57">
        <v>0</v>
      </c>
      <c r="P148" s="57">
        <v>0</v>
      </c>
      <c r="Q148" s="57">
        <v>0</v>
      </c>
      <c r="R148" s="58">
        <f t="shared" si="178"/>
        <v>0</v>
      </c>
      <c r="S148" s="42"/>
      <c r="T148" s="59">
        <f t="shared" si="179"/>
        <v>0</v>
      </c>
      <c r="U148" s="60">
        <f t="shared" si="180"/>
        <v>0</v>
      </c>
    </row>
    <row r="149" spans="2:21">
      <c r="B149" s="53" t="s">
        <v>92</v>
      </c>
      <c r="C149" s="54">
        <f t="shared" si="177"/>
        <v>3781.5750000000003</v>
      </c>
      <c r="D149" s="55">
        <v>359.9</v>
      </c>
      <c r="E149" s="42"/>
      <c r="F149" s="56">
        <v>7</v>
      </c>
      <c r="G149" s="57">
        <v>8</v>
      </c>
      <c r="H149" s="57">
        <v>7</v>
      </c>
      <c r="I149" s="57">
        <v>7</v>
      </c>
      <c r="J149" s="57">
        <v>8</v>
      </c>
      <c r="K149" s="57">
        <v>8</v>
      </c>
      <c r="L149" s="57">
        <v>8</v>
      </c>
      <c r="M149" s="57">
        <v>8</v>
      </c>
      <c r="N149" s="57">
        <v>8</v>
      </c>
      <c r="O149" s="57">
        <v>8</v>
      </c>
      <c r="P149" s="57">
        <v>6</v>
      </c>
      <c r="Q149" s="57">
        <v>7</v>
      </c>
      <c r="R149" s="58">
        <f t="shared" si="178"/>
        <v>117</v>
      </c>
      <c r="S149" s="42"/>
      <c r="T149" s="59">
        <f t="shared" si="179"/>
        <v>442444.27500000002</v>
      </c>
      <c r="U149" s="60">
        <f t="shared" si="180"/>
        <v>42108.299999999996</v>
      </c>
    </row>
    <row r="150" spans="2:21">
      <c r="B150" s="53" t="s">
        <v>93</v>
      </c>
      <c r="C150" s="54">
        <f t="shared" si="177"/>
        <v>1746.6740780487808</v>
      </c>
      <c r="D150" s="55">
        <v>231.81073170731707</v>
      </c>
      <c r="E150" s="42"/>
      <c r="F150" s="56">
        <v>9</v>
      </c>
      <c r="G150" s="57">
        <v>10</v>
      </c>
      <c r="H150" s="57">
        <v>10</v>
      </c>
      <c r="I150" s="57">
        <v>9</v>
      </c>
      <c r="J150" s="57">
        <v>11</v>
      </c>
      <c r="K150" s="57">
        <v>10</v>
      </c>
      <c r="L150" s="57">
        <v>11</v>
      </c>
      <c r="M150" s="57">
        <v>11</v>
      </c>
      <c r="N150" s="57">
        <v>11</v>
      </c>
      <c r="O150" s="57">
        <v>11</v>
      </c>
      <c r="P150" s="57">
        <v>10</v>
      </c>
      <c r="Q150" s="57">
        <v>10</v>
      </c>
      <c r="R150" s="58">
        <f t="shared" si="178"/>
        <v>159</v>
      </c>
      <c r="S150" s="42"/>
      <c r="T150" s="59">
        <f t="shared" si="179"/>
        <v>277721.17840975616</v>
      </c>
      <c r="U150" s="60">
        <f t="shared" si="180"/>
        <v>36857.906341463415</v>
      </c>
    </row>
    <row r="151" spans="2:21" ht="12" thickBot="1">
      <c r="B151" s="53" t="s">
        <v>94</v>
      </c>
      <c r="C151" s="54">
        <f t="shared" si="177"/>
        <v>0</v>
      </c>
      <c r="D151" s="55">
        <v>0</v>
      </c>
      <c r="E151" s="42"/>
      <c r="F151" s="56">
        <v>0</v>
      </c>
      <c r="G151" s="57">
        <v>0</v>
      </c>
      <c r="H151" s="57">
        <v>0</v>
      </c>
      <c r="I151" s="57">
        <v>0</v>
      </c>
      <c r="J151" s="57">
        <v>0</v>
      </c>
      <c r="K151" s="57">
        <v>0</v>
      </c>
      <c r="L151" s="57">
        <v>0</v>
      </c>
      <c r="M151" s="57">
        <v>0</v>
      </c>
      <c r="N151" s="57">
        <v>0</v>
      </c>
      <c r="O151" s="57">
        <v>0</v>
      </c>
      <c r="P151" s="57">
        <v>0</v>
      </c>
      <c r="Q151" s="57">
        <v>0</v>
      </c>
      <c r="R151" s="58">
        <f t="shared" si="178"/>
        <v>0</v>
      </c>
      <c r="S151" s="42"/>
      <c r="T151" s="59">
        <f t="shared" si="179"/>
        <v>0</v>
      </c>
      <c r="U151" s="60">
        <f t="shared" si="180"/>
        <v>0</v>
      </c>
    </row>
    <row r="152" spans="2:21" ht="12" thickBot="1">
      <c r="B152" s="65" t="s">
        <v>97</v>
      </c>
      <c r="C152" s="66">
        <v>4686.7522259136213</v>
      </c>
      <c r="D152" s="67">
        <v>315.19225913621221</v>
      </c>
      <c r="E152" s="42"/>
      <c r="F152" s="68">
        <f>+F139+F126+F113</f>
        <v>110</v>
      </c>
      <c r="G152" s="69">
        <f t="shared" ref="G152:R152" si="181">+G139+G126+G113</f>
        <v>127</v>
      </c>
      <c r="H152" s="69">
        <f t="shared" si="181"/>
        <v>120</v>
      </c>
      <c r="I152" s="69">
        <f t="shared" si="181"/>
        <v>119</v>
      </c>
      <c r="J152" s="69">
        <f t="shared" si="181"/>
        <v>141</v>
      </c>
      <c r="K152" s="69">
        <f t="shared" si="181"/>
        <v>127</v>
      </c>
      <c r="L152" s="69">
        <f t="shared" si="181"/>
        <v>127</v>
      </c>
      <c r="M152" s="69">
        <f t="shared" si="181"/>
        <v>128</v>
      </c>
      <c r="N152" s="69">
        <f t="shared" si="181"/>
        <v>128</v>
      </c>
      <c r="O152" s="69">
        <f t="shared" si="181"/>
        <v>128</v>
      </c>
      <c r="P152" s="69">
        <f t="shared" si="181"/>
        <v>109</v>
      </c>
      <c r="Q152" s="69">
        <f t="shared" si="181"/>
        <v>115</v>
      </c>
      <c r="R152" s="70">
        <f t="shared" si="181"/>
        <v>1568</v>
      </c>
      <c r="S152" s="42"/>
      <c r="T152" s="51">
        <f>+T139+T126+T113</f>
        <v>8102219.8660638425</v>
      </c>
      <c r="U152" s="52">
        <f>+U139+U126+U113</f>
        <v>494125.93531218532</v>
      </c>
    </row>
    <row r="153" spans="2:21">
      <c r="B153" s="71" t="s">
        <v>98</v>
      </c>
      <c r="C153" s="72">
        <v>41.767239866643273</v>
      </c>
      <c r="D153" s="73">
        <v>11.467822424986839</v>
      </c>
      <c r="E153" s="42"/>
      <c r="F153" s="74">
        <f>+SUM(F154:F161)</f>
        <v>924</v>
      </c>
      <c r="G153" s="75">
        <f t="shared" ref="G153" si="182">+SUM(G154:G161)</f>
        <v>929</v>
      </c>
      <c r="H153" s="75">
        <f t="shared" ref="H153" si="183">+SUM(H154:H161)</f>
        <v>929</v>
      </c>
      <c r="I153" s="75">
        <f t="shared" ref="I153" si="184">+SUM(I154:I161)</f>
        <v>935</v>
      </c>
      <c r="J153" s="75">
        <f t="shared" ref="J153" si="185">+SUM(J154:J161)</f>
        <v>935</v>
      </c>
      <c r="K153" s="75">
        <f t="shared" ref="K153" si="186">+SUM(K154:K161)</f>
        <v>954</v>
      </c>
      <c r="L153" s="75">
        <f t="shared" ref="L153" si="187">+SUM(L154:L161)</f>
        <v>954</v>
      </c>
      <c r="M153" s="75">
        <f t="shared" ref="M153" si="188">+SUM(M154:M161)</f>
        <v>964</v>
      </c>
      <c r="N153" s="75">
        <f t="shared" ref="N153" si="189">+SUM(N154:N161)</f>
        <v>971</v>
      </c>
      <c r="O153" s="75">
        <f t="shared" ref="O153" si="190">+SUM(O154:O161)</f>
        <v>971</v>
      </c>
      <c r="P153" s="75">
        <f t="shared" ref="P153" si="191">+SUM(P154:P161)</f>
        <v>966</v>
      </c>
      <c r="Q153" s="75">
        <f t="shared" ref="Q153" si="192">+SUM(Q154:Q161)</f>
        <v>966</v>
      </c>
      <c r="R153" s="76">
        <f t="shared" ref="R153" si="193">+SUM(R154:R161)</f>
        <v>15078</v>
      </c>
      <c r="S153" s="42"/>
      <c r="T153" s="77">
        <f>+SUM(T154:T161)</f>
        <v>632300.32000000007</v>
      </c>
      <c r="U153" s="78">
        <f>+SUM(U154:U161)</f>
        <v>173559.70333333331</v>
      </c>
    </row>
    <row r="154" spans="2:21">
      <c r="B154" s="79" t="s">
        <v>99</v>
      </c>
      <c r="C154" s="54">
        <v>24</v>
      </c>
      <c r="D154" s="55">
        <v>7.4599999999999991</v>
      </c>
      <c r="E154" s="42"/>
      <c r="F154" s="56">
        <v>820</v>
      </c>
      <c r="G154" s="57">
        <v>820</v>
      </c>
      <c r="H154" s="57">
        <v>820</v>
      </c>
      <c r="I154" s="57">
        <v>820</v>
      </c>
      <c r="J154" s="57">
        <v>820</v>
      </c>
      <c r="K154" s="57">
        <v>820</v>
      </c>
      <c r="L154" s="57">
        <v>820</v>
      </c>
      <c r="M154" s="57">
        <v>820</v>
      </c>
      <c r="N154" s="57">
        <v>820</v>
      </c>
      <c r="O154" s="57">
        <v>820</v>
      </c>
      <c r="P154" s="57">
        <v>820</v>
      </c>
      <c r="Q154" s="57">
        <v>820</v>
      </c>
      <c r="R154" s="58">
        <f t="shared" ref="R154:R161" si="194">ROUNDUP(R100*1.15,0)</f>
        <v>13014</v>
      </c>
      <c r="S154" s="42"/>
      <c r="T154" s="59">
        <f t="shared" ref="T154:T161" si="195">+R154*C154</f>
        <v>312336</v>
      </c>
      <c r="U154" s="60">
        <f t="shared" ref="U154:U161" si="196">+R154*D154</f>
        <v>97084.439999999988</v>
      </c>
    </row>
    <row r="155" spans="2:21">
      <c r="B155" s="79" t="s">
        <v>100</v>
      </c>
      <c r="C155" s="54">
        <v>0</v>
      </c>
      <c r="D155" s="55">
        <v>0</v>
      </c>
      <c r="E155" s="42"/>
      <c r="F155" s="56">
        <v>0</v>
      </c>
      <c r="G155" s="57">
        <v>0</v>
      </c>
      <c r="H155" s="57">
        <v>0</v>
      </c>
      <c r="I155" s="57">
        <v>0</v>
      </c>
      <c r="J155" s="57">
        <v>0</v>
      </c>
      <c r="K155" s="57">
        <v>0</v>
      </c>
      <c r="L155" s="57">
        <v>0</v>
      </c>
      <c r="M155" s="57">
        <v>0</v>
      </c>
      <c r="N155" s="57">
        <v>0</v>
      </c>
      <c r="O155" s="57">
        <v>0</v>
      </c>
      <c r="P155" s="57">
        <v>0</v>
      </c>
      <c r="Q155" s="57">
        <v>0</v>
      </c>
      <c r="R155" s="58">
        <f t="shared" si="194"/>
        <v>0</v>
      </c>
      <c r="S155" s="42"/>
      <c r="T155" s="59">
        <f t="shared" si="195"/>
        <v>0</v>
      </c>
      <c r="U155" s="60">
        <f t="shared" si="196"/>
        <v>0</v>
      </c>
    </row>
    <row r="156" spans="2:21">
      <c r="B156" s="79" t="s">
        <v>101</v>
      </c>
      <c r="C156" s="54">
        <v>0</v>
      </c>
      <c r="D156" s="55">
        <v>0</v>
      </c>
      <c r="E156" s="42"/>
      <c r="F156" s="56">
        <v>0</v>
      </c>
      <c r="G156" s="57">
        <v>0</v>
      </c>
      <c r="H156" s="57">
        <v>0</v>
      </c>
      <c r="I156" s="57">
        <v>0</v>
      </c>
      <c r="J156" s="57">
        <v>0</v>
      </c>
      <c r="K156" s="57">
        <v>0</v>
      </c>
      <c r="L156" s="57">
        <v>0</v>
      </c>
      <c r="M156" s="57">
        <v>0</v>
      </c>
      <c r="N156" s="57">
        <v>0</v>
      </c>
      <c r="O156" s="57">
        <v>0</v>
      </c>
      <c r="P156" s="57">
        <v>0</v>
      </c>
      <c r="Q156" s="57">
        <v>0</v>
      </c>
      <c r="R156" s="58">
        <f t="shared" si="194"/>
        <v>0</v>
      </c>
      <c r="S156" s="42"/>
      <c r="T156" s="59">
        <f t="shared" si="195"/>
        <v>0</v>
      </c>
      <c r="U156" s="60">
        <f t="shared" si="196"/>
        <v>0</v>
      </c>
    </row>
    <row r="157" spans="2:21">
      <c r="B157" s="79" t="s">
        <v>102</v>
      </c>
      <c r="C157" s="54">
        <v>0</v>
      </c>
      <c r="D157" s="55">
        <v>0</v>
      </c>
      <c r="E157" s="42"/>
      <c r="F157" s="56">
        <v>0</v>
      </c>
      <c r="G157" s="57">
        <v>0</v>
      </c>
      <c r="H157" s="57">
        <v>0</v>
      </c>
      <c r="I157" s="57">
        <v>0</v>
      </c>
      <c r="J157" s="57">
        <v>0</v>
      </c>
      <c r="K157" s="57">
        <v>0</v>
      </c>
      <c r="L157" s="57">
        <v>0</v>
      </c>
      <c r="M157" s="57">
        <v>0</v>
      </c>
      <c r="N157" s="57">
        <v>0</v>
      </c>
      <c r="O157" s="57">
        <v>0</v>
      </c>
      <c r="P157" s="57">
        <v>0</v>
      </c>
      <c r="Q157" s="57">
        <v>0</v>
      </c>
      <c r="R157" s="58">
        <f t="shared" si="194"/>
        <v>0</v>
      </c>
      <c r="S157" s="42"/>
      <c r="T157" s="59">
        <f t="shared" si="195"/>
        <v>0</v>
      </c>
      <c r="U157" s="60">
        <f t="shared" si="196"/>
        <v>0</v>
      </c>
    </row>
    <row r="158" spans="2:21">
      <c r="B158" s="79" t="s">
        <v>103</v>
      </c>
      <c r="C158" s="54">
        <v>800</v>
      </c>
      <c r="D158" s="55">
        <v>119.87999999999995</v>
      </c>
      <c r="E158" s="42"/>
      <c r="F158" s="56">
        <v>4</v>
      </c>
      <c r="G158" s="57">
        <v>4</v>
      </c>
      <c r="H158" s="57">
        <v>4</v>
      </c>
      <c r="I158" s="57">
        <v>4</v>
      </c>
      <c r="J158" s="57">
        <v>4</v>
      </c>
      <c r="K158" s="57">
        <v>4</v>
      </c>
      <c r="L158" s="57">
        <v>4</v>
      </c>
      <c r="M158" s="57">
        <v>4</v>
      </c>
      <c r="N158" s="57">
        <v>4</v>
      </c>
      <c r="O158" s="57">
        <v>4</v>
      </c>
      <c r="P158" s="57">
        <v>4</v>
      </c>
      <c r="Q158" s="57">
        <v>4</v>
      </c>
      <c r="R158" s="58">
        <f t="shared" si="194"/>
        <v>65</v>
      </c>
      <c r="S158" s="42"/>
      <c r="T158" s="59">
        <f t="shared" si="195"/>
        <v>52000</v>
      </c>
      <c r="U158" s="60">
        <f t="shared" si="196"/>
        <v>7792.1999999999971</v>
      </c>
    </row>
    <row r="159" spans="2:21">
      <c r="B159" s="79" t="s">
        <v>104</v>
      </c>
      <c r="C159" s="54">
        <v>2167.4499999999998</v>
      </c>
      <c r="D159" s="55">
        <v>775.30166666666673</v>
      </c>
      <c r="E159" s="42"/>
      <c r="F159" s="56">
        <v>5</v>
      </c>
      <c r="G159" s="57">
        <v>5</v>
      </c>
      <c r="H159" s="57">
        <v>5</v>
      </c>
      <c r="I159" s="57">
        <v>5</v>
      </c>
      <c r="J159" s="57">
        <v>5</v>
      </c>
      <c r="K159" s="57">
        <v>5</v>
      </c>
      <c r="L159" s="57">
        <v>5</v>
      </c>
      <c r="M159" s="57">
        <v>5</v>
      </c>
      <c r="N159" s="57">
        <v>5</v>
      </c>
      <c r="O159" s="57">
        <v>5</v>
      </c>
      <c r="P159" s="57">
        <v>5</v>
      </c>
      <c r="Q159" s="57">
        <v>5</v>
      </c>
      <c r="R159" s="58">
        <f t="shared" si="194"/>
        <v>80</v>
      </c>
      <c r="S159" s="42"/>
      <c r="T159" s="59">
        <f t="shared" si="195"/>
        <v>173396</v>
      </c>
      <c r="U159" s="60">
        <f t="shared" si="196"/>
        <v>62024.133333333339</v>
      </c>
    </row>
    <row r="160" spans="2:21">
      <c r="B160" s="79" t="s">
        <v>105</v>
      </c>
      <c r="C160" s="54">
        <v>0</v>
      </c>
      <c r="D160" s="55">
        <v>0</v>
      </c>
      <c r="E160" s="42"/>
      <c r="F160" s="56">
        <v>0</v>
      </c>
      <c r="G160" s="57">
        <v>0</v>
      </c>
      <c r="H160" s="57">
        <v>0</v>
      </c>
      <c r="I160" s="57">
        <v>0</v>
      </c>
      <c r="J160" s="57">
        <v>0</v>
      </c>
      <c r="K160" s="57">
        <v>0</v>
      </c>
      <c r="L160" s="57">
        <v>0</v>
      </c>
      <c r="M160" s="57">
        <v>0</v>
      </c>
      <c r="N160" s="57">
        <v>0</v>
      </c>
      <c r="O160" s="57">
        <v>0</v>
      </c>
      <c r="P160" s="57">
        <v>0</v>
      </c>
      <c r="Q160" s="57">
        <v>0</v>
      </c>
      <c r="R160" s="58">
        <f t="shared" si="194"/>
        <v>0</v>
      </c>
      <c r="S160" s="42"/>
      <c r="T160" s="59">
        <f t="shared" si="195"/>
        <v>0</v>
      </c>
      <c r="U160" s="60">
        <f t="shared" si="196"/>
        <v>0</v>
      </c>
    </row>
    <row r="161" spans="2:21" ht="12" thickBot="1">
      <c r="B161" s="79" t="s">
        <v>106</v>
      </c>
      <c r="C161" s="54">
        <v>49.28</v>
      </c>
      <c r="D161" s="55">
        <v>3.47</v>
      </c>
      <c r="E161" s="42"/>
      <c r="F161" s="56">
        <v>95</v>
      </c>
      <c r="G161" s="57">
        <v>100</v>
      </c>
      <c r="H161" s="57">
        <v>100</v>
      </c>
      <c r="I161" s="57">
        <v>106</v>
      </c>
      <c r="J161" s="57">
        <v>106</v>
      </c>
      <c r="K161" s="57">
        <v>125</v>
      </c>
      <c r="L161" s="57">
        <v>125</v>
      </c>
      <c r="M161" s="57">
        <v>135</v>
      </c>
      <c r="N161" s="57">
        <v>142</v>
      </c>
      <c r="O161" s="57">
        <v>142</v>
      </c>
      <c r="P161" s="57">
        <v>137</v>
      </c>
      <c r="Q161" s="57">
        <v>137</v>
      </c>
      <c r="R161" s="58">
        <f t="shared" si="194"/>
        <v>1919</v>
      </c>
      <c r="S161" s="42"/>
      <c r="T161" s="59">
        <f t="shared" si="195"/>
        <v>94568.320000000007</v>
      </c>
      <c r="U161" s="60">
        <f t="shared" si="196"/>
        <v>6658.93</v>
      </c>
    </row>
    <row r="162" spans="2:21" ht="12" thickBot="1">
      <c r="B162" s="80" t="s">
        <v>107</v>
      </c>
      <c r="C162" s="81"/>
      <c r="D162" s="82"/>
      <c r="E162" s="42"/>
      <c r="F162" s="83">
        <f>+F153+F152</f>
        <v>1034</v>
      </c>
      <c r="G162" s="84">
        <f t="shared" ref="G162:R162" si="197">+G153+G152</f>
        <v>1056</v>
      </c>
      <c r="H162" s="84">
        <f t="shared" si="197"/>
        <v>1049</v>
      </c>
      <c r="I162" s="84">
        <f t="shared" si="197"/>
        <v>1054</v>
      </c>
      <c r="J162" s="84">
        <f t="shared" si="197"/>
        <v>1076</v>
      </c>
      <c r="K162" s="84">
        <f t="shared" si="197"/>
        <v>1081</v>
      </c>
      <c r="L162" s="84">
        <f t="shared" si="197"/>
        <v>1081</v>
      </c>
      <c r="M162" s="84">
        <f t="shared" si="197"/>
        <v>1092</v>
      </c>
      <c r="N162" s="84">
        <f t="shared" si="197"/>
        <v>1099</v>
      </c>
      <c r="O162" s="84">
        <f t="shared" si="197"/>
        <v>1099</v>
      </c>
      <c r="P162" s="84">
        <f t="shared" si="197"/>
        <v>1075</v>
      </c>
      <c r="Q162" s="84">
        <f t="shared" si="197"/>
        <v>1081</v>
      </c>
      <c r="R162" s="85">
        <f t="shared" si="197"/>
        <v>16646</v>
      </c>
      <c r="S162" s="42"/>
      <c r="T162" s="86">
        <f>+T153+T152</f>
        <v>8734520.1860638428</v>
      </c>
      <c r="U162" s="87">
        <f>+U153+U152</f>
        <v>667685.63864551857</v>
      </c>
    </row>
  </sheetData>
  <mergeCells count="22">
    <mergeCell ref="T57:T58"/>
    <mergeCell ref="U57:U58"/>
    <mergeCell ref="U111:U112"/>
    <mergeCell ref="B111:B112"/>
    <mergeCell ref="C111:C112"/>
    <mergeCell ref="D111:D112"/>
    <mergeCell ref="F111:Q111"/>
    <mergeCell ref="R111:R112"/>
    <mergeCell ref="T111:T112"/>
    <mergeCell ref="B57:B58"/>
    <mergeCell ref="C57:C58"/>
    <mergeCell ref="D57:D58"/>
    <mergeCell ref="F57:Q57"/>
    <mergeCell ref="R57:R58"/>
    <mergeCell ref="B1:U1"/>
    <mergeCell ref="B3:B4"/>
    <mergeCell ref="C3:C4"/>
    <mergeCell ref="D3:D4"/>
    <mergeCell ref="F3:Q3"/>
    <mergeCell ref="R3:R4"/>
    <mergeCell ref="T3:T4"/>
    <mergeCell ref="U3:U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22"/>
  <sheetViews>
    <sheetView topLeftCell="A72" zoomScale="132" zoomScaleNormal="160" zoomScalePageLayoutView="160" workbookViewId="0">
      <selection activeCell="I82" activeCellId="2" sqref="E82 G82 I82"/>
    </sheetView>
  </sheetViews>
  <sheetFormatPr baseColWidth="10" defaultColWidth="10.875" defaultRowHeight="12"/>
  <cols>
    <col min="1" max="1" width="3" style="165" customWidth="1"/>
    <col min="2" max="2" width="66.375" style="165" customWidth="1"/>
    <col min="3" max="10" width="8" style="165" customWidth="1"/>
    <col min="11" max="16384" width="10.875" style="165"/>
  </cols>
  <sheetData>
    <row r="1" spans="2:10" ht="17.100000000000001" customHeight="1">
      <c r="B1" s="443" t="s">
        <v>147</v>
      </c>
      <c r="C1" s="444">
        <v>2016</v>
      </c>
      <c r="D1" s="444"/>
      <c r="E1" s="444">
        <v>2017</v>
      </c>
      <c r="F1" s="444"/>
      <c r="G1" s="444">
        <v>2018</v>
      </c>
      <c r="H1" s="444"/>
      <c r="I1" s="444">
        <v>2019</v>
      </c>
      <c r="J1" s="444"/>
    </row>
    <row r="2" spans="2:10" ht="15.95" customHeight="1">
      <c r="B2" s="445" t="s">
        <v>67</v>
      </c>
      <c r="C2" s="446" t="s">
        <v>50</v>
      </c>
      <c r="D2" s="446" t="s">
        <v>240</v>
      </c>
      <c r="E2" s="446" t="s">
        <v>50</v>
      </c>
      <c r="F2" s="446" t="s">
        <v>240</v>
      </c>
      <c r="G2" s="446" t="s">
        <v>50</v>
      </c>
      <c r="H2" s="446" t="s">
        <v>240</v>
      </c>
      <c r="I2" s="446" t="s">
        <v>50</v>
      </c>
      <c r="J2" s="446" t="s">
        <v>240</v>
      </c>
    </row>
    <row r="3" spans="2:10" ht="18.95" customHeight="1">
      <c r="B3" s="445"/>
      <c r="C3" s="446"/>
      <c r="D3" s="446"/>
      <c r="E3" s="446"/>
      <c r="F3" s="446"/>
      <c r="G3" s="446"/>
      <c r="H3" s="446"/>
      <c r="I3" s="446"/>
      <c r="J3" s="446"/>
    </row>
    <row r="4" spans="2:10" ht="18.95" customHeight="1">
      <c r="B4" s="482" t="s">
        <v>269</v>
      </c>
      <c r="C4" s="483">
        <v>891</v>
      </c>
      <c r="D4" s="483"/>
      <c r="E4" s="483">
        <v>1204</v>
      </c>
      <c r="F4" s="484">
        <f>+E4/C4</f>
        <v>1.351290684624018</v>
      </c>
      <c r="G4" s="483">
        <v>1384</v>
      </c>
      <c r="H4" s="484">
        <f>+G4/E4</f>
        <v>1.1495016611295681</v>
      </c>
      <c r="I4" s="483">
        <v>1592</v>
      </c>
      <c r="J4" s="485">
        <f>+I4/G4</f>
        <v>1.1502890173410405</v>
      </c>
    </row>
    <row r="5" spans="2:10">
      <c r="B5" s="486" t="s">
        <v>369</v>
      </c>
      <c r="C5" s="448">
        <f>-C10/C4</f>
        <v>1024.8856053872055</v>
      </c>
      <c r="D5" s="447"/>
      <c r="E5" s="448">
        <f>-E10/E4</f>
        <v>423.75558139534888</v>
      </c>
      <c r="F5" s="447"/>
      <c r="G5" s="448">
        <f>-G10/G4</f>
        <v>417.44257004765041</v>
      </c>
      <c r="H5" s="447"/>
      <c r="I5" s="448">
        <f>-I10/I4</f>
        <v>419.40052678738601</v>
      </c>
      <c r="J5" s="487"/>
    </row>
    <row r="6" spans="2:10">
      <c r="B6" s="488" t="s">
        <v>370</v>
      </c>
      <c r="C6" s="489">
        <f>-C11/C4</f>
        <v>366.90081196969697</v>
      </c>
      <c r="D6" s="490"/>
      <c r="E6" s="489">
        <f>-E11/E4</f>
        <v>241.99063122923585</v>
      </c>
      <c r="F6" s="490"/>
      <c r="G6" s="489">
        <f>-G11/G4</f>
        <v>222.78339559248556</v>
      </c>
      <c r="H6" s="490"/>
      <c r="I6" s="489">
        <f>-I11/I4</f>
        <v>229.37822864321609</v>
      </c>
      <c r="J6" s="491"/>
    </row>
    <row r="7" spans="2:10" ht="18.95" customHeight="1">
      <c r="B7" s="449"/>
      <c r="C7" s="447"/>
      <c r="D7" s="447"/>
      <c r="E7" s="447"/>
      <c r="F7" s="447"/>
      <c r="G7" s="447"/>
      <c r="H7" s="447"/>
      <c r="I7" s="447"/>
      <c r="J7" s="447"/>
    </row>
    <row r="8" spans="2:10">
      <c r="B8" s="441" t="s">
        <v>139</v>
      </c>
      <c r="C8" s="492">
        <f>+'TAA S.A. 2015-2016'!N24</f>
        <v>5151217.2849816252</v>
      </c>
      <c r="D8" s="493">
        <v>1</v>
      </c>
      <c r="E8" s="492">
        <f>+'PROYECCION DE VENTAS'!T54</f>
        <v>6118912.6799999997</v>
      </c>
      <c r="F8" s="467">
        <v>1</v>
      </c>
      <c r="G8" s="466">
        <f>+'PROYECCION DE VENTAS'!T108</f>
        <v>7221237.1447769459</v>
      </c>
      <c r="H8" s="493">
        <v>1</v>
      </c>
      <c r="I8" s="466">
        <f>+'PROYECCION DE VENTAS'!T162</f>
        <v>8734520.1860638428</v>
      </c>
      <c r="J8" s="494">
        <v>1</v>
      </c>
    </row>
    <row r="9" spans="2:10">
      <c r="B9" s="442"/>
      <c r="C9" s="439"/>
      <c r="D9" s="450"/>
      <c r="E9" s="439"/>
      <c r="F9" s="440"/>
      <c r="G9" s="451"/>
      <c r="H9" s="450"/>
      <c r="I9" s="451"/>
      <c r="J9" s="450"/>
    </row>
    <row r="10" spans="2:10">
      <c r="B10" s="477" t="s">
        <v>467</v>
      </c>
      <c r="C10" s="471">
        <f>'TAA S.A. 2015-2016'!N27+'TAA S.A. 2015-2016'!N26</f>
        <v>-913173.07440000004</v>
      </c>
      <c r="D10" s="472">
        <f>+C10/C$8</f>
        <v>-0.17727325870379343</v>
      </c>
      <c r="E10" s="471">
        <f>-'PROYECCION DE VENTAS'!U54</f>
        <v>-510201.72000000003</v>
      </c>
      <c r="F10" s="458">
        <f>+E10/E$8</f>
        <v>-8.3381108161197037E-2</v>
      </c>
      <c r="G10" s="471">
        <f>-'PROYECCION DE VENTAS'!U108</f>
        <v>-577740.51694594813</v>
      </c>
      <c r="H10" s="472">
        <f>+G10/G$8</f>
        <v>-8.0005753219698994E-2</v>
      </c>
      <c r="I10" s="471">
        <f>-'PROYECCION DE VENTAS'!U162</f>
        <v>-667685.63864551857</v>
      </c>
      <c r="J10" s="473">
        <f>+I10/I$8</f>
        <v>-7.6442165616701946E-2</v>
      </c>
    </row>
    <row r="11" spans="2:10">
      <c r="B11" s="460" t="s">
        <v>468</v>
      </c>
      <c r="C11" s="439">
        <f>+'TAA S.A. 2015-2016'!N27*0.45</f>
        <v>-326908.62346500001</v>
      </c>
      <c r="D11" s="450">
        <f>+C11/C$8</f>
        <v>-6.346240225938482E-2</v>
      </c>
      <c r="E11" s="439">
        <v>-291356.71999999997</v>
      </c>
      <c r="F11" s="440">
        <f>+E11/E$8</f>
        <v>-4.761576692413267E-2</v>
      </c>
      <c r="G11" s="439">
        <v>-308332.21950000001</v>
      </c>
      <c r="H11" s="450">
        <f>+G11/G$8</f>
        <v>-4.2697977274297638E-2</v>
      </c>
      <c r="I11" s="439">
        <v>-365170.14</v>
      </c>
      <c r="J11" s="478">
        <f>+I11/I$8</f>
        <v>-4.1807693178457429E-2</v>
      </c>
    </row>
    <row r="12" spans="2:10">
      <c r="B12" s="462" t="s">
        <v>448</v>
      </c>
      <c r="C12" s="479">
        <f>SUM(C10:C11)</f>
        <v>-1240081.697865</v>
      </c>
      <c r="D12" s="480">
        <f>+C12/C$8</f>
        <v>-0.24073566096317822</v>
      </c>
      <c r="E12" s="479">
        <f t="shared" ref="E12:I12" si="0">SUM(E10:E11)</f>
        <v>-801558.44</v>
      </c>
      <c r="F12" s="464">
        <f>+E12/E$8</f>
        <v>-0.1309968750853297</v>
      </c>
      <c r="G12" s="479">
        <f t="shared" si="0"/>
        <v>-886072.73644594813</v>
      </c>
      <c r="H12" s="480">
        <f>+G12/G$8</f>
        <v>-0.12270373049399663</v>
      </c>
      <c r="I12" s="479">
        <f t="shared" si="0"/>
        <v>-1032855.7786455186</v>
      </c>
      <c r="J12" s="481">
        <f>+I12/I$8</f>
        <v>-0.11824985879515937</v>
      </c>
    </row>
    <row r="13" spans="2:10">
      <c r="B13" s="442"/>
      <c r="C13" s="439"/>
      <c r="D13" s="450"/>
      <c r="E13" s="439"/>
      <c r="F13" s="440"/>
      <c r="G13" s="439"/>
      <c r="H13" s="450"/>
      <c r="I13" s="439"/>
      <c r="J13" s="450"/>
    </row>
    <row r="14" spans="2:10">
      <c r="B14" s="441" t="s">
        <v>20</v>
      </c>
      <c r="C14" s="492">
        <f>+SUM(C8:C11)</f>
        <v>3911135.5871166247</v>
      </c>
      <c r="D14" s="493">
        <f>+C14/C$8</f>
        <v>0.75926433903682167</v>
      </c>
      <c r="E14" s="492">
        <f>+SUM(E8:E11)</f>
        <v>5317354.24</v>
      </c>
      <c r="F14" s="467">
        <f>+E14/E$8</f>
        <v>0.86900312491467036</v>
      </c>
      <c r="G14" s="492">
        <f>+SUM(G8:G11)</f>
        <v>6335164.4083309984</v>
      </c>
      <c r="H14" s="493">
        <f>+G14/G$8</f>
        <v>0.87729626950600348</v>
      </c>
      <c r="I14" s="492">
        <f>+SUM(I8:I11)</f>
        <v>7701664.4074183246</v>
      </c>
      <c r="J14" s="494">
        <f>+I14/I$8</f>
        <v>0.88175014120484063</v>
      </c>
    </row>
    <row r="15" spans="2:10">
      <c r="C15" s="439"/>
      <c r="D15" s="450"/>
      <c r="E15" s="439"/>
      <c r="F15" s="440"/>
      <c r="G15" s="439"/>
      <c r="H15" s="450"/>
      <c r="I15" s="439"/>
      <c r="J15" s="450"/>
    </row>
    <row r="16" spans="2:10">
      <c r="B16" s="456" t="s">
        <v>457</v>
      </c>
      <c r="C16" s="471"/>
      <c r="D16" s="472"/>
      <c r="E16" s="457"/>
      <c r="F16" s="458"/>
      <c r="G16" s="471"/>
      <c r="H16" s="472"/>
      <c r="I16" s="471"/>
      <c r="J16" s="473"/>
    </row>
    <row r="17" spans="2:10">
      <c r="B17" s="460" t="s">
        <v>375</v>
      </c>
      <c r="C17" s="439">
        <f>-'Ppto MKT'!C2</f>
        <v>0</v>
      </c>
      <c r="D17" s="440">
        <f t="shared" ref="D17:J79" si="1">+C17/C$8</f>
        <v>0</v>
      </c>
      <c r="E17" s="451">
        <f>-'Ppto MKT'!D2</f>
        <v>-39900</v>
      </c>
      <c r="F17" s="440">
        <f t="shared" si="1"/>
        <v>-6.5207663659616081E-3</v>
      </c>
      <c r="G17" s="451">
        <f>-'Ppto MKT'!E2</f>
        <v>-11117.97</v>
      </c>
      <c r="H17" s="440">
        <f t="shared" si="1"/>
        <v>-1.5396212279278937E-3</v>
      </c>
      <c r="I17" s="451">
        <f>-'Ppto MKT'!F2</f>
        <v>-8935.94</v>
      </c>
      <c r="J17" s="461">
        <f t="shared" si="1"/>
        <v>-1.02306020361113E-3</v>
      </c>
    </row>
    <row r="18" spans="2:10">
      <c r="B18" s="460" t="s">
        <v>228</v>
      </c>
      <c r="C18" s="439">
        <f>-'Ppto MKT'!C3</f>
        <v>0</v>
      </c>
      <c r="D18" s="440">
        <f t="shared" si="1"/>
        <v>0</v>
      </c>
      <c r="E18" s="451">
        <f>-'Ppto MKT'!D3</f>
        <v>-8015.5844000000006</v>
      </c>
      <c r="F18" s="440">
        <f t="shared" si="1"/>
        <v>-1.3099687508532972E-3</v>
      </c>
      <c r="G18" s="451">
        <f>-'Ppto MKT'!E3</f>
        <v>-8860.7273644594825</v>
      </c>
      <c r="H18" s="440">
        <f t="shared" si="1"/>
        <v>-1.2270373049399666E-3</v>
      </c>
      <c r="I18" s="451">
        <f>-'Ppto MKT'!F3</f>
        <v>-10328.557786455185</v>
      </c>
      <c r="J18" s="461">
        <f t="shared" si="1"/>
        <v>-1.1824985879515936E-3</v>
      </c>
    </row>
    <row r="19" spans="2:10" ht="12" hidden="1" customHeight="1">
      <c r="B19" s="474" t="s">
        <v>230</v>
      </c>
      <c r="C19" s="439">
        <f>-'Ppto MKT'!C4</f>
        <v>0</v>
      </c>
      <c r="D19" s="440">
        <f t="shared" si="1"/>
        <v>0</v>
      </c>
      <c r="E19" s="451">
        <v>0</v>
      </c>
      <c r="F19" s="440">
        <f t="shared" si="1"/>
        <v>0</v>
      </c>
      <c r="G19" s="451">
        <v>0</v>
      </c>
      <c r="H19" s="440">
        <f t="shared" si="1"/>
        <v>0</v>
      </c>
      <c r="I19" s="451">
        <v>0</v>
      </c>
      <c r="J19" s="461">
        <f t="shared" si="1"/>
        <v>0</v>
      </c>
    </row>
    <row r="20" spans="2:10" ht="12" hidden="1" customHeight="1">
      <c r="B20" s="474" t="s">
        <v>59</v>
      </c>
      <c r="C20" s="439">
        <f>-'Ppto MKT'!C5</f>
        <v>0</v>
      </c>
      <c r="D20" s="440">
        <f t="shared" si="1"/>
        <v>0</v>
      </c>
      <c r="E20" s="451">
        <v>0</v>
      </c>
      <c r="F20" s="440">
        <f t="shared" si="1"/>
        <v>0</v>
      </c>
      <c r="G20" s="451">
        <v>0</v>
      </c>
      <c r="H20" s="440">
        <f t="shared" si="1"/>
        <v>0</v>
      </c>
      <c r="I20" s="451">
        <f>-'Ppto MKT'!F5</f>
        <v>0</v>
      </c>
      <c r="J20" s="461">
        <f t="shared" si="1"/>
        <v>0</v>
      </c>
    </row>
    <row r="21" spans="2:10" ht="12" hidden="1" customHeight="1">
      <c r="B21" s="474" t="s">
        <v>62</v>
      </c>
      <c r="C21" s="439">
        <f>-'Ppto MKT'!C6</f>
        <v>0</v>
      </c>
      <c r="D21" s="440">
        <f t="shared" si="1"/>
        <v>0</v>
      </c>
      <c r="E21" s="451">
        <v>0</v>
      </c>
      <c r="F21" s="440">
        <f t="shared" si="1"/>
        <v>0</v>
      </c>
      <c r="G21" s="451">
        <v>0</v>
      </c>
      <c r="H21" s="440">
        <f t="shared" si="1"/>
        <v>0</v>
      </c>
      <c r="I21" s="451">
        <v>0</v>
      </c>
      <c r="J21" s="461">
        <f t="shared" si="1"/>
        <v>0</v>
      </c>
    </row>
    <row r="22" spans="2:10">
      <c r="B22" s="460" t="s">
        <v>60</v>
      </c>
      <c r="C22" s="451">
        <f>-'Ppto MKT'!C7-130000</f>
        <v>-236364.15</v>
      </c>
      <c r="D22" s="440">
        <f t="shared" si="1"/>
        <v>-4.588510577667141E-2</v>
      </c>
      <c r="E22" s="451">
        <f>-'Ppto MKT'!D7</f>
        <v>-511432.65</v>
      </c>
      <c r="F22" s="440">
        <f t="shared" si="1"/>
        <v>-8.3582276255002877E-2</v>
      </c>
      <c r="G22" s="451">
        <f>-'Ppto MKT'!E7</f>
        <v>-586826.44999999995</v>
      </c>
      <c r="H22" s="440">
        <f t="shared" si="1"/>
        <v>-8.1263977104594348E-2</v>
      </c>
      <c r="I22" s="451">
        <f>-'Ppto MKT'!F7</f>
        <v>-695991.15</v>
      </c>
      <c r="J22" s="461">
        <f t="shared" si="1"/>
        <v>-7.9682814301634139E-2</v>
      </c>
    </row>
    <row r="23" spans="2:10">
      <c r="B23" s="460" t="s">
        <v>61</v>
      </c>
      <c r="C23" s="451">
        <f>-'Ppto MKT'!C8</f>
        <v>-38634.089999999997</v>
      </c>
      <c r="D23" s="440">
        <f t="shared" si="1"/>
        <v>-7.4999923052435956E-3</v>
      </c>
      <c r="E23" s="451">
        <f>-'Ppto MKT'!D8</f>
        <v>-64320</v>
      </c>
      <c r="F23" s="440">
        <f t="shared" si="1"/>
        <v>-1.0511671495204275E-2</v>
      </c>
      <c r="G23" s="451">
        <f>-'Ppto MKT'!E8</f>
        <v>-73968</v>
      </c>
      <c r="H23" s="440">
        <f t="shared" si="1"/>
        <v>-1.0243120190769579E-2</v>
      </c>
      <c r="I23" s="451">
        <f>-'Ppto MKT'!F8</f>
        <v>-81364.800000000003</v>
      </c>
      <c r="J23" s="461">
        <f t="shared" si="1"/>
        <v>-9.3153142092246444E-3</v>
      </c>
    </row>
    <row r="24" spans="2:10">
      <c r="B24" s="460" t="s">
        <v>234</v>
      </c>
      <c r="C24" s="451">
        <f>-'Ppto MKT'!C9</f>
        <v>-57951.194456043282</v>
      </c>
      <c r="D24" s="440">
        <f t="shared" si="1"/>
        <v>-1.125E-2</v>
      </c>
      <c r="E24" s="451">
        <f>-'Ppto MKT'!D9</f>
        <v>-76486.408500000005</v>
      </c>
      <c r="F24" s="440">
        <f t="shared" si="1"/>
        <v>-1.2500000000000001E-2</v>
      </c>
      <c r="G24" s="451">
        <f>-'Ppto MKT'!E9</f>
        <v>-90265.464309711824</v>
      </c>
      <c r="H24" s="440">
        <f t="shared" si="1"/>
        <v>-1.2500000000000001E-2</v>
      </c>
      <c r="I24" s="451">
        <f>-'Ppto MKT'!F9</f>
        <v>-109181.50232579804</v>
      </c>
      <c r="J24" s="461">
        <f t="shared" si="1"/>
        <v>-1.2500000000000001E-2</v>
      </c>
    </row>
    <row r="25" spans="2:10">
      <c r="B25" s="460" t="s">
        <v>63</v>
      </c>
      <c r="C25" s="451">
        <f>-'Ppto MKT'!C10</f>
        <v>0</v>
      </c>
      <c r="D25" s="440">
        <f t="shared" si="1"/>
        <v>0</v>
      </c>
      <c r="E25" s="451">
        <f>-'Ppto MKT'!D10</f>
        <v>-26600</v>
      </c>
      <c r="F25" s="440">
        <f t="shared" si="1"/>
        <v>-4.3471775773077388E-3</v>
      </c>
      <c r="G25" s="451">
        <f>-'Ppto MKT'!E10</f>
        <v>-29925</v>
      </c>
      <c r="H25" s="440">
        <f t="shared" si="1"/>
        <v>-4.1440267643951395E-3</v>
      </c>
      <c r="I25" s="451">
        <f>-'Ppto MKT'!F10</f>
        <v>-34915</v>
      </c>
      <c r="J25" s="461">
        <f t="shared" si="1"/>
        <v>-3.9973575257983606E-3</v>
      </c>
    </row>
    <row r="26" spans="2:10">
      <c r="B26" s="460" t="s">
        <v>410</v>
      </c>
      <c r="C26" s="451">
        <f>-'Ppto MKT'!C11</f>
        <v>-199609.4055439567</v>
      </c>
      <c r="D26" s="440">
        <f t="shared" si="1"/>
        <v>-3.8749948701623974E-2</v>
      </c>
      <c r="E26" s="451">
        <f>-'Ppto MKT'!D11</f>
        <v>-165283.09149999998</v>
      </c>
      <c r="F26" s="440">
        <f t="shared" si="1"/>
        <v>-2.7011840198379818E-2</v>
      </c>
      <c r="G26" s="451">
        <f>-'Ppto MKT'!E11</f>
        <v>-284197.53569028818</v>
      </c>
      <c r="H26" s="440">
        <f t="shared" si="1"/>
        <v>-3.9355795965770997E-2</v>
      </c>
      <c r="I26" s="451">
        <f>-'Ppto MKT'!F11</f>
        <v>-330544.5</v>
      </c>
      <c r="J26" s="461">
        <f t="shared" si="1"/>
        <v>-3.7843463974975115E-2</v>
      </c>
    </row>
    <row r="27" spans="2:10">
      <c r="B27" s="462" t="s">
        <v>459</v>
      </c>
      <c r="C27" s="463">
        <f>+SUM(C17:C26)</f>
        <v>-532558.84</v>
      </c>
      <c r="D27" s="475">
        <f t="shared" si="1"/>
        <v>-0.10338504678353898</v>
      </c>
      <c r="E27" s="463">
        <f>+SUM(E17:E26)</f>
        <v>-892037.73440000007</v>
      </c>
      <c r="F27" s="475">
        <f t="shared" si="1"/>
        <v>-0.14578370064270962</v>
      </c>
      <c r="G27" s="463">
        <f>+SUM(G17:G26)</f>
        <v>-1085161.1473644595</v>
      </c>
      <c r="H27" s="475">
        <f t="shared" si="1"/>
        <v>-0.15027357855839793</v>
      </c>
      <c r="I27" s="463">
        <f>+SUM(I17:I26)</f>
        <v>-1271261.4501122534</v>
      </c>
      <c r="J27" s="476">
        <f t="shared" si="1"/>
        <v>-0.145544508803195</v>
      </c>
    </row>
    <row r="28" spans="2:10">
      <c r="B28" s="442"/>
      <c r="C28" s="451"/>
      <c r="D28" s="440"/>
      <c r="E28" s="451"/>
      <c r="F28" s="440"/>
      <c r="G28" s="451"/>
      <c r="H28" s="440"/>
      <c r="I28" s="451"/>
      <c r="J28" s="440"/>
    </row>
    <row r="29" spans="2:10">
      <c r="B29" s="456" t="s">
        <v>460</v>
      </c>
      <c r="C29" s="457"/>
      <c r="D29" s="458"/>
      <c r="E29" s="457"/>
      <c r="F29" s="458"/>
      <c r="G29" s="457"/>
      <c r="H29" s="458"/>
      <c r="I29" s="457"/>
      <c r="J29" s="459"/>
    </row>
    <row r="30" spans="2:10" ht="24" hidden="1" customHeight="1">
      <c r="B30" s="470" t="s">
        <v>40</v>
      </c>
      <c r="C30" s="451">
        <v>0</v>
      </c>
      <c r="D30" s="440">
        <f t="shared" si="1"/>
        <v>0</v>
      </c>
      <c r="E30" s="451">
        <v>0</v>
      </c>
      <c r="F30" s="440">
        <f t="shared" si="1"/>
        <v>0</v>
      </c>
      <c r="G30" s="451">
        <v>0</v>
      </c>
      <c r="H30" s="440">
        <f t="shared" si="1"/>
        <v>0</v>
      </c>
      <c r="I30" s="451">
        <v>0</v>
      </c>
      <c r="J30" s="461">
        <f t="shared" si="1"/>
        <v>0</v>
      </c>
    </row>
    <row r="31" spans="2:10" ht="24" hidden="1" customHeight="1">
      <c r="B31" s="470" t="s">
        <v>41</v>
      </c>
      <c r="C31" s="451">
        <v>0</v>
      </c>
      <c r="D31" s="440">
        <f t="shared" si="1"/>
        <v>0</v>
      </c>
      <c r="E31" s="451">
        <v>0</v>
      </c>
      <c r="F31" s="440">
        <f t="shared" si="1"/>
        <v>0</v>
      </c>
      <c r="G31" s="451">
        <v>0</v>
      </c>
      <c r="H31" s="440">
        <f t="shared" si="1"/>
        <v>0</v>
      </c>
      <c r="I31" s="451">
        <v>0</v>
      </c>
      <c r="J31" s="461">
        <f t="shared" si="1"/>
        <v>0</v>
      </c>
    </row>
    <row r="32" spans="2:10" ht="12" hidden="1" customHeight="1">
      <c r="B32" s="470" t="s">
        <v>42</v>
      </c>
      <c r="C32" s="451">
        <f>-'Ppto Operaciones'!C4</f>
        <v>0</v>
      </c>
      <c r="D32" s="440">
        <f t="shared" si="1"/>
        <v>0</v>
      </c>
      <c r="E32" s="451">
        <v>0</v>
      </c>
      <c r="F32" s="440">
        <f t="shared" si="1"/>
        <v>0</v>
      </c>
      <c r="G32" s="451">
        <v>0</v>
      </c>
      <c r="H32" s="440">
        <f t="shared" si="1"/>
        <v>0</v>
      </c>
      <c r="I32" s="451">
        <v>0</v>
      </c>
      <c r="J32" s="461">
        <f t="shared" si="1"/>
        <v>0</v>
      </c>
    </row>
    <row r="33" spans="2:10" ht="24" hidden="1" customHeight="1">
      <c r="B33" s="470" t="s">
        <v>49</v>
      </c>
      <c r="C33" s="451">
        <f>-'Ppto Operaciones'!C5</f>
        <v>0</v>
      </c>
      <c r="D33" s="440">
        <f t="shared" si="1"/>
        <v>0</v>
      </c>
      <c r="E33" s="451">
        <v>0</v>
      </c>
      <c r="F33" s="440">
        <f t="shared" si="1"/>
        <v>0</v>
      </c>
      <c r="G33" s="451">
        <v>0</v>
      </c>
      <c r="H33" s="440">
        <f t="shared" si="1"/>
        <v>0</v>
      </c>
      <c r="I33" s="451">
        <v>0</v>
      </c>
      <c r="J33" s="461">
        <f t="shared" si="1"/>
        <v>0</v>
      </c>
    </row>
    <row r="34" spans="2:10" ht="24" hidden="1" customHeight="1">
      <c r="B34" s="470" t="s">
        <v>43</v>
      </c>
      <c r="C34" s="451">
        <f>-'Ppto Operaciones'!C6</f>
        <v>0</v>
      </c>
      <c r="D34" s="440">
        <f t="shared" si="1"/>
        <v>0</v>
      </c>
      <c r="E34" s="451">
        <v>0</v>
      </c>
      <c r="F34" s="440">
        <f t="shared" si="1"/>
        <v>0</v>
      </c>
      <c r="G34" s="451">
        <v>0</v>
      </c>
      <c r="H34" s="440">
        <f t="shared" si="1"/>
        <v>0</v>
      </c>
      <c r="I34" s="451">
        <v>0</v>
      </c>
      <c r="J34" s="461">
        <f t="shared" si="1"/>
        <v>0</v>
      </c>
    </row>
    <row r="35" spans="2:10" ht="12" hidden="1" customHeight="1">
      <c r="B35" s="470" t="s">
        <v>44</v>
      </c>
      <c r="C35" s="451">
        <f>-'Ppto Operaciones'!C7</f>
        <v>0</v>
      </c>
      <c r="D35" s="440">
        <f t="shared" si="1"/>
        <v>0</v>
      </c>
      <c r="E35" s="451">
        <v>0</v>
      </c>
      <c r="F35" s="440">
        <f t="shared" si="1"/>
        <v>0</v>
      </c>
      <c r="G35" s="451">
        <v>0</v>
      </c>
      <c r="H35" s="440">
        <f t="shared" si="1"/>
        <v>0</v>
      </c>
      <c r="I35" s="451">
        <v>0</v>
      </c>
      <c r="J35" s="461">
        <f t="shared" si="1"/>
        <v>0</v>
      </c>
    </row>
    <row r="36" spans="2:10" ht="24" hidden="1" customHeight="1">
      <c r="B36" s="470" t="s">
        <v>197</v>
      </c>
      <c r="C36" s="451">
        <f>-'Ppto Operaciones'!C8</f>
        <v>0</v>
      </c>
      <c r="D36" s="440">
        <f t="shared" si="1"/>
        <v>0</v>
      </c>
      <c r="E36" s="451">
        <v>0</v>
      </c>
      <c r="F36" s="440">
        <f t="shared" si="1"/>
        <v>0</v>
      </c>
      <c r="G36" s="451">
        <v>0</v>
      </c>
      <c r="H36" s="440">
        <f t="shared" si="1"/>
        <v>0</v>
      </c>
      <c r="I36" s="451">
        <v>0</v>
      </c>
      <c r="J36" s="461">
        <f t="shared" si="1"/>
        <v>0</v>
      </c>
    </row>
    <row r="37" spans="2:10" ht="24" hidden="1" customHeight="1">
      <c r="B37" s="470" t="s">
        <v>45</v>
      </c>
      <c r="C37" s="451">
        <f>-'Ppto Operaciones'!C9</f>
        <v>0</v>
      </c>
      <c r="D37" s="440">
        <f t="shared" si="1"/>
        <v>0</v>
      </c>
      <c r="E37" s="451">
        <v>0</v>
      </c>
      <c r="F37" s="440">
        <f t="shared" si="1"/>
        <v>0</v>
      </c>
      <c r="G37" s="451">
        <v>0</v>
      </c>
      <c r="H37" s="440">
        <f t="shared" si="1"/>
        <v>0</v>
      </c>
      <c r="I37" s="451">
        <v>0</v>
      </c>
      <c r="J37" s="461">
        <f t="shared" si="1"/>
        <v>0</v>
      </c>
    </row>
    <row r="38" spans="2:10" ht="12" hidden="1" customHeight="1">
      <c r="B38" s="470" t="s">
        <v>46</v>
      </c>
      <c r="C38" s="451">
        <v>0</v>
      </c>
      <c r="D38" s="440">
        <f t="shared" si="1"/>
        <v>0</v>
      </c>
      <c r="E38" s="451">
        <v>0</v>
      </c>
      <c r="F38" s="440">
        <f t="shared" si="1"/>
        <v>0</v>
      </c>
      <c r="G38" s="451">
        <v>0</v>
      </c>
      <c r="H38" s="440">
        <f t="shared" si="1"/>
        <v>0</v>
      </c>
      <c r="I38" s="451">
        <v>0</v>
      </c>
      <c r="J38" s="461">
        <f t="shared" si="1"/>
        <v>0</v>
      </c>
    </row>
    <row r="39" spans="2:10" ht="12" hidden="1" customHeight="1">
      <c r="B39" s="470" t="s">
        <v>47</v>
      </c>
      <c r="C39" s="451">
        <f>-'Ppto Operaciones'!C11</f>
        <v>0</v>
      </c>
      <c r="D39" s="440">
        <f t="shared" si="1"/>
        <v>0</v>
      </c>
      <c r="E39" s="451">
        <v>0</v>
      </c>
      <c r="F39" s="440">
        <f t="shared" si="1"/>
        <v>0</v>
      </c>
      <c r="G39" s="451">
        <v>0</v>
      </c>
      <c r="H39" s="440">
        <f t="shared" si="1"/>
        <v>0</v>
      </c>
      <c r="I39" s="451">
        <v>0</v>
      </c>
      <c r="J39" s="461">
        <f t="shared" si="1"/>
        <v>0</v>
      </c>
    </row>
    <row r="40" spans="2:10" ht="24" hidden="1" customHeight="1">
      <c r="B40" s="470" t="s">
        <v>48</v>
      </c>
      <c r="C40" s="451">
        <f>-'Ppto Operaciones'!C12</f>
        <v>0</v>
      </c>
      <c r="D40" s="440">
        <f t="shared" si="1"/>
        <v>0</v>
      </c>
      <c r="E40" s="451">
        <v>0</v>
      </c>
      <c r="F40" s="440">
        <f t="shared" si="1"/>
        <v>0</v>
      </c>
      <c r="G40" s="451">
        <v>0</v>
      </c>
      <c r="H40" s="440">
        <f t="shared" si="1"/>
        <v>0</v>
      </c>
      <c r="I40" s="451">
        <v>0</v>
      </c>
      <c r="J40" s="461">
        <f t="shared" si="1"/>
        <v>0</v>
      </c>
    </row>
    <row r="41" spans="2:10" ht="12" hidden="1" customHeight="1">
      <c r="B41" s="470" t="s">
        <v>208</v>
      </c>
      <c r="C41" s="451">
        <f>-'Ppto Operaciones'!C18</f>
        <v>0</v>
      </c>
      <c r="D41" s="440">
        <f t="shared" si="1"/>
        <v>0</v>
      </c>
      <c r="E41" s="451">
        <v>0</v>
      </c>
      <c r="F41" s="440">
        <f t="shared" si="1"/>
        <v>0</v>
      </c>
      <c r="G41" s="451">
        <v>0</v>
      </c>
      <c r="H41" s="440">
        <f t="shared" si="1"/>
        <v>0</v>
      </c>
      <c r="I41" s="451">
        <f>-'Ppto Operaciones'!F13</f>
        <v>0</v>
      </c>
      <c r="J41" s="461">
        <f t="shared" si="1"/>
        <v>0</v>
      </c>
    </row>
    <row r="42" spans="2:10">
      <c r="B42" s="460" t="s">
        <v>163</v>
      </c>
      <c r="C42" s="451">
        <v>-37761.639889790677</v>
      </c>
      <c r="D42" s="440">
        <f t="shared" si="1"/>
        <v>-7.3306245496350432E-3</v>
      </c>
      <c r="E42" s="451">
        <v>-52400</v>
      </c>
      <c r="F42" s="440">
        <f t="shared" si="1"/>
        <v>-8.5636129718393052E-3</v>
      </c>
      <c r="G42" s="451">
        <v>-52400</v>
      </c>
      <c r="H42" s="440">
        <f t="shared" si="1"/>
        <v>-7.2563743510210624E-3</v>
      </c>
      <c r="I42" s="451">
        <v>-52400</v>
      </c>
      <c r="J42" s="461">
        <f t="shared" si="1"/>
        <v>-5.9991847157907516E-3</v>
      </c>
    </row>
    <row r="43" spans="2:10">
      <c r="B43" s="460" t="s">
        <v>164</v>
      </c>
      <c r="C43" s="451">
        <v>-185919.55937499998</v>
      </c>
      <c r="D43" s="440">
        <f t="shared" si="1"/>
        <v>-3.6092354309543204E-2</v>
      </c>
      <c r="E43" s="451">
        <v>-401160</v>
      </c>
      <c r="F43" s="440">
        <f t="shared" si="1"/>
        <v>-6.556066755311174E-2</v>
      </c>
      <c r="G43" s="451">
        <v>-493218</v>
      </c>
      <c r="H43" s="440">
        <f t="shared" si="1"/>
        <v>-6.8301039020265394E-2</v>
      </c>
      <c r="I43" s="451">
        <v>-517879</v>
      </c>
      <c r="J43" s="461">
        <f t="shared" si="1"/>
        <v>-5.9291064531087762E-2</v>
      </c>
    </row>
    <row r="44" spans="2:10">
      <c r="B44" s="460" t="s">
        <v>166</v>
      </c>
      <c r="C44" s="451">
        <v>-64369.923850888896</v>
      </c>
      <c r="D44" s="440">
        <f t="shared" si="1"/>
        <v>-1.2496060695897922E-2</v>
      </c>
      <c r="E44" s="451">
        <v>-56400</v>
      </c>
      <c r="F44" s="440">
        <f t="shared" si="1"/>
        <v>-9.2173238857201668E-3</v>
      </c>
      <c r="G44" s="451">
        <v>-56400</v>
      </c>
      <c r="H44" s="440">
        <f t="shared" si="1"/>
        <v>-7.8102960572058759E-3</v>
      </c>
      <c r="I44" s="451">
        <v>-56400</v>
      </c>
      <c r="J44" s="461">
        <f t="shared" si="1"/>
        <v>-6.4571377475305036E-3</v>
      </c>
    </row>
    <row r="45" spans="2:10">
      <c r="B45" s="460" t="s">
        <v>167</v>
      </c>
      <c r="C45" s="451">
        <v>-170539.90857457151</v>
      </c>
      <c r="D45" s="440">
        <f t="shared" si="1"/>
        <v>-3.3106720050769485E-2</v>
      </c>
      <c r="E45" s="451">
        <f>-330000-E18-E20-SUM(E55:E57)+11141.77</f>
        <v>-264082.74976666667</v>
      </c>
      <c r="F45" s="440">
        <f t="shared" si="1"/>
        <v>-4.3158443922534727E-2</v>
      </c>
      <c r="G45" s="451">
        <f>-330000-G18-G20-SUM(G55:G57)-4060</f>
        <v>-277851.38201054052</v>
      </c>
      <c r="H45" s="440">
        <f t="shared" si="1"/>
        <v>-3.847697789727178E-2</v>
      </c>
      <c r="I45" s="451">
        <f>-330000-I18-I20-SUM(I55:I57)</f>
        <v>-268706.1570572948</v>
      </c>
      <c r="J45" s="461">
        <f t="shared" ref="J45:J47" si="2">+I45/I$8</f>
        <v>-3.0763699817881532E-2</v>
      </c>
    </row>
    <row r="46" spans="2:10">
      <c r="B46" s="460" t="s">
        <v>168</v>
      </c>
      <c r="C46" s="451">
        <f>-152507.285990811+130000</f>
        <v>-22507.285990811011</v>
      </c>
      <c r="D46" s="440">
        <f t="shared" si="1"/>
        <v>-4.3693140369813182E-3</v>
      </c>
      <c r="E46" s="451">
        <v>-40000</v>
      </c>
      <c r="F46" s="440">
        <f t="shared" si="1"/>
        <v>-6.5371091388086297E-3</v>
      </c>
      <c r="G46" s="451">
        <v>-40000</v>
      </c>
      <c r="H46" s="440">
        <f t="shared" si="1"/>
        <v>-5.5392170618481394E-3</v>
      </c>
      <c r="I46" s="451">
        <v>-40000</v>
      </c>
      <c r="J46" s="461">
        <f t="shared" si="2"/>
        <v>-4.5795303173975207E-3</v>
      </c>
    </row>
    <row r="47" spans="2:10">
      <c r="B47" s="460" t="s">
        <v>161</v>
      </c>
      <c r="C47" s="451">
        <v>-18211.492886906377</v>
      </c>
      <c r="D47" s="440">
        <f t="shared" si="1"/>
        <v>-3.5353765681758343E-3</v>
      </c>
      <c r="E47" s="451">
        <v>-22800</v>
      </c>
      <c r="F47" s="440">
        <f t="shared" si="1"/>
        <v>-3.7261522091209189E-3</v>
      </c>
      <c r="G47" s="451">
        <v>-22800</v>
      </c>
      <c r="H47" s="440">
        <f t="shared" si="1"/>
        <v>-3.1573537252534392E-3</v>
      </c>
      <c r="I47" s="451">
        <v>-22800</v>
      </c>
      <c r="J47" s="461">
        <f t="shared" si="2"/>
        <v>-2.6103322809165868E-3</v>
      </c>
    </row>
    <row r="48" spans="2:10">
      <c r="B48" s="462" t="s">
        <v>459</v>
      </c>
      <c r="C48" s="463">
        <f>SUM(C42:C47)</f>
        <v>-499309.81056796847</v>
      </c>
      <c r="D48" s="464">
        <f t="shared" si="1"/>
        <v>-9.69304502110028E-2</v>
      </c>
      <c r="E48" s="463">
        <f>SUM(E42:E47)</f>
        <v>-836842.74976666667</v>
      </c>
      <c r="F48" s="464">
        <f t="shared" si="1"/>
        <v>-0.13676330968113548</v>
      </c>
      <c r="G48" s="463">
        <f>SUM(G42:G47)</f>
        <v>-942669.38201054046</v>
      </c>
      <c r="H48" s="464">
        <f t="shared" si="1"/>
        <v>-0.13054125811286568</v>
      </c>
      <c r="I48" s="463">
        <f>SUM(I42:I47)</f>
        <v>-958185.15705729485</v>
      </c>
      <c r="J48" s="465">
        <f t="shared" si="1"/>
        <v>-0.10970094941060467</v>
      </c>
    </row>
    <row r="49" spans="2:10">
      <c r="B49" s="442"/>
      <c r="C49" s="451"/>
      <c r="D49" s="440"/>
      <c r="E49" s="451"/>
      <c r="F49" s="440"/>
      <c r="G49" s="451"/>
      <c r="H49" s="440"/>
      <c r="I49" s="451"/>
      <c r="J49" s="440"/>
    </row>
    <row r="50" spans="2:10">
      <c r="B50" s="456" t="s">
        <v>461</v>
      </c>
      <c r="C50" s="457"/>
      <c r="D50" s="458"/>
      <c r="E50" s="457"/>
      <c r="F50" s="458"/>
      <c r="G50" s="457"/>
      <c r="H50" s="458"/>
      <c r="I50" s="457"/>
      <c r="J50" s="459"/>
    </row>
    <row r="51" spans="2:10">
      <c r="B51" s="460" t="s">
        <v>212</v>
      </c>
      <c r="C51" s="451">
        <f>-'Ppto RRHH'!C2</f>
        <v>0</v>
      </c>
      <c r="D51" s="440">
        <f t="shared" si="1"/>
        <v>0</v>
      </c>
      <c r="E51" s="451">
        <f>-'Ppto RRHH'!D2</f>
        <v>-17639.84375</v>
      </c>
      <c r="F51" s="440">
        <f t="shared" si="1"/>
        <v>-2.8828395946320319E-3</v>
      </c>
      <c r="G51" s="451">
        <f>-'Ppto RRHH'!E2</f>
        <v>-4939.15625</v>
      </c>
      <c r="H51" s="440">
        <f t="shared" si="1"/>
        <v>-6.8397646427834687E-4</v>
      </c>
      <c r="I51" s="451">
        <f>-'Ppto RRHH'!F2</f>
        <v>-5186.1140624999998</v>
      </c>
      <c r="J51" s="461">
        <f t="shared" si="1"/>
        <v>-5.9374916446750924E-4</v>
      </c>
    </row>
    <row r="52" spans="2:10">
      <c r="B52" s="460" t="s">
        <v>52</v>
      </c>
      <c r="C52" s="451">
        <f>-'Ppto RRHH'!C3</f>
        <v>0</v>
      </c>
      <c r="D52" s="440">
        <f t="shared" si="1"/>
        <v>0</v>
      </c>
      <c r="E52" s="451">
        <f>-'Ppto RRHH'!D3</f>
        <v>-17639.84375</v>
      </c>
      <c r="F52" s="440">
        <f t="shared" si="1"/>
        <v>-2.8828395946320319E-3</v>
      </c>
      <c r="G52" s="451">
        <f>-'Ppto RRHH'!E3</f>
        <v>-4939.15625</v>
      </c>
      <c r="H52" s="440">
        <f t="shared" si="1"/>
        <v>-6.8397646427834687E-4</v>
      </c>
      <c r="I52" s="451">
        <f>-'Ppto RRHH'!F3</f>
        <v>-5186.1140624999998</v>
      </c>
      <c r="J52" s="461">
        <f t="shared" si="1"/>
        <v>-5.9374916446750924E-4</v>
      </c>
    </row>
    <row r="53" spans="2:10">
      <c r="B53" s="460" t="s">
        <v>214</v>
      </c>
      <c r="C53" s="451">
        <f>-'Ppto RRHH'!C4</f>
        <v>0</v>
      </c>
      <c r="D53" s="440">
        <f t="shared" si="1"/>
        <v>0</v>
      </c>
      <c r="E53" s="451">
        <f>-'Ppto RRHH'!D4</f>
        <v>-5879.947916666667</v>
      </c>
      <c r="F53" s="440">
        <f t="shared" si="1"/>
        <v>-9.609465315440107E-4</v>
      </c>
      <c r="G53" s="451">
        <f>-'Ppto RRHH'!E4</f>
        <v>-6173.9453125</v>
      </c>
      <c r="H53" s="440">
        <f t="shared" si="1"/>
        <v>-8.5497058034793348E-4</v>
      </c>
      <c r="I53" s="451">
        <f>-'Ppto RRHH'!F4</f>
        <v>-6482.642578125</v>
      </c>
      <c r="J53" s="461">
        <f t="shared" si="1"/>
        <v>-7.4218645558438655E-4</v>
      </c>
    </row>
    <row r="54" spans="2:10">
      <c r="B54" s="460" t="s">
        <v>53</v>
      </c>
      <c r="C54" s="451">
        <f>-'Ppto RRHH'!C5</f>
        <v>0</v>
      </c>
      <c r="D54" s="440">
        <f t="shared" si="1"/>
        <v>0</v>
      </c>
      <c r="E54" s="451">
        <f>-'Ppto RRHH'!D5</f>
        <v>-17639.84375</v>
      </c>
      <c r="F54" s="440">
        <f t="shared" si="1"/>
        <v>-2.8828395946320319E-3</v>
      </c>
      <c r="G54" s="451">
        <f>-'Ppto RRHH'!E5</f>
        <v>-4939.15625</v>
      </c>
      <c r="H54" s="440">
        <f t="shared" si="1"/>
        <v>-6.8397646427834687E-4</v>
      </c>
      <c r="I54" s="451">
        <f>-'Ppto RRHH'!F5</f>
        <v>-5186.1140624999998</v>
      </c>
      <c r="J54" s="461">
        <f t="shared" si="1"/>
        <v>-5.9374916446750924E-4</v>
      </c>
    </row>
    <row r="55" spans="2:10">
      <c r="B55" s="460" t="s">
        <v>54</v>
      </c>
      <c r="C55" s="451">
        <v>-15252.032647058822</v>
      </c>
      <c r="D55" s="440">
        <f t="shared" si="1"/>
        <v>-2.9608598906371367E-3</v>
      </c>
      <c r="E55" s="451">
        <f>-'Ppto RRHH'!D6</f>
        <v>-20000</v>
      </c>
      <c r="F55" s="440">
        <f t="shared" si="1"/>
        <v>-3.2685545694043148E-3</v>
      </c>
      <c r="G55" s="451">
        <f>-'Ppto RRHH'!E6</f>
        <v>-25000</v>
      </c>
      <c r="H55" s="440">
        <f t="shared" si="1"/>
        <v>-3.4620106636550868E-3</v>
      </c>
      <c r="I55" s="451">
        <f>-'Ppto RRHH'!F6</f>
        <v>-28000</v>
      </c>
      <c r="J55" s="461">
        <f t="shared" si="1"/>
        <v>-3.2056712221782643E-3</v>
      </c>
    </row>
    <row r="56" spans="2:10">
      <c r="B56" s="460" t="s">
        <v>216</v>
      </c>
      <c r="C56" s="451">
        <f>-'Ppto RRHH'!C7</f>
        <v>0</v>
      </c>
      <c r="D56" s="440">
        <f t="shared" si="1"/>
        <v>0</v>
      </c>
      <c r="E56" s="451">
        <f>-'Ppto RRHH'!D7</f>
        <v>-11759.895833333334</v>
      </c>
      <c r="F56" s="440">
        <f t="shared" si="1"/>
        <v>-1.9218930630880214E-3</v>
      </c>
      <c r="G56" s="451">
        <f>-'Ppto RRHH'!E7</f>
        <v>-12347.890625</v>
      </c>
      <c r="H56" s="440">
        <f t="shared" si="1"/>
        <v>-1.709941160695867E-3</v>
      </c>
      <c r="I56" s="451">
        <f>-'Ppto RRHH'!F7</f>
        <v>-12965.28515625</v>
      </c>
      <c r="J56" s="461">
        <f t="shared" si="1"/>
        <v>-1.4843729111687731E-3</v>
      </c>
    </row>
    <row r="57" spans="2:10">
      <c r="B57" s="460" t="s">
        <v>377</v>
      </c>
      <c r="C57" s="451">
        <f>-'Ppto RRHH'!C8</f>
        <v>0</v>
      </c>
      <c r="D57" s="440">
        <f t="shared" si="1"/>
        <v>0</v>
      </c>
      <c r="E57" s="451">
        <f>-'Ppto RRHH'!D8</f>
        <v>-15000</v>
      </c>
      <c r="F57" s="440">
        <f t="shared" si="1"/>
        <v>-2.451415927053236E-3</v>
      </c>
      <c r="G57" s="451">
        <f>-'Ppto RRHH'!E8</f>
        <v>-10000</v>
      </c>
      <c r="H57" s="440">
        <f t="shared" si="1"/>
        <v>-1.3848042654620348E-3</v>
      </c>
      <c r="I57" s="451">
        <f>-'Ppto RRHH'!F8</f>
        <v>-10000</v>
      </c>
      <c r="J57" s="461">
        <f t="shared" si="1"/>
        <v>-1.1448825793493802E-3</v>
      </c>
    </row>
    <row r="58" spans="2:10">
      <c r="B58" s="460" t="s">
        <v>218</v>
      </c>
      <c r="C58" s="451">
        <f>-'Ppto RRHH'!C9</f>
        <v>0</v>
      </c>
      <c r="D58" s="440">
        <f t="shared" si="1"/>
        <v>0</v>
      </c>
      <c r="E58" s="451">
        <f>-'Ppto RRHH'!D9</f>
        <v>-32500</v>
      </c>
      <c r="F58" s="440">
        <f t="shared" si="1"/>
        <v>-5.3114011752820114E-3</v>
      </c>
      <c r="G58" s="451">
        <f>-'Ppto RRHH'!E9</f>
        <v>-32500</v>
      </c>
      <c r="H58" s="440">
        <f t="shared" si="1"/>
        <v>-4.5006138627516129E-3</v>
      </c>
      <c r="I58" s="451">
        <f>-'Ppto RRHH'!F9</f>
        <v>-32500</v>
      </c>
      <c r="J58" s="461">
        <f t="shared" si="1"/>
        <v>-3.7208683828854855E-3</v>
      </c>
    </row>
    <row r="59" spans="2:10">
      <c r="B59" s="460" t="s">
        <v>220</v>
      </c>
      <c r="C59" s="451">
        <f>-'Ppto RRHH'!C10</f>
        <v>0</v>
      </c>
      <c r="D59" s="440">
        <f t="shared" si="1"/>
        <v>0</v>
      </c>
      <c r="E59" s="451">
        <f>-'Ppto RRHH'!D10</f>
        <v>-11759.895833333334</v>
      </c>
      <c r="F59" s="440">
        <f t="shared" si="1"/>
        <v>-1.9218930630880214E-3</v>
      </c>
      <c r="G59" s="451">
        <f>-'Ppto RRHH'!E10</f>
        <v>-12347.890625</v>
      </c>
      <c r="H59" s="440">
        <f t="shared" si="1"/>
        <v>-1.709941160695867E-3</v>
      </c>
      <c r="I59" s="451">
        <f>-'Ppto RRHH'!F10</f>
        <v>-12965.28515625</v>
      </c>
      <c r="J59" s="461">
        <f t="shared" si="1"/>
        <v>-1.4843729111687731E-3</v>
      </c>
    </row>
    <row r="60" spans="2:10">
      <c r="B60" s="460" t="s">
        <v>55</v>
      </c>
      <c r="C60" s="451">
        <f>-'Ppto RRHH'!C11</f>
        <v>-182867.4</v>
      </c>
      <c r="D60" s="440">
        <f t="shared" si="1"/>
        <v>-3.5499842053479266E-2</v>
      </c>
      <c r="E60" s="451">
        <f>-'Ppto RRHH'!D11</f>
        <v>-235170</v>
      </c>
      <c r="F60" s="440">
        <f t="shared" si="1"/>
        <v>-3.8433298904340635E-2</v>
      </c>
      <c r="G60" s="451">
        <f>-'Ppto RRHH'!E11</f>
        <v>-306726</v>
      </c>
      <c r="H60" s="440">
        <f t="shared" si="1"/>
        <v>-4.2475547312810807E-2</v>
      </c>
      <c r="I60" s="451">
        <f>-'Ppto RRHH'!F11</f>
        <v>-322062.3</v>
      </c>
      <c r="J60" s="461">
        <f t="shared" si="1"/>
        <v>-3.6872351673519384E-2</v>
      </c>
    </row>
    <row r="61" spans="2:10">
      <c r="B61" s="460" t="s">
        <v>463</v>
      </c>
      <c r="C61" s="451">
        <f>-'Ppto RRHH'!C12</f>
        <v>-1002578.5286791668</v>
      </c>
      <c r="D61" s="440">
        <f t="shared" si="1"/>
        <v>-0.19462943867698704</v>
      </c>
      <c r="E61" s="451">
        <f>-'Ppto RRHH'!D12</f>
        <v>-1110364.5559027777</v>
      </c>
      <c r="F61" s="440">
        <f t="shared" si="1"/>
        <v>-0.18146435714503084</v>
      </c>
      <c r="G61" s="451">
        <f>-'Ppto RRHH'!E12</f>
        <v>-1443491.7593749999</v>
      </c>
      <c r="H61" s="440">
        <f t="shared" si="1"/>
        <v>-0.1998953545541797</v>
      </c>
      <c r="I61" s="451">
        <f>-'Ppto RRHH'!F12</f>
        <v>-1522596.5132812499</v>
      </c>
      <c r="J61" s="461">
        <f t="shared" si="1"/>
        <v>-0.17431942234338102</v>
      </c>
    </row>
    <row r="62" spans="2:10">
      <c r="B62" s="460" t="s">
        <v>56</v>
      </c>
      <c r="C62" s="451">
        <f>-'Ppto RRHH'!C13</f>
        <v>0</v>
      </c>
      <c r="D62" s="440">
        <f t="shared" si="1"/>
        <v>0</v>
      </c>
      <c r="E62" s="451">
        <f>-'Ppto RRHH'!D13</f>
        <v>-14000</v>
      </c>
      <c r="F62" s="440">
        <f t="shared" si="1"/>
        <v>-2.2879881985830202E-3</v>
      </c>
      <c r="G62" s="451">
        <f>-'Ppto RRHH'!E13</f>
        <v>-19650</v>
      </c>
      <c r="H62" s="440">
        <f t="shared" si="1"/>
        <v>-2.7211403816328984E-3</v>
      </c>
      <c r="I62" s="451">
        <f>-'Ppto RRHH'!F13</f>
        <v>-22900</v>
      </c>
      <c r="J62" s="461">
        <f t="shared" si="1"/>
        <v>-2.6217811067100806E-3</v>
      </c>
    </row>
    <row r="63" spans="2:10">
      <c r="B63" s="460" t="s">
        <v>223</v>
      </c>
      <c r="C63" s="451">
        <f>-'Ppto RRHH'!C14</f>
        <v>0</v>
      </c>
      <c r="D63" s="440">
        <f t="shared" si="1"/>
        <v>0</v>
      </c>
      <c r="E63" s="451">
        <f>-'Ppto RRHH'!D14</f>
        <v>-15000</v>
      </c>
      <c r="F63" s="440">
        <f t="shared" si="1"/>
        <v>-2.451415927053236E-3</v>
      </c>
      <c r="G63" s="451">
        <f>-'Ppto RRHH'!E14</f>
        <v>-12000</v>
      </c>
      <c r="H63" s="440">
        <f t="shared" si="1"/>
        <v>-1.6617651185544418E-3</v>
      </c>
      <c r="I63" s="451">
        <f>-'Ppto RRHH'!F14</f>
        <v>-12000</v>
      </c>
      <c r="J63" s="461">
        <f t="shared" si="1"/>
        <v>-1.3738590952192562E-3</v>
      </c>
    </row>
    <row r="64" spans="2:10">
      <c r="B64" s="460" t="s">
        <v>225</v>
      </c>
      <c r="C64" s="451">
        <f>-'Ppto RRHH'!C15</f>
        <v>0</v>
      </c>
      <c r="D64" s="440">
        <f t="shared" si="1"/>
        <v>0</v>
      </c>
      <c r="E64" s="451">
        <f>-'Ppto RRHH'!D15</f>
        <v>0</v>
      </c>
      <c r="F64" s="440">
        <f t="shared" si="1"/>
        <v>0</v>
      </c>
      <c r="G64" s="451">
        <f>-'Ppto RRHH'!E15</f>
        <v>-12347.890625</v>
      </c>
      <c r="H64" s="440">
        <f t="shared" si="1"/>
        <v>-1.709941160695867E-3</v>
      </c>
      <c r="I64" s="451">
        <f>-'Ppto RRHH'!F15</f>
        <v>-12965.28515625</v>
      </c>
      <c r="J64" s="461">
        <f t="shared" si="1"/>
        <v>-1.4843729111687731E-3</v>
      </c>
    </row>
    <row r="65" spans="2:10">
      <c r="B65" s="462" t="s">
        <v>459</v>
      </c>
      <c r="C65" s="463">
        <f>+SUM(C51:C64)</f>
        <v>-1200697.9613262257</v>
      </c>
      <c r="D65" s="464">
        <f t="shared" si="1"/>
        <v>-0.23309014062110345</v>
      </c>
      <c r="E65" s="463">
        <f>+SUM(E51:E64)</f>
        <v>-1524353.8267361112</v>
      </c>
      <c r="F65" s="464">
        <f t="shared" si="1"/>
        <v>-0.24912168328836345</v>
      </c>
      <c r="G65" s="463">
        <f>+SUM(G51:G64)</f>
        <v>-1907402.8453124999</v>
      </c>
      <c r="H65" s="464">
        <f t="shared" si="1"/>
        <v>-0.26413795961431719</v>
      </c>
      <c r="I65" s="463">
        <f>+SUM(I51:I64)</f>
        <v>-2010995.6535156248</v>
      </c>
      <c r="J65" s="465">
        <f t="shared" si="1"/>
        <v>-0.2302353890857361</v>
      </c>
    </row>
    <row r="66" spans="2:10">
      <c r="B66" s="442"/>
      <c r="C66" s="451"/>
      <c r="D66" s="440"/>
      <c r="E66" s="451"/>
      <c r="F66" s="440"/>
      <c r="G66" s="451"/>
      <c r="H66" s="440"/>
      <c r="I66" s="451"/>
      <c r="J66" s="440"/>
    </row>
    <row r="67" spans="2:10">
      <c r="B67" s="456" t="s">
        <v>462</v>
      </c>
      <c r="C67" s="457"/>
      <c r="D67" s="458"/>
      <c r="E67" s="457"/>
      <c r="F67" s="458"/>
      <c r="G67" s="457"/>
      <c r="H67" s="458"/>
      <c r="I67" s="457"/>
      <c r="J67" s="459"/>
    </row>
    <row r="68" spans="2:10">
      <c r="B68" s="460" t="s">
        <v>235</v>
      </c>
      <c r="C68" s="451">
        <f>-'Ppto RS'!C2</f>
        <v>0</v>
      </c>
      <c r="D68" s="440">
        <f t="shared" si="1"/>
        <v>0</v>
      </c>
      <c r="E68" s="451">
        <f>-'Ppto RS'!D2</f>
        <v>-7000</v>
      </c>
      <c r="F68" s="440">
        <f t="shared" si="1"/>
        <v>-1.1439940992915101E-3</v>
      </c>
      <c r="G68" s="451">
        <f>-'Ppto RS'!E2</f>
        <v>-10000</v>
      </c>
      <c r="H68" s="440">
        <f t="shared" si="1"/>
        <v>-1.3848042654620348E-3</v>
      </c>
      <c r="I68" s="451">
        <f>-'Ppto RS'!F2</f>
        <v>-12000</v>
      </c>
      <c r="J68" s="461">
        <f t="shared" si="1"/>
        <v>-1.3738590952192562E-3</v>
      </c>
    </row>
    <row r="69" spans="2:10">
      <c r="B69" s="460" t="s">
        <v>237</v>
      </c>
      <c r="C69" s="451">
        <f>-'Ppto RS'!C3</f>
        <v>0</v>
      </c>
      <c r="D69" s="440">
        <f t="shared" si="1"/>
        <v>0</v>
      </c>
      <c r="E69" s="451">
        <f>-'Ppto RS'!D3</f>
        <v>-2891.6781249999999</v>
      </c>
      <c r="F69" s="440">
        <f t="shared" si="1"/>
        <v>-4.7258038743576251E-4</v>
      </c>
      <c r="G69" s="451">
        <f>-'Ppto RS'!E3</f>
        <v>-3036.2620312499998</v>
      </c>
      <c r="H69" s="440">
        <f t="shared" si="1"/>
        <v>-4.2046286119354218E-4</v>
      </c>
      <c r="I69" s="451">
        <f>-'Ppto RS'!F3</f>
        <v>-3188.0751328125002</v>
      </c>
      <c r="J69" s="461">
        <f t="shared" si="1"/>
        <v>-3.6499716812139928E-4</v>
      </c>
    </row>
    <row r="70" spans="2:10">
      <c r="B70" s="460" t="s">
        <v>64</v>
      </c>
      <c r="C70" s="451">
        <f>-'Ppto RS'!C4</f>
        <v>0</v>
      </c>
      <c r="D70" s="440">
        <f t="shared" si="1"/>
        <v>0</v>
      </c>
      <c r="E70" s="451">
        <f>-'Ppto RS'!D4</f>
        <v>-1018.0650000000001</v>
      </c>
      <c r="F70" s="440">
        <f t="shared" si="1"/>
        <v>-1.6638005038503018E-4</v>
      </c>
      <c r="G70" s="451">
        <f>-'Ppto RS'!E4</f>
        <v>-2185.5511666666666</v>
      </c>
      <c r="H70" s="440">
        <f t="shared" si="1"/>
        <v>-3.0265605779855267E-4</v>
      </c>
      <c r="I70" s="451">
        <f>-'Ppto RS'!F4</f>
        <v>-2322.2071583333336</v>
      </c>
      <c r="J70" s="461">
        <f t="shared" si="1"/>
        <v>-2.6586545212162611E-4</v>
      </c>
    </row>
    <row r="71" spans="2:10">
      <c r="B71" s="460" t="s">
        <v>65</v>
      </c>
      <c r="C71" s="451">
        <f>-'Ppto RS'!C5</f>
        <v>0</v>
      </c>
      <c r="D71" s="440">
        <f t="shared" si="1"/>
        <v>0</v>
      </c>
      <c r="E71" s="451">
        <f>-'Ppto RS'!D5</f>
        <v>-1018.0650000000001</v>
      </c>
      <c r="F71" s="440">
        <f t="shared" si="1"/>
        <v>-1.6638005038503018E-4</v>
      </c>
      <c r="G71" s="451">
        <f>-'Ppto RS'!E5</f>
        <v>-1092.7755833333333</v>
      </c>
      <c r="H71" s="440">
        <f t="shared" si="1"/>
        <v>-1.5132802889927634E-4</v>
      </c>
      <c r="I71" s="451">
        <f>-'Ppto RS'!F5</f>
        <v>-1161.1035791666668</v>
      </c>
      <c r="J71" s="461">
        <f t="shared" si="1"/>
        <v>-1.3293272606081306E-4</v>
      </c>
    </row>
    <row r="72" spans="2:10">
      <c r="B72" s="460" t="s">
        <v>239</v>
      </c>
      <c r="C72" s="451">
        <f>-'Ppto RS'!C6</f>
        <v>0</v>
      </c>
      <c r="D72" s="440">
        <f t="shared" si="1"/>
        <v>0</v>
      </c>
      <c r="E72" s="451">
        <f>-'Ppto RS'!D6</f>
        <v>0</v>
      </c>
      <c r="F72" s="440">
        <f t="shared" si="1"/>
        <v>0</v>
      </c>
      <c r="G72" s="451">
        <f>-'Ppto RS'!E6</f>
        <v>-32041.493750000001</v>
      </c>
      <c r="H72" s="440">
        <f t="shared" si="1"/>
        <v>-4.4371197216775127E-3</v>
      </c>
      <c r="I72" s="451">
        <f>-'Ppto RS'!F6</f>
        <v>-33643.568437499998</v>
      </c>
      <c r="J72" s="461">
        <f t="shared" si="1"/>
        <v>-3.8517935411242392E-3</v>
      </c>
    </row>
    <row r="73" spans="2:10">
      <c r="B73" s="462" t="s">
        <v>459</v>
      </c>
      <c r="C73" s="463">
        <f>+SUM(C68:C72)</f>
        <v>0</v>
      </c>
      <c r="D73" s="464">
        <f t="shared" si="1"/>
        <v>0</v>
      </c>
      <c r="E73" s="463">
        <f>+SUM(E68:E72)</f>
        <v>-11927.808125000001</v>
      </c>
      <c r="F73" s="464">
        <f t="shared" si="1"/>
        <v>-1.9493345874973332E-3</v>
      </c>
      <c r="G73" s="463">
        <f>+SUM(G68:G72)</f>
        <v>-48356.082531250002</v>
      </c>
      <c r="H73" s="464">
        <f t="shared" si="1"/>
        <v>-6.6963709350309191E-3</v>
      </c>
      <c r="I73" s="463">
        <f>+SUM(I68:I72)</f>
        <v>-52314.954307812499</v>
      </c>
      <c r="J73" s="465">
        <f t="shared" si="1"/>
        <v>-5.9894479826473335E-3</v>
      </c>
    </row>
    <row r="74" spans="2:10">
      <c r="B74" s="442"/>
      <c r="C74" s="451"/>
      <c r="D74" s="440"/>
      <c r="E74" s="451"/>
      <c r="F74" s="440"/>
      <c r="G74" s="451"/>
      <c r="H74" s="440"/>
      <c r="I74" s="451"/>
      <c r="J74" s="440"/>
    </row>
    <row r="75" spans="2:10">
      <c r="B75" s="441" t="s">
        <v>368</v>
      </c>
      <c r="C75" s="466">
        <v>-37486.246721651776</v>
      </c>
      <c r="D75" s="467">
        <f t="shared" ref="D75" si="3">+C75/C$8</f>
        <v>-7.277162784599076E-3</v>
      </c>
      <c r="E75" s="466">
        <v>0</v>
      </c>
      <c r="F75" s="467">
        <f t="shared" ref="F75" si="4">+E75/E$8</f>
        <v>0</v>
      </c>
      <c r="G75" s="466"/>
      <c r="H75" s="467">
        <f t="shared" ref="H75" si="5">+G75/G$8</f>
        <v>0</v>
      </c>
      <c r="I75" s="466"/>
      <c r="J75" s="468">
        <f t="shared" ref="J75" si="6">+I75/I$8</f>
        <v>0</v>
      </c>
    </row>
    <row r="76" spans="2:10">
      <c r="B76" s="454"/>
      <c r="C76" s="451"/>
      <c r="D76" s="440"/>
      <c r="E76" s="451"/>
      <c r="F76" s="440"/>
      <c r="G76" s="451"/>
      <c r="H76" s="440"/>
      <c r="I76" s="451"/>
      <c r="J76" s="440"/>
    </row>
    <row r="77" spans="2:10">
      <c r="B77" s="441" t="s">
        <v>465</v>
      </c>
      <c r="C77" s="466">
        <f>C75+C73+C65+C48+C27</f>
        <v>-2270052.8586158459</v>
      </c>
      <c r="D77" s="466"/>
      <c r="E77" s="466">
        <f t="shared" ref="E77:I77" si="7">E75+E73+E65+E48+E27</f>
        <v>-3265162.119027778</v>
      </c>
      <c r="F77" s="466"/>
      <c r="G77" s="466">
        <f t="shared" si="7"/>
        <v>-3983589.4572187499</v>
      </c>
      <c r="H77" s="466"/>
      <c r="I77" s="466">
        <f t="shared" si="7"/>
        <v>-4292757.2149929851</v>
      </c>
      <c r="J77" s="469"/>
    </row>
    <row r="78" spans="2:10">
      <c r="B78" s="454"/>
      <c r="C78" s="451"/>
      <c r="D78" s="440"/>
      <c r="E78" s="451"/>
      <c r="F78" s="440"/>
      <c r="G78" s="451"/>
      <c r="H78" s="440"/>
      <c r="I78" s="451"/>
      <c r="J78" s="440"/>
    </row>
    <row r="79" spans="2:10">
      <c r="B79" s="441" t="s">
        <v>438</v>
      </c>
      <c r="C79" s="466">
        <v>-37507.15</v>
      </c>
      <c r="D79" s="467">
        <f>+C79/C$8</f>
        <v>-7.2812207144420217E-3</v>
      </c>
      <c r="E79" s="466">
        <v>-90608.756250000006</v>
      </c>
      <c r="F79" s="467">
        <f t="shared" si="1"/>
        <v>-1.4807983213448964E-2</v>
      </c>
      <c r="G79" s="466">
        <v>-118739.11874999999</v>
      </c>
      <c r="H79" s="467">
        <f>+G79/G$8</f>
        <v>-1.6443043812220306E-2</v>
      </c>
      <c r="I79" s="466">
        <v>-142181.08749999999</v>
      </c>
      <c r="J79" s="468">
        <f>+I79/I$8</f>
        <v>-1.627806501916999E-2</v>
      </c>
    </row>
    <row r="80" spans="2:10">
      <c r="B80" s="442"/>
      <c r="C80" s="451"/>
      <c r="D80" s="440"/>
      <c r="E80" s="451"/>
      <c r="F80" s="440"/>
      <c r="G80" s="451"/>
      <c r="H80" s="440"/>
      <c r="I80" s="451"/>
      <c r="J80" s="440"/>
    </row>
    <row r="81" spans="2:10">
      <c r="B81" s="441" t="s">
        <v>170</v>
      </c>
      <c r="C81" s="466">
        <f>C77+C79+C14</f>
        <v>1603575.5785007789</v>
      </c>
      <c r="D81" s="467">
        <f>+C81/C$8</f>
        <v>0.31130031792213536</v>
      </c>
      <c r="E81" s="466">
        <f>E77+E79+E14</f>
        <v>1961583.3647222221</v>
      </c>
      <c r="F81" s="467">
        <f>+E81/E$8</f>
        <v>0.32057711350151546</v>
      </c>
      <c r="G81" s="466">
        <f>G77+G79+G14</f>
        <v>2232835.8323622486</v>
      </c>
      <c r="H81" s="467">
        <f>+G81/G$8</f>
        <v>0.30920405847317145</v>
      </c>
      <c r="I81" s="466">
        <f>I77+I79+I14</f>
        <v>3266726.1049253391</v>
      </c>
      <c r="J81" s="467">
        <f>+I81/I$8</f>
        <v>0.37400178090348762</v>
      </c>
    </row>
    <row r="82" spans="2:10">
      <c r="B82" s="441" t="s">
        <v>439</v>
      </c>
      <c r="C82" s="466">
        <f>C81*0.28*-1</f>
        <v>-449001.16198021814</v>
      </c>
      <c r="D82" s="467"/>
      <c r="E82" s="466">
        <f>E81*0.28*-1</f>
        <v>-549243.34212222218</v>
      </c>
      <c r="F82" s="467"/>
      <c r="G82" s="466">
        <f>G81*0.28*-1</f>
        <v>-625194.03306142963</v>
      </c>
      <c r="H82" s="467"/>
      <c r="I82" s="466">
        <f>I81*0.28*-1</f>
        <v>-914683.3093790951</v>
      </c>
      <c r="J82" s="468"/>
    </row>
    <row r="83" spans="2:10">
      <c r="B83" s="441" t="s">
        <v>466</v>
      </c>
      <c r="C83" s="466">
        <f>C82+C81</f>
        <v>1154574.4165205606</v>
      </c>
      <c r="D83" s="466"/>
      <c r="E83" s="466">
        <f t="shared" ref="D83:J83" si="8">E82+E81</f>
        <v>1412340.0225999998</v>
      </c>
      <c r="F83" s="466"/>
      <c r="G83" s="466">
        <f t="shared" si="8"/>
        <v>1607641.7993008189</v>
      </c>
      <c r="H83" s="466"/>
      <c r="I83" s="466">
        <f t="shared" si="8"/>
        <v>2352042.7955462439</v>
      </c>
      <c r="J83" s="469"/>
    </row>
    <row r="84" spans="2:10">
      <c r="C84" s="451"/>
    </row>
    <row r="85" spans="2:10">
      <c r="B85" s="443" t="s">
        <v>148</v>
      </c>
      <c r="C85" s="451"/>
      <c r="D85" s="443"/>
      <c r="E85" s="444">
        <v>2017</v>
      </c>
      <c r="F85" s="444"/>
      <c r="G85" s="444">
        <v>2018</v>
      </c>
      <c r="H85" s="444"/>
      <c r="I85" s="444">
        <v>2019</v>
      </c>
      <c r="J85" s="444"/>
    </row>
    <row r="86" spans="2:10" ht="15.95" customHeight="1">
      <c r="B86" s="445" t="s">
        <v>67</v>
      </c>
      <c r="C86" s="451"/>
      <c r="D86" s="449"/>
      <c r="E86" s="446" t="s">
        <v>50</v>
      </c>
      <c r="F86" s="446" t="s">
        <v>109</v>
      </c>
      <c r="G86" s="446" t="s">
        <v>50</v>
      </c>
      <c r="H86" s="446" t="s">
        <v>109</v>
      </c>
      <c r="I86" s="446" t="s">
        <v>50</v>
      </c>
      <c r="J86" s="446" t="s">
        <v>109</v>
      </c>
    </row>
    <row r="87" spans="2:10" ht="17.100000000000001" customHeight="1">
      <c r="B87" s="445"/>
      <c r="C87" s="451"/>
      <c r="D87" s="449"/>
      <c r="E87" s="446"/>
      <c r="F87" s="446"/>
      <c r="G87" s="446"/>
      <c r="H87" s="446"/>
      <c r="I87" s="446"/>
      <c r="J87" s="446"/>
    </row>
    <row r="88" spans="2:10">
      <c r="B88" s="442" t="s">
        <v>139</v>
      </c>
      <c r="C88" s="451"/>
      <c r="D88" s="442"/>
      <c r="E88" s="439">
        <v>5332010.8420000002</v>
      </c>
      <c r="F88" s="450">
        <v>1</v>
      </c>
      <c r="G88" s="451">
        <f>+E88*1.04</f>
        <v>5545291.27568</v>
      </c>
      <c r="H88" s="450">
        <v>1</v>
      </c>
      <c r="I88" s="451">
        <f>+G88*1.05</f>
        <v>5822555.8394640004</v>
      </c>
      <c r="J88" s="450">
        <v>1</v>
      </c>
    </row>
    <row r="89" spans="2:10">
      <c r="B89" s="442" t="s">
        <v>191</v>
      </c>
      <c r="C89" s="451"/>
      <c r="D89" s="442"/>
      <c r="E89" s="439">
        <f>+(E10/E$8)*E88</f>
        <v>-444588.97273347731</v>
      </c>
      <c r="F89" s="450">
        <f>+E89/E$8</f>
        <v>-7.2658165916738876E-2</v>
      </c>
      <c r="G89" s="439">
        <f>+(G10/G$8)*G88</f>
        <v>-443655.20533340389</v>
      </c>
      <c r="H89" s="450">
        <f>+G89/G$8</f>
        <v>-6.1437562074013262E-2</v>
      </c>
      <c r="I89" s="439">
        <f>+(I10/I$8)*I88</f>
        <v>-445088.77779280214</v>
      </c>
      <c r="J89" s="450">
        <f>+I89/I$8</f>
        <v>-5.095743879588864E-2</v>
      </c>
    </row>
    <row r="90" spans="2:10">
      <c r="B90" s="442" t="s">
        <v>152</v>
      </c>
      <c r="C90" s="451"/>
      <c r="D90" s="442"/>
      <c r="E90" s="439">
        <f>+(E11/E$8)*E$88</f>
        <v>-253887.78548962041</v>
      </c>
      <c r="F90" s="450">
        <f>+E90/E$8</f>
        <v>-4.1492304068902065E-2</v>
      </c>
      <c r="G90" s="439">
        <f>+(G11/G$8)*G$88</f>
        <v>-236772.72086834561</v>
      </c>
      <c r="H90" s="450">
        <f>+G90/G$8</f>
        <v>-3.2788387380353674E-2</v>
      </c>
      <c r="I90" s="439">
        <f>+(I11/I$8)*I$88</f>
        <v>-243427.62805074657</v>
      </c>
      <c r="J90" s="450">
        <f>+I90/I$8</f>
        <v>-2.7869605068764024E-2</v>
      </c>
    </row>
    <row r="91" spans="2:10">
      <c r="B91" s="442" t="s">
        <v>20</v>
      </c>
      <c r="C91" s="451"/>
      <c r="D91" s="442"/>
      <c r="E91" s="439">
        <f>+E88+E89+E90</f>
        <v>4633534.0837769024</v>
      </c>
      <c r="F91" s="450">
        <f>+E91/E$8</f>
        <v>0.75724795010098145</v>
      </c>
      <c r="G91" s="439">
        <f>+G88+G89+G90</f>
        <v>4864863.3494782504</v>
      </c>
      <c r="H91" s="450">
        <f>+G91/G$8</f>
        <v>0.67368835172474029</v>
      </c>
      <c r="I91" s="439">
        <f>+I88+I89+I90</f>
        <v>5134039.4336204519</v>
      </c>
      <c r="J91" s="450">
        <f>+I91/I$8</f>
        <v>0.58778723092448137</v>
      </c>
    </row>
    <row r="92" spans="2:10">
      <c r="B92" s="442"/>
      <c r="C92" s="451"/>
      <c r="D92" s="442"/>
      <c r="E92" s="452"/>
      <c r="F92" s="453"/>
      <c r="G92" s="452"/>
      <c r="H92" s="453"/>
      <c r="I92" s="452"/>
      <c r="J92" s="453"/>
    </row>
    <row r="93" spans="2:10">
      <c r="B93" s="442" t="s">
        <v>153</v>
      </c>
      <c r="C93" s="451"/>
      <c r="D93" s="442"/>
      <c r="E93" s="439">
        <f>SUM(E94:E109)</f>
        <v>-2918650.29</v>
      </c>
      <c r="F93" s="450">
        <f t="shared" ref="F93:F110" si="9">+E93/E$8</f>
        <v>-0.47698838709363639</v>
      </c>
      <c r="G93" s="439">
        <f>SUM(G94:G109)</f>
        <v>-3035395.7525793798</v>
      </c>
      <c r="H93" s="450">
        <f t="shared" ref="H93:H110" si="10">+G93/G$8</f>
        <v>-0.42034289855372686</v>
      </c>
      <c r="I93" s="439">
        <f>SUM(I94:I109)</f>
        <v>-3187166.1276309676</v>
      </c>
      <c r="J93" s="450">
        <f t="shared" ref="J93:J110" si="11">+I93/I$8</f>
        <v>-0.3648930977017118</v>
      </c>
    </row>
    <row r="94" spans="2:10">
      <c r="B94" s="442" t="s">
        <v>154</v>
      </c>
      <c r="C94" s="451"/>
      <c r="D94" s="442"/>
      <c r="E94" s="439">
        <v>-177251</v>
      </c>
      <c r="F94" s="450">
        <f t="shared" si="9"/>
        <v>-2.8967728299074208E-2</v>
      </c>
      <c r="G94" s="439">
        <v>-349317</v>
      </c>
      <c r="H94" s="450">
        <f t="shared" si="10"/>
        <v>-4.8373567159840161E-2</v>
      </c>
      <c r="I94" s="439">
        <v>-466659.8</v>
      </c>
      <c r="J94" s="450">
        <f t="shared" si="11"/>
        <v>-5.3427067550266584E-2</v>
      </c>
    </row>
    <row r="95" spans="2:10">
      <c r="B95" s="442" t="s">
        <v>155</v>
      </c>
      <c r="C95" s="451"/>
      <c r="D95" s="442"/>
      <c r="E95" s="439">
        <v>-7200</v>
      </c>
      <c r="F95" s="450">
        <f t="shared" si="9"/>
        <v>-1.1766796449855532E-3</v>
      </c>
      <c r="G95" s="439">
        <v>-7500</v>
      </c>
      <c r="H95" s="450">
        <f t="shared" si="10"/>
        <v>-1.0386031990965261E-3</v>
      </c>
      <c r="I95" s="439">
        <v>-7500</v>
      </c>
      <c r="J95" s="450">
        <f t="shared" si="11"/>
        <v>-8.5866193451203507E-4</v>
      </c>
    </row>
    <row r="96" spans="2:10">
      <c r="B96" s="442" t="s">
        <v>156</v>
      </c>
      <c r="C96" s="451"/>
      <c r="D96" s="442"/>
      <c r="E96" s="439">
        <v>-8200</v>
      </c>
      <c r="F96" s="450">
        <f t="shared" si="9"/>
        <v>-1.340107373455769E-3</v>
      </c>
      <c r="G96" s="439">
        <v>-7600</v>
      </c>
      <c r="H96" s="450">
        <f t="shared" si="10"/>
        <v>-1.0524512417511465E-3</v>
      </c>
      <c r="I96" s="439">
        <v>-7600</v>
      </c>
      <c r="J96" s="450">
        <f t="shared" si="11"/>
        <v>-8.7011076030552893E-4</v>
      </c>
    </row>
    <row r="97" spans="2:10">
      <c r="B97" s="442" t="s">
        <v>157</v>
      </c>
      <c r="C97" s="451"/>
      <c r="D97" s="442"/>
      <c r="E97" s="439">
        <v>-461965</v>
      </c>
      <c r="F97" s="450">
        <f t="shared" si="9"/>
        <v>-7.5497890582743213E-2</v>
      </c>
      <c r="G97" s="439">
        <f>+E97*1.02</f>
        <v>-471204.3</v>
      </c>
      <c r="H97" s="450">
        <f t="shared" si="10"/>
        <v>-6.525257245440523E-2</v>
      </c>
      <c r="I97" s="439">
        <f>+G97*1.02</f>
        <v>-480628.386</v>
      </c>
      <c r="J97" s="450">
        <f t="shared" si="11"/>
        <v>-5.5026306627220953E-2</v>
      </c>
    </row>
    <row r="98" spans="2:10">
      <c r="B98" s="442" t="s">
        <v>158</v>
      </c>
      <c r="C98" s="451"/>
      <c r="D98" s="442"/>
      <c r="E98" s="439">
        <v>-32400</v>
      </c>
      <c r="F98" s="450">
        <f t="shared" si="9"/>
        <v>-5.2950584024349899E-3</v>
      </c>
      <c r="G98" s="439">
        <v>-28800</v>
      </c>
      <c r="H98" s="450">
        <f t="shared" si="10"/>
        <v>-3.9882362845306604E-3</v>
      </c>
      <c r="I98" s="439">
        <v>-28800</v>
      </c>
      <c r="J98" s="450">
        <f t="shared" si="11"/>
        <v>-3.2972618285262148E-3</v>
      </c>
    </row>
    <row r="99" spans="2:10">
      <c r="B99" s="442" t="s">
        <v>159</v>
      </c>
      <c r="C99" s="451"/>
      <c r="D99" s="442"/>
      <c r="E99" s="439">
        <v>-100800</v>
      </c>
      <c r="F99" s="450">
        <f t="shared" si="9"/>
        <v>-1.6473515029797745E-2</v>
      </c>
      <c r="G99" s="439">
        <v>-34000</v>
      </c>
      <c r="H99" s="450">
        <f t="shared" si="10"/>
        <v>-4.7083345025709187E-3</v>
      </c>
      <c r="I99" s="439">
        <v>-34000</v>
      </c>
      <c r="J99" s="450">
        <f t="shared" si="11"/>
        <v>-3.8926007697878923E-3</v>
      </c>
    </row>
    <row r="100" spans="2:10">
      <c r="B100" s="442" t="s">
        <v>160</v>
      </c>
      <c r="C100" s="451"/>
      <c r="D100" s="442"/>
      <c r="E100" s="439">
        <v>0</v>
      </c>
      <c r="F100" s="450">
        <f t="shared" si="9"/>
        <v>0</v>
      </c>
      <c r="G100" s="439">
        <v>0</v>
      </c>
      <c r="H100" s="450">
        <f t="shared" si="10"/>
        <v>0</v>
      </c>
      <c r="I100" s="439">
        <v>0</v>
      </c>
      <c r="J100" s="450">
        <f t="shared" si="11"/>
        <v>0</v>
      </c>
    </row>
    <row r="101" spans="2:10">
      <c r="B101" s="442" t="s">
        <v>161</v>
      </c>
      <c r="C101" s="451"/>
      <c r="D101" s="442"/>
      <c r="E101" s="439">
        <v>-57000</v>
      </c>
      <c r="F101" s="450">
        <f t="shared" si="9"/>
        <v>-9.3153805228022961E-3</v>
      </c>
      <c r="G101" s="439">
        <v>-22800</v>
      </c>
      <c r="H101" s="450">
        <f t="shared" si="10"/>
        <v>-3.1573537252534392E-3</v>
      </c>
      <c r="I101" s="439">
        <v>-22800</v>
      </c>
      <c r="J101" s="450">
        <f t="shared" si="11"/>
        <v>-2.6103322809165868E-3</v>
      </c>
    </row>
    <row r="102" spans="2:10">
      <c r="B102" s="442" t="s">
        <v>162</v>
      </c>
      <c r="C102" s="451"/>
      <c r="D102" s="442"/>
      <c r="E102" s="439">
        <v>-1081688.49</v>
      </c>
      <c r="F102" s="450">
        <f t="shared" si="9"/>
        <v>-0.17677789283307765</v>
      </c>
      <c r="G102" s="439">
        <f>+E102*1.02</f>
        <v>-1103322.2598000001</v>
      </c>
      <c r="H102" s="450">
        <f t="shared" si="10"/>
        <v>-0.15278853715502516</v>
      </c>
      <c r="I102" s="439">
        <f>+G102*1.02</f>
        <v>-1125388.704996</v>
      </c>
      <c r="J102" s="450">
        <f t="shared" si="11"/>
        <v>-0.12884379233464791</v>
      </c>
    </row>
    <row r="103" spans="2:10">
      <c r="B103" s="442" t="s">
        <v>163</v>
      </c>
      <c r="C103" s="451"/>
      <c r="D103" s="442"/>
      <c r="E103" s="439">
        <v>-10560</v>
      </c>
      <c r="F103" s="450">
        <f t="shared" si="9"/>
        <v>-1.7257968126454782E-3</v>
      </c>
      <c r="G103" s="439">
        <v>-11200</v>
      </c>
      <c r="H103" s="450">
        <f t="shared" si="10"/>
        <v>-1.550980777317479E-3</v>
      </c>
      <c r="I103" s="439">
        <v>-11200</v>
      </c>
      <c r="J103" s="450">
        <f t="shared" si="11"/>
        <v>-1.2822684888713057E-3</v>
      </c>
    </row>
    <row r="104" spans="2:10">
      <c r="B104" s="442" t="s">
        <v>164</v>
      </c>
      <c r="C104" s="451"/>
      <c r="D104" s="442"/>
      <c r="E104" s="439">
        <v>-401160</v>
      </c>
      <c r="F104" s="450">
        <f t="shared" si="9"/>
        <v>-6.556066755311174E-2</v>
      </c>
      <c r="G104" s="439">
        <v>-411400</v>
      </c>
      <c r="H104" s="450">
        <f t="shared" si="10"/>
        <v>-5.697084748110811E-2</v>
      </c>
      <c r="I104" s="439">
        <v>-411400</v>
      </c>
      <c r="J104" s="450">
        <f t="shared" si="11"/>
        <v>-4.7100469314433499E-2</v>
      </c>
    </row>
    <row r="105" spans="2:10">
      <c r="B105" s="442" t="s">
        <v>165</v>
      </c>
      <c r="C105" s="451"/>
      <c r="D105" s="442"/>
      <c r="E105" s="439">
        <v>-144025.79999999999</v>
      </c>
      <c r="F105" s="450">
        <f t="shared" si="9"/>
        <v>-2.3537809335105596E-2</v>
      </c>
      <c r="G105" s="439">
        <f>+G102*0.1331</f>
        <v>-146852.19277938001</v>
      </c>
      <c r="H105" s="450">
        <f t="shared" si="10"/>
        <v>-2.0336154295333846E-2</v>
      </c>
      <c r="I105" s="439">
        <f>+I102*0.1331</f>
        <v>-149789.23663496762</v>
      </c>
      <c r="J105" s="450">
        <f t="shared" si="11"/>
        <v>-1.7149108759741637E-2</v>
      </c>
    </row>
    <row r="106" spans="2:10">
      <c r="B106" s="442" t="s">
        <v>166</v>
      </c>
      <c r="C106" s="451"/>
      <c r="D106" s="442"/>
      <c r="E106" s="439">
        <v>-56400</v>
      </c>
      <c r="F106" s="450">
        <f t="shared" si="9"/>
        <v>-9.2173238857201668E-3</v>
      </c>
      <c r="G106" s="439">
        <v>-56400</v>
      </c>
      <c r="H106" s="450">
        <f t="shared" si="10"/>
        <v>-7.8102960572058759E-3</v>
      </c>
      <c r="I106" s="439">
        <v>-56400</v>
      </c>
      <c r="J106" s="450">
        <f t="shared" si="11"/>
        <v>-6.4571377475305036E-3</v>
      </c>
    </row>
    <row r="107" spans="2:10">
      <c r="B107" s="442" t="s">
        <v>167</v>
      </c>
      <c r="C107" s="451"/>
      <c r="D107" s="442"/>
      <c r="E107" s="439">
        <v>-330000</v>
      </c>
      <c r="F107" s="450">
        <f t="shared" si="9"/>
        <v>-5.3931150395171192E-2</v>
      </c>
      <c r="G107" s="439">
        <v>-330000</v>
      </c>
      <c r="H107" s="450">
        <f t="shared" si="10"/>
        <v>-4.5698540760247146E-2</v>
      </c>
      <c r="I107" s="439">
        <v>-330000</v>
      </c>
      <c r="J107" s="450">
        <f t="shared" si="11"/>
        <v>-3.7781125118529546E-2</v>
      </c>
    </row>
    <row r="108" spans="2:10">
      <c r="B108" s="442" t="s">
        <v>168</v>
      </c>
      <c r="C108" s="451"/>
      <c r="D108" s="442"/>
      <c r="E108" s="439">
        <v>-20000</v>
      </c>
      <c r="F108" s="450">
        <f t="shared" si="9"/>
        <v>-3.2685545694043148E-3</v>
      </c>
      <c r="G108" s="439">
        <v>-25000</v>
      </c>
      <c r="H108" s="450">
        <f t="shared" si="10"/>
        <v>-3.4620106636550868E-3</v>
      </c>
      <c r="I108" s="439">
        <v>-25000</v>
      </c>
      <c r="J108" s="450">
        <f t="shared" si="11"/>
        <v>-2.8622064483734503E-3</v>
      </c>
    </row>
    <row r="109" spans="2:10">
      <c r="B109" s="442" t="s">
        <v>169</v>
      </c>
      <c r="C109" s="451"/>
      <c r="D109" s="442"/>
      <c r="E109" s="439">
        <v>-30000</v>
      </c>
      <c r="F109" s="450">
        <f t="shared" si="9"/>
        <v>-4.902831854106472E-3</v>
      </c>
      <c r="G109" s="439">
        <v>-30000</v>
      </c>
      <c r="H109" s="450">
        <f t="shared" si="10"/>
        <v>-4.1544127963861043E-3</v>
      </c>
      <c r="I109" s="439">
        <v>-30000</v>
      </c>
      <c r="J109" s="450">
        <f t="shared" si="11"/>
        <v>-3.4346477380481403E-3</v>
      </c>
    </row>
    <row r="110" spans="2:10">
      <c r="B110" s="442" t="s">
        <v>170</v>
      </c>
      <c r="C110" s="451"/>
      <c r="D110" s="442"/>
      <c r="E110" s="439">
        <f>+E91+E93</f>
        <v>1714883.7937769024</v>
      </c>
      <c r="F110" s="450">
        <f t="shared" si="9"/>
        <v>0.28025956300734506</v>
      </c>
      <c r="G110" s="439">
        <f>+G91+G93</f>
        <v>1829467.5968988705</v>
      </c>
      <c r="H110" s="450">
        <f t="shared" si="10"/>
        <v>0.25334545317101342</v>
      </c>
      <c r="I110" s="439">
        <f>+I91+I93</f>
        <v>1946873.3059894843</v>
      </c>
      <c r="J110" s="450">
        <f t="shared" si="11"/>
        <v>0.22289413322276957</v>
      </c>
    </row>
    <row r="111" spans="2:10">
      <c r="C111" s="451"/>
    </row>
    <row r="112" spans="2:10" ht="15.75">
      <c r="B112" s="455" t="s">
        <v>414</v>
      </c>
      <c r="C112" s="451"/>
    </row>
    <row r="113" spans="2:5">
      <c r="C113" s="451"/>
    </row>
    <row r="114" spans="2:5">
      <c r="C114" s="451"/>
    </row>
    <row r="115" spans="2:5">
      <c r="C115" s="451"/>
    </row>
    <row r="116" spans="2:5">
      <c r="C116" s="451"/>
    </row>
    <row r="122" spans="2:5">
      <c r="B122" s="165">
        <v>37507.15</v>
      </c>
      <c r="C122" s="165">
        <v>90608.756250000006</v>
      </c>
      <c r="D122" s="165">
        <v>118739.11874999999</v>
      </c>
      <c r="E122" s="165">
        <v>142181.08749999999</v>
      </c>
    </row>
  </sheetData>
  <mergeCells count="23">
    <mergeCell ref="G86:G87"/>
    <mergeCell ref="F86:F87"/>
    <mergeCell ref="E86:E87"/>
    <mergeCell ref="J86:J87"/>
    <mergeCell ref="I85:J85"/>
    <mergeCell ref="G85:H85"/>
    <mergeCell ref="E85:F85"/>
    <mergeCell ref="I86:I87"/>
    <mergeCell ref="H86:H87"/>
    <mergeCell ref="B86:B87"/>
    <mergeCell ref="H2:H3"/>
    <mergeCell ref="I2:I3"/>
    <mergeCell ref="J2:J3"/>
    <mergeCell ref="C1:D1"/>
    <mergeCell ref="E1:F1"/>
    <mergeCell ref="G1:H1"/>
    <mergeCell ref="I1:J1"/>
    <mergeCell ref="B2:B3"/>
    <mergeCell ref="C2:C3"/>
    <mergeCell ref="D2:D3"/>
    <mergeCell ref="E2:E3"/>
    <mergeCell ref="F2:F3"/>
    <mergeCell ref="G2:G3"/>
  </mergeCells>
  <hyperlinks>
    <hyperlink ref="B112" r:id="rId1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8"/>
  <sheetViews>
    <sheetView tabSelected="1" topLeftCell="A53" zoomScale="110" zoomScaleNormal="110" workbookViewId="0">
      <selection activeCell="G59" sqref="G59"/>
    </sheetView>
  </sheetViews>
  <sheetFormatPr baseColWidth="10" defaultRowHeight="15.75"/>
  <cols>
    <col min="2" max="2" width="29.875" customWidth="1"/>
    <col min="3" max="3" width="22.625" customWidth="1"/>
    <col min="4" max="4" width="21.125" customWidth="1"/>
    <col min="5" max="5" width="20.625" customWidth="1"/>
  </cols>
  <sheetData>
    <row r="2" spans="2:5">
      <c r="B2" s="1" t="s">
        <v>143</v>
      </c>
      <c r="C2" s="13"/>
      <c r="D2" s="13"/>
      <c r="E2" s="13"/>
    </row>
    <row r="3" spans="2:5">
      <c r="B3" s="2"/>
      <c r="C3" s="3">
        <v>2017</v>
      </c>
      <c r="D3" s="3">
        <v>2018</v>
      </c>
      <c r="E3" s="3">
        <v>2019</v>
      </c>
    </row>
    <row r="4" spans="2:5">
      <c r="B4" s="2" t="s">
        <v>0</v>
      </c>
      <c r="C4" s="2"/>
      <c r="D4" s="2"/>
      <c r="E4" s="2"/>
    </row>
    <row r="5" spans="2:5">
      <c r="B5" s="2" t="s">
        <v>1</v>
      </c>
      <c r="C5" s="4">
        <f>'P&amp;L'!E8</f>
        <v>6118912.6799999997</v>
      </c>
      <c r="D5" s="4">
        <f>'P&amp;L'!G8</f>
        <v>7221237.1447769459</v>
      </c>
      <c r="E5" s="4">
        <f>'P&amp;L'!I8</f>
        <v>8734520.1860638428</v>
      </c>
    </row>
    <row r="6" spans="2:5">
      <c r="B6" s="427" t="s">
        <v>2</v>
      </c>
      <c r="C6" s="428">
        <f>SUM(C5)</f>
        <v>6118912.6799999997</v>
      </c>
      <c r="D6" s="428">
        <f t="shared" ref="D6:E6" si="0">SUM(D5)</f>
        <v>7221237.1447769459</v>
      </c>
      <c r="E6" s="428">
        <f t="shared" si="0"/>
        <v>8734520.1860638428</v>
      </c>
    </row>
    <row r="7" spans="2:5">
      <c r="B7" s="2"/>
      <c r="C7" s="4"/>
      <c r="D7" s="4"/>
      <c r="E7" s="4"/>
    </row>
    <row r="8" spans="2:5">
      <c r="B8" s="2" t="s">
        <v>3</v>
      </c>
      <c r="C8" s="4"/>
      <c r="D8" s="4"/>
      <c r="E8" s="4"/>
    </row>
    <row r="9" spans="2:5">
      <c r="B9" s="427" t="s">
        <v>4</v>
      </c>
      <c r="C9" s="4">
        <f>'P&amp;L'!C12</f>
        <v>-1240081.697865</v>
      </c>
      <c r="D9" s="4">
        <f>'P&amp;L'!E12</f>
        <v>-801558.44</v>
      </c>
      <c r="E9" s="4">
        <f>'P&amp;L'!G12</f>
        <v>-886072.73644594813</v>
      </c>
    </row>
    <row r="11" spans="2:5">
      <c r="B11" s="432" t="s">
        <v>457</v>
      </c>
    </row>
    <row r="12" spans="2:5" ht="36.75">
      <c r="B12" s="430" t="s">
        <v>458</v>
      </c>
      <c r="C12" s="4">
        <v>39900</v>
      </c>
      <c r="D12" s="4">
        <v>11117.97</v>
      </c>
      <c r="E12" s="4">
        <v>8935.94</v>
      </c>
    </row>
    <row r="13" spans="2:5" ht="22.5" customHeight="1">
      <c r="B13" s="430" t="s">
        <v>228</v>
      </c>
      <c r="C13" s="4">
        <v>8015.5844000000006</v>
      </c>
      <c r="D13" s="4">
        <v>8860.7273644594825</v>
      </c>
      <c r="E13" s="4">
        <v>10328.557786455185</v>
      </c>
    </row>
    <row r="14" spans="2:5" ht="23.25" customHeight="1">
      <c r="B14" s="430" t="s">
        <v>446</v>
      </c>
      <c r="C14" s="4">
        <v>511432.65</v>
      </c>
      <c r="D14" s="4">
        <v>586826.44999999995</v>
      </c>
      <c r="E14" s="4">
        <v>695991.15</v>
      </c>
    </row>
    <row r="15" spans="2:5" ht="34.5" customHeight="1">
      <c r="B15" s="430" t="s">
        <v>61</v>
      </c>
      <c r="C15" s="4">
        <v>64320</v>
      </c>
      <c r="D15" s="4">
        <v>73968</v>
      </c>
      <c r="E15" s="4">
        <v>81364.800000000003</v>
      </c>
    </row>
    <row r="16" spans="2:5">
      <c r="B16" s="430" t="s">
        <v>234</v>
      </c>
      <c r="C16" s="4">
        <v>76486.408500000005</v>
      </c>
      <c r="D16" s="4">
        <v>90265.464309711824</v>
      </c>
      <c r="E16" s="4">
        <v>109181.50232579804</v>
      </c>
    </row>
    <row r="17" spans="2:5" ht="22.5" customHeight="1">
      <c r="B17" s="430" t="s">
        <v>447</v>
      </c>
      <c r="C17" s="4">
        <v>26600</v>
      </c>
      <c r="D17" s="4">
        <v>29925</v>
      </c>
      <c r="E17" s="4">
        <v>34915</v>
      </c>
    </row>
    <row r="18" spans="2:5">
      <c r="B18" s="430" t="s">
        <v>409</v>
      </c>
      <c r="C18" s="4">
        <v>165283.09149999998</v>
      </c>
      <c r="D18" s="4">
        <v>284197.53569028818</v>
      </c>
      <c r="E18" s="4">
        <v>330544.5</v>
      </c>
    </row>
    <row r="19" spans="2:5">
      <c r="B19" s="431" t="s">
        <v>459</v>
      </c>
      <c r="C19" s="428">
        <v>892037.73440000007</v>
      </c>
      <c r="D19" s="428">
        <v>1085161.1473644595</v>
      </c>
      <c r="E19" s="428">
        <v>1271261.4501122534</v>
      </c>
    </row>
    <row r="21" spans="2:5">
      <c r="B21" s="433" t="s">
        <v>460</v>
      </c>
    </row>
    <row r="22" spans="2:5" ht="36.75">
      <c r="B22" s="430" t="s">
        <v>202</v>
      </c>
      <c r="C22" s="4">
        <v>90000</v>
      </c>
      <c r="D22" s="4"/>
      <c r="E22" s="4"/>
    </row>
    <row r="23" spans="2:5" ht="24.75">
      <c r="B23" s="430" t="s">
        <v>204</v>
      </c>
      <c r="C23" s="4">
        <v>50000</v>
      </c>
      <c r="D23" s="4"/>
      <c r="E23" s="4"/>
    </row>
    <row r="24" spans="2:5" ht="24.75">
      <c r="B24" s="430" t="s">
        <v>205</v>
      </c>
      <c r="C24" s="4">
        <v>60200</v>
      </c>
      <c r="D24" s="4"/>
      <c r="E24" s="4"/>
    </row>
    <row r="25" spans="2:5" ht="24.75">
      <c r="B25" s="430" t="s">
        <v>206</v>
      </c>
      <c r="C25" s="4"/>
      <c r="D25" s="4">
        <v>47200</v>
      </c>
      <c r="E25" s="4"/>
    </row>
    <row r="26" spans="2:5" ht="24.75">
      <c r="B26" s="430" t="s">
        <v>418</v>
      </c>
      <c r="C26" s="4">
        <v>48750</v>
      </c>
      <c r="D26" s="4"/>
      <c r="E26" s="4"/>
    </row>
    <row r="27" spans="2:5" ht="24.75">
      <c r="B27" s="430" t="s">
        <v>419</v>
      </c>
      <c r="C27" s="4">
        <v>40000</v>
      </c>
      <c r="D27" s="4">
        <v>16250</v>
      </c>
      <c r="E27" s="4"/>
    </row>
    <row r="28" spans="2:5" ht="24.75">
      <c r="B28" s="430" t="s">
        <v>454</v>
      </c>
      <c r="C28" s="4">
        <v>401160</v>
      </c>
      <c r="D28" s="4">
        <v>493218</v>
      </c>
      <c r="E28" s="4">
        <v>517879</v>
      </c>
    </row>
    <row r="29" spans="2:5">
      <c r="B29" s="430" t="s">
        <v>449</v>
      </c>
      <c r="C29" s="4">
        <v>56400</v>
      </c>
      <c r="D29" s="4">
        <v>56400</v>
      </c>
      <c r="E29" s="4">
        <v>56400</v>
      </c>
    </row>
    <row r="30" spans="2:5">
      <c r="B30" s="430" t="s">
        <v>168</v>
      </c>
      <c r="C30" s="4">
        <v>40000</v>
      </c>
      <c r="D30" s="4">
        <v>40000</v>
      </c>
      <c r="E30" s="4">
        <v>40000</v>
      </c>
    </row>
    <row r="31" spans="2:5" ht="24.75">
      <c r="B31" s="430" t="s">
        <v>451</v>
      </c>
      <c r="C31" s="4">
        <v>144025.79999999999</v>
      </c>
      <c r="D31" s="4">
        <v>182005</v>
      </c>
      <c r="E31" s="4">
        <v>191947.96956402605</v>
      </c>
    </row>
    <row r="32" spans="2:5" ht="16.5" thickBot="1">
      <c r="B32" s="430" t="s">
        <v>452</v>
      </c>
      <c r="C32" s="4">
        <v>52400</v>
      </c>
      <c r="D32" s="4">
        <v>52400</v>
      </c>
      <c r="E32" s="4">
        <v>52400</v>
      </c>
    </row>
    <row r="33" spans="2:5" ht="16.5" thickBot="1">
      <c r="B33" s="438" t="s">
        <v>161</v>
      </c>
      <c r="C33" s="305">
        <v>22800</v>
      </c>
      <c r="D33" s="305">
        <v>22800</v>
      </c>
      <c r="E33" s="305">
        <v>22800</v>
      </c>
    </row>
    <row r="34" spans="2:5">
      <c r="B34" s="428" t="s">
        <v>459</v>
      </c>
      <c r="C34" s="428">
        <f>SUM(C22:C33)</f>
        <v>1005735.8</v>
      </c>
      <c r="D34" s="428">
        <f t="shared" ref="D34:E34" si="1">SUM(D22:D33)</f>
        <v>910273</v>
      </c>
      <c r="E34" s="428">
        <f t="shared" si="1"/>
        <v>881426.96956402599</v>
      </c>
    </row>
    <row r="36" spans="2:5">
      <c r="B36" s="433" t="s">
        <v>461</v>
      </c>
    </row>
    <row r="37" spans="2:5" ht="24.75">
      <c r="B37" s="430" t="s">
        <v>212</v>
      </c>
      <c r="C37" s="4">
        <v>17639.84375</v>
      </c>
      <c r="D37" s="4">
        <v>4939.15625</v>
      </c>
      <c r="E37" s="4">
        <v>5186.1140624999998</v>
      </c>
    </row>
    <row r="38" spans="2:5" ht="24.75">
      <c r="B38" s="430" t="s">
        <v>214</v>
      </c>
      <c r="C38" s="4">
        <v>5879.947916666667</v>
      </c>
      <c r="D38" s="4">
        <v>6173.9453125</v>
      </c>
      <c r="E38" s="4">
        <v>6482.642578125</v>
      </c>
    </row>
    <row r="39" spans="2:5">
      <c r="B39" s="430" t="s">
        <v>53</v>
      </c>
      <c r="C39" s="4"/>
      <c r="D39" s="4"/>
      <c r="E39" s="4"/>
    </row>
    <row r="40" spans="2:5">
      <c r="B40" s="430" t="s">
        <v>54</v>
      </c>
      <c r="C40" s="4">
        <v>20000</v>
      </c>
      <c r="D40" s="4">
        <v>25000</v>
      </c>
      <c r="E40" s="4">
        <v>28000</v>
      </c>
    </row>
    <row r="41" spans="2:5">
      <c r="B41" s="430" t="s">
        <v>216</v>
      </c>
      <c r="C41" s="4">
        <v>11759.895833333334</v>
      </c>
      <c r="D41" s="4">
        <v>12347.890625</v>
      </c>
      <c r="E41" s="4">
        <v>12965.28515625</v>
      </c>
    </row>
    <row r="42" spans="2:5">
      <c r="B42" s="430" t="s">
        <v>377</v>
      </c>
      <c r="C42" s="4">
        <v>15000</v>
      </c>
      <c r="D42" s="4">
        <v>10000</v>
      </c>
      <c r="E42" s="4">
        <v>10000</v>
      </c>
    </row>
    <row r="43" spans="2:5">
      <c r="B43" s="430" t="s">
        <v>218</v>
      </c>
      <c r="C43" s="4">
        <v>32500</v>
      </c>
      <c r="D43" s="4">
        <v>32500</v>
      </c>
      <c r="E43" s="4">
        <v>32500</v>
      </c>
    </row>
    <row r="44" spans="2:5" ht="36.75">
      <c r="B44" s="430" t="s">
        <v>220</v>
      </c>
      <c r="C44" s="4">
        <v>11759.895833333334</v>
      </c>
      <c r="D44" s="4">
        <v>12347.890625</v>
      </c>
      <c r="E44" s="4">
        <v>12965.28515625</v>
      </c>
    </row>
    <row r="45" spans="2:5">
      <c r="B45" s="430" t="s">
        <v>55</v>
      </c>
      <c r="C45" s="4">
        <v>235170</v>
      </c>
      <c r="D45" s="4">
        <v>306726</v>
      </c>
      <c r="E45" s="4">
        <v>322062.3</v>
      </c>
    </row>
    <row r="46" spans="2:5">
      <c r="B46" s="430" t="s">
        <v>402</v>
      </c>
      <c r="C46" s="4">
        <v>1110364.5559027777</v>
      </c>
      <c r="D46" s="4">
        <v>1443491.7593749999</v>
      </c>
      <c r="E46">
        <v>1522596.5132812499</v>
      </c>
    </row>
    <row r="47" spans="2:5">
      <c r="B47" s="430" t="s">
        <v>56</v>
      </c>
      <c r="C47" s="4">
        <v>14000</v>
      </c>
      <c r="D47" s="4">
        <v>19650</v>
      </c>
      <c r="E47" s="4">
        <v>22900</v>
      </c>
    </row>
    <row r="48" spans="2:5" ht="24.75">
      <c r="B48" s="430" t="s">
        <v>223</v>
      </c>
      <c r="C48" s="4">
        <v>15000</v>
      </c>
      <c r="D48" s="4">
        <v>12000</v>
      </c>
      <c r="E48" s="4">
        <v>12000</v>
      </c>
    </row>
    <row r="49" spans="2:5">
      <c r="B49" s="430" t="s">
        <v>225</v>
      </c>
      <c r="C49" s="4">
        <v>0</v>
      </c>
      <c r="D49" s="4">
        <v>12347.890625</v>
      </c>
      <c r="E49" s="4">
        <v>12965.28515625</v>
      </c>
    </row>
    <row r="50" spans="2:5">
      <c r="B50" s="428" t="s">
        <v>459</v>
      </c>
      <c r="C50" s="428">
        <f>SUM(C37:C49)</f>
        <v>1489074.139236111</v>
      </c>
      <c r="D50" s="428">
        <f t="shared" ref="D50:E50" si="2">SUM(D37:D49)</f>
        <v>1897524.5328124999</v>
      </c>
      <c r="E50" s="428">
        <f t="shared" si="2"/>
        <v>2000623.4253906249</v>
      </c>
    </row>
    <row r="52" spans="2:5">
      <c r="B52" s="433" t="s">
        <v>462</v>
      </c>
    </row>
    <row r="53" spans="2:5" ht="36.75">
      <c r="B53" s="430" t="s">
        <v>235</v>
      </c>
      <c r="C53" s="4">
        <v>7000</v>
      </c>
      <c r="D53" s="4">
        <v>10000</v>
      </c>
      <c r="E53" s="4">
        <v>12000</v>
      </c>
    </row>
    <row r="54" spans="2:5">
      <c r="B54" s="430" t="s">
        <v>64</v>
      </c>
      <c r="C54" s="4">
        <v>1018.0650000000001</v>
      </c>
      <c r="D54" s="4">
        <v>2185.5511666666666</v>
      </c>
      <c r="E54" s="4">
        <v>2322.2071583333336</v>
      </c>
    </row>
    <row r="55" spans="2:5" ht="24.75">
      <c r="B55" s="430" t="s">
        <v>65</v>
      </c>
      <c r="C55" s="4">
        <v>1018.0650000000001</v>
      </c>
      <c r="D55" s="4">
        <v>1092.7755833333333</v>
      </c>
      <c r="E55" s="4">
        <v>1161.1035791666668</v>
      </c>
    </row>
    <row r="56" spans="2:5" ht="24.75">
      <c r="B56" s="430" t="s">
        <v>239</v>
      </c>
      <c r="C56" s="4">
        <v>0</v>
      </c>
      <c r="D56" s="4">
        <v>32041.493750000001</v>
      </c>
      <c r="E56" s="4">
        <v>33643.568437499998</v>
      </c>
    </row>
    <row r="57" spans="2:5">
      <c r="B57" s="428" t="s">
        <v>459</v>
      </c>
      <c r="C57" s="428">
        <v>9036.130000000001</v>
      </c>
      <c r="D57" s="428">
        <v>45319.820500000002</v>
      </c>
      <c r="E57" s="428">
        <v>49126.879175000002</v>
      </c>
    </row>
    <row r="59" spans="2:5">
      <c r="B59" s="495" t="s">
        <v>469</v>
      </c>
      <c r="C59" s="428">
        <f>(C57+C50+C34+C19)*-1</f>
        <v>-3395883.8036361109</v>
      </c>
      <c r="D59" s="428">
        <f t="shared" ref="D59:E59" si="3">(D57+D50+D34+D19)*-1</f>
        <v>-3938278.5006769593</v>
      </c>
      <c r="E59" s="428">
        <f t="shared" si="3"/>
        <v>-4202438.724241904</v>
      </c>
    </row>
    <row r="60" spans="2:5">
      <c r="B60" s="430" t="s">
        <v>470</v>
      </c>
      <c r="C60" s="4">
        <f>C68*0.28*-1</f>
        <v>25370.451750000004</v>
      </c>
      <c r="D60" s="4">
        <f t="shared" ref="D60:E60" si="4">D68*0.28*-1</f>
        <v>33246.953249999999</v>
      </c>
      <c r="E60" s="4">
        <f t="shared" si="4"/>
        <v>39810.7045</v>
      </c>
    </row>
    <row r="61" spans="2:5">
      <c r="B61" s="430" t="s">
        <v>427</v>
      </c>
      <c r="C61" s="4">
        <v>-549243.34212222218</v>
      </c>
      <c r="D61" s="4">
        <v>-625194.03306142963</v>
      </c>
      <c r="E61" s="4">
        <v>-914683.3093790951</v>
      </c>
    </row>
    <row r="63" spans="2:5">
      <c r="B63" s="431" t="s">
        <v>9</v>
      </c>
      <c r="C63" s="428">
        <f>C6+C9+C59+C60+C61</f>
        <v>959074.28812666668</v>
      </c>
      <c r="D63" s="428">
        <f t="shared" ref="D63:E63" si="5">D6+D9+D59+D60+D61</f>
        <v>1889453.1242885573</v>
      </c>
      <c r="E63" s="428">
        <f t="shared" si="5"/>
        <v>2771136.1204968952</v>
      </c>
    </row>
    <row r="68" spans="2:5">
      <c r="B68" s="466" t="s">
        <v>159</v>
      </c>
      <c r="C68" s="466">
        <v>-90608.756250000006</v>
      </c>
      <c r="D68" s="466">
        <v>-118739.11874999999</v>
      </c>
      <c r="E68" s="466">
        <v>-142181.08749999999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7"/>
  <sheetViews>
    <sheetView topLeftCell="A60" zoomScale="132" zoomScaleNormal="160" zoomScalePageLayoutView="160" workbookViewId="0">
      <selection activeCell="A63" sqref="A63:A73"/>
    </sheetView>
  </sheetViews>
  <sheetFormatPr baseColWidth="10" defaultColWidth="10.875" defaultRowHeight="12"/>
  <cols>
    <col min="1" max="1" width="3" style="21" customWidth="1"/>
    <col min="2" max="2" width="66.375" style="21" customWidth="1"/>
    <col min="3" max="10" width="8" style="21" customWidth="1"/>
    <col min="11" max="16384" width="10.875" style="21"/>
  </cols>
  <sheetData>
    <row r="1" spans="2:10" ht="17.100000000000001" customHeight="1" thickBot="1">
      <c r="B1" s="35" t="s">
        <v>147</v>
      </c>
      <c r="C1" s="381">
        <v>2016</v>
      </c>
      <c r="D1" s="382"/>
      <c r="E1" s="381">
        <v>2017</v>
      </c>
      <c r="F1" s="382"/>
      <c r="G1" s="381">
        <v>2018</v>
      </c>
      <c r="H1" s="383"/>
      <c r="I1" s="381">
        <v>2019</v>
      </c>
      <c r="J1" s="382"/>
    </row>
    <row r="2" spans="2:10" ht="15.95" customHeight="1">
      <c r="B2" s="384" t="s">
        <v>67</v>
      </c>
      <c r="C2" s="386" t="s">
        <v>50</v>
      </c>
      <c r="D2" s="388" t="s">
        <v>240</v>
      </c>
      <c r="E2" s="386" t="s">
        <v>50</v>
      </c>
      <c r="F2" s="388" t="s">
        <v>240</v>
      </c>
      <c r="G2" s="386" t="s">
        <v>50</v>
      </c>
      <c r="H2" s="388" t="s">
        <v>240</v>
      </c>
      <c r="I2" s="386" t="s">
        <v>50</v>
      </c>
      <c r="J2" s="388" t="s">
        <v>240</v>
      </c>
    </row>
    <row r="3" spans="2:10" ht="18.95" customHeight="1" thickBot="1">
      <c r="B3" s="385"/>
      <c r="C3" s="387"/>
      <c r="D3" s="389"/>
      <c r="E3" s="387"/>
      <c r="F3" s="389"/>
      <c r="G3" s="387"/>
      <c r="H3" s="389"/>
      <c r="I3" s="387"/>
      <c r="J3" s="389"/>
    </row>
    <row r="4" spans="2:10" ht="18.95" customHeight="1" thickBot="1">
      <c r="B4" s="226" t="s">
        <v>269</v>
      </c>
      <c r="C4" s="227">
        <v>891</v>
      </c>
      <c r="D4" s="228"/>
      <c r="E4" s="227">
        <v>1204</v>
      </c>
      <c r="F4" s="276">
        <f>+E4/C4</f>
        <v>1.351290684624018</v>
      </c>
      <c r="G4" s="227">
        <v>1384</v>
      </c>
      <c r="H4" s="276">
        <f>+G4/E4</f>
        <v>1.1495016611295681</v>
      </c>
      <c r="I4" s="227">
        <v>1592</v>
      </c>
      <c r="J4" s="276">
        <f>+I4/G4</f>
        <v>1.1502890173410405</v>
      </c>
    </row>
    <row r="5" spans="2:10" ht="12.75" thickBot="1">
      <c r="B5" s="277" t="s">
        <v>369</v>
      </c>
      <c r="C5" s="289">
        <f>-C9/C4</f>
        <v>1024.8856053872055</v>
      </c>
      <c r="D5" s="228"/>
      <c r="E5" s="289">
        <f>-E9/E4</f>
        <v>423.75558139534888</v>
      </c>
      <c r="F5" s="228"/>
      <c r="G5" s="289">
        <f>-G9/G4</f>
        <v>417.44257004765041</v>
      </c>
      <c r="H5" s="228"/>
      <c r="I5" s="289">
        <f>-I9/I4</f>
        <v>419.40052678738601</v>
      </c>
      <c r="J5" s="228"/>
    </row>
    <row r="6" spans="2:10" ht="12.75" thickBot="1">
      <c r="B6" s="277" t="s">
        <v>370</v>
      </c>
      <c r="C6" s="289">
        <f>-C10/C4</f>
        <v>366.90081196969697</v>
      </c>
      <c r="D6" s="228"/>
      <c r="E6" s="289">
        <f>-E10/E4</f>
        <v>241.99063122923585</v>
      </c>
      <c r="F6" s="228"/>
      <c r="G6" s="289">
        <f>-G10/G4</f>
        <v>222.78339559248556</v>
      </c>
      <c r="H6" s="228"/>
      <c r="I6" s="289">
        <f>-I10/I4</f>
        <v>229.37822864321609</v>
      </c>
      <c r="J6" s="228"/>
    </row>
    <row r="7" spans="2:10" ht="18.95" customHeight="1" thickBot="1">
      <c r="B7" s="186"/>
      <c r="C7" s="225"/>
      <c r="D7" s="187"/>
      <c r="E7" s="225"/>
      <c r="F7" s="187"/>
      <c r="G7" s="225"/>
      <c r="H7" s="187"/>
      <c r="I7" s="225"/>
      <c r="J7" s="187"/>
    </row>
    <row r="8" spans="2:10" ht="12.75" thickBot="1">
      <c r="B8" s="22" t="s">
        <v>139</v>
      </c>
      <c r="C8" s="286">
        <f>+'TAA S.A. 2015-2016'!N24</f>
        <v>5151217.2849816252</v>
      </c>
      <c r="D8" s="287">
        <v>1</v>
      </c>
      <c r="E8" s="23">
        <f>+'PROYECCION DE VENTAS'!T54</f>
        <v>6118912.6799999997</v>
      </c>
      <c r="F8" s="294">
        <v>1</v>
      </c>
      <c r="G8" s="25">
        <f>+'PROYECCION DE VENTAS'!T108</f>
        <v>7221237.1447769459</v>
      </c>
      <c r="H8" s="24">
        <v>1</v>
      </c>
      <c r="I8" s="25">
        <f>+'PROYECCION DE VENTAS'!T162</f>
        <v>8734520.1860638428</v>
      </c>
      <c r="J8" s="24">
        <v>1</v>
      </c>
    </row>
    <row r="9" spans="2:10">
      <c r="B9" s="34" t="s">
        <v>191</v>
      </c>
      <c r="C9" s="292">
        <f>'TAA S.A. 2015-2016'!N27+'TAA S.A. 2015-2016'!N26</f>
        <v>-913173.07440000004</v>
      </c>
      <c r="D9" s="287">
        <f>+C9/C$8</f>
        <v>-0.17727325870379343</v>
      </c>
      <c r="E9" s="292">
        <f>-'PROYECCION DE VENTAS'!U54</f>
        <v>-510201.72000000003</v>
      </c>
      <c r="F9" s="295">
        <f>+E9/E$8</f>
        <v>-8.3381108161197037E-2</v>
      </c>
      <c r="G9" s="292">
        <f>-'PROYECCION DE VENTAS'!U108</f>
        <v>-577740.51694594813</v>
      </c>
      <c r="H9" s="287">
        <f>+G9/G$8</f>
        <v>-8.0005753219698994E-2</v>
      </c>
      <c r="I9" s="292">
        <f>-'PROYECCION DE VENTAS'!U162</f>
        <v>-667685.63864551857</v>
      </c>
      <c r="J9" s="287">
        <f>+I9/I$8</f>
        <v>-7.6442165616701946E-2</v>
      </c>
    </row>
    <row r="10" spans="2:10" ht="12.75" thickBot="1">
      <c r="B10" s="34" t="s">
        <v>152</v>
      </c>
      <c r="C10" s="293">
        <f>+'TAA S.A. 2015-2016'!N27*0.45</f>
        <v>-326908.62346500001</v>
      </c>
      <c r="D10" s="290">
        <f>+C10/C$8</f>
        <v>-6.346240225938482E-2</v>
      </c>
      <c r="E10" s="293">
        <v>-291356.71999999997</v>
      </c>
      <c r="F10" s="297">
        <f>+E10/E$8</f>
        <v>-4.761576692413267E-2</v>
      </c>
      <c r="G10" s="293">
        <v>-308332.21950000001</v>
      </c>
      <c r="H10" s="290">
        <f>+G10/G$8</f>
        <v>-4.2697977274297638E-2</v>
      </c>
      <c r="I10" s="293">
        <v>-365170.14</v>
      </c>
      <c r="J10" s="290">
        <f>+I10/I$8</f>
        <v>-4.1807693178457429E-2</v>
      </c>
    </row>
    <row r="11" spans="2:10" ht="12.75" thickBot="1">
      <c r="B11" s="22" t="s">
        <v>20</v>
      </c>
      <c r="C11" s="291">
        <f>+SUM(C8:C10)</f>
        <v>3911135.5871166247</v>
      </c>
      <c r="D11" s="290">
        <f>+C11/C$8</f>
        <v>0.75926433903682167</v>
      </c>
      <c r="E11" s="23">
        <f>+SUM(E8:E10)</f>
        <v>5317354.24</v>
      </c>
      <c r="F11" s="294">
        <f>+E11/E$8</f>
        <v>0.86900312491467036</v>
      </c>
      <c r="G11" s="23">
        <f>+SUM(G8:G10)</f>
        <v>6335164.4083309984</v>
      </c>
      <c r="H11" s="24">
        <f>+G11/G$8</f>
        <v>0.87729626950600348</v>
      </c>
      <c r="I11" s="23">
        <f>+SUM(I8:I10)</f>
        <v>7701664.4074183246</v>
      </c>
      <c r="J11" s="24">
        <f>+I11/I$8</f>
        <v>0.88175014120484063</v>
      </c>
    </row>
    <row r="12" spans="2:10" ht="12.75" thickBot="1">
      <c r="B12" s="34"/>
      <c r="C12" s="29"/>
      <c r="D12" s="30"/>
      <c r="E12" s="29"/>
      <c r="F12" s="298"/>
      <c r="G12" s="31"/>
      <c r="H12" s="30"/>
      <c r="I12" s="31"/>
      <c r="J12" s="30"/>
    </row>
    <row r="13" spans="2:10">
      <c r="B13" s="285" t="s">
        <v>373</v>
      </c>
      <c r="C13" s="286"/>
      <c r="D13" s="287"/>
      <c r="E13" s="286"/>
      <c r="F13" s="295"/>
      <c r="G13" s="286"/>
      <c r="H13" s="287"/>
      <c r="I13" s="286"/>
      <c r="J13" s="287"/>
    </row>
    <row r="14" spans="2:10">
      <c r="B14" s="34" t="s">
        <v>375</v>
      </c>
      <c r="C14" s="28">
        <f>-'Ppto MKT'!C2</f>
        <v>0</v>
      </c>
      <c r="D14" s="296">
        <f t="shared" ref="D14:J73" si="0">+C14/C$8</f>
        <v>0</v>
      </c>
      <c r="E14" s="28">
        <f>-'Ppto MKT'!D2</f>
        <v>-39900</v>
      </c>
      <c r="F14" s="296">
        <f t="shared" si="0"/>
        <v>-6.5207663659616081E-3</v>
      </c>
      <c r="G14" s="28">
        <f>-'Ppto MKT'!E2</f>
        <v>-11117.97</v>
      </c>
      <c r="H14" s="296">
        <f t="shared" si="0"/>
        <v>-1.5396212279278937E-3</v>
      </c>
      <c r="I14" s="28">
        <f>-'Ppto MKT'!F2</f>
        <v>-8935.94</v>
      </c>
      <c r="J14" s="296">
        <f t="shared" si="0"/>
        <v>-1.02306020361113E-3</v>
      </c>
    </row>
    <row r="15" spans="2:10">
      <c r="B15" s="321" t="s">
        <v>228</v>
      </c>
      <c r="C15" s="28">
        <f>-'Ppto MKT'!C3</f>
        <v>0</v>
      </c>
      <c r="D15" s="296">
        <f t="shared" si="0"/>
        <v>0</v>
      </c>
      <c r="E15" s="28">
        <f>-'Ppto MKT'!D3</f>
        <v>-8015.5844000000006</v>
      </c>
      <c r="F15" s="296">
        <f t="shared" si="0"/>
        <v>-1.3099687508532972E-3</v>
      </c>
      <c r="G15" s="28">
        <f>-'Ppto MKT'!E3</f>
        <v>-8860.7273644594825</v>
      </c>
      <c r="H15" s="296">
        <f t="shared" si="0"/>
        <v>-1.2270373049399666E-3</v>
      </c>
      <c r="I15" s="28">
        <f>-'Ppto MKT'!F3</f>
        <v>-10328.557786455185</v>
      </c>
      <c r="J15" s="296">
        <f t="shared" si="0"/>
        <v>-1.1824985879515936E-3</v>
      </c>
    </row>
    <row r="16" spans="2:10">
      <c r="B16" s="323" t="s">
        <v>230</v>
      </c>
      <c r="C16" s="28">
        <f>-'Ppto MKT'!C4</f>
        <v>0</v>
      </c>
      <c r="D16" s="296">
        <f t="shared" si="0"/>
        <v>0</v>
      </c>
      <c r="E16" s="28">
        <f>-'Ppto MKT'!D4</f>
        <v>-18198.274011299436</v>
      </c>
      <c r="F16" s="296">
        <f t="shared" si="0"/>
        <v>-2.9741025837452281E-3</v>
      </c>
      <c r="G16" s="28">
        <f>-'Ppto MKT'!E4</f>
        <v>-19098.865677966103</v>
      </c>
      <c r="H16" s="296">
        <f t="shared" si="0"/>
        <v>-2.6448190656333916E-3</v>
      </c>
      <c r="I16" s="28">
        <f>-'Ppto MKT'!F4</f>
        <v>-20044.486927966103</v>
      </c>
      <c r="J16" s="296">
        <f t="shared" si="0"/>
        <v>-2.2948583895824764E-3</v>
      </c>
    </row>
    <row r="17" spans="2:10">
      <c r="B17" s="34" t="s">
        <v>59</v>
      </c>
      <c r="C17" s="28">
        <f>-'Ppto MKT'!C5</f>
        <v>0</v>
      </c>
      <c r="D17" s="296">
        <f t="shared" si="0"/>
        <v>0</v>
      </c>
      <c r="E17" s="28">
        <f>-'Ppto MKT'!D5</f>
        <v>-14458.390625</v>
      </c>
      <c r="F17" s="296">
        <f t="shared" si="0"/>
        <v>-2.3629019371788126E-3</v>
      </c>
      <c r="G17" s="28">
        <f>-'Ppto MKT'!E5</f>
        <v>-15181.310156250001</v>
      </c>
      <c r="H17" s="296">
        <f t="shared" si="0"/>
        <v>-2.1023143059677113E-3</v>
      </c>
      <c r="I17" s="28">
        <f>-'Ppto MKT'!F5</f>
        <v>0</v>
      </c>
      <c r="J17" s="296">
        <f t="shared" si="0"/>
        <v>0</v>
      </c>
    </row>
    <row r="18" spans="2:10">
      <c r="B18" s="325" t="s">
        <v>62</v>
      </c>
      <c r="C18" s="28">
        <f>-'Ppto MKT'!C6</f>
        <v>0</v>
      </c>
      <c r="D18" s="296">
        <f t="shared" si="0"/>
        <v>0</v>
      </c>
      <c r="E18" s="28">
        <f>-'Ppto MKT'!D6</f>
        <v>-28676.069791666669</v>
      </c>
      <c r="F18" s="296">
        <f t="shared" si="0"/>
        <v>-4.6864649475054565E-3</v>
      </c>
      <c r="G18" s="28">
        <f>-'Ppto MKT'!E6</f>
        <v>-57649.731250000004</v>
      </c>
      <c r="H18" s="296">
        <f t="shared" si="0"/>
        <v>-7.9833593737739968E-3</v>
      </c>
      <c r="I18" s="28">
        <f>-'Ppto MKT'!F6</f>
        <v>-60788.890624999993</v>
      </c>
      <c r="J18" s="296">
        <f t="shared" si="0"/>
        <v>-6.9596141894537342E-3</v>
      </c>
    </row>
    <row r="19" spans="2:10">
      <c r="B19" s="34" t="s">
        <v>60</v>
      </c>
      <c r="C19" s="28">
        <f>-'Ppto MKT'!C7-130000</f>
        <v>-236364.15</v>
      </c>
      <c r="D19" s="296">
        <f t="shared" si="0"/>
        <v>-4.588510577667141E-2</v>
      </c>
      <c r="E19" s="28">
        <f>-'Ppto MKT'!D7</f>
        <v>-511432.65</v>
      </c>
      <c r="F19" s="296">
        <f t="shared" si="0"/>
        <v>-8.3582276255002877E-2</v>
      </c>
      <c r="G19" s="28">
        <f>-'Ppto MKT'!E7</f>
        <v>-586826.44999999995</v>
      </c>
      <c r="H19" s="296">
        <f t="shared" si="0"/>
        <v>-8.1263977104594348E-2</v>
      </c>
      <c r="I19" s="28">
        <f>-'Ppto MKT'!F7</f>
        <v>-695991.15</v>
      </c>
      <c r="J19" s="296">
        <f t="shared" si="0"/>
        <v>-7.9682814301634139E-2</v>
      </c>
    </row>
    <row r="20" spans="2:10">
      <c r="B20" s="34" t="s">
        <v>61</v>
      </c>
      <c r="C20" s="28">
        <f>-'Ppto MKT'!C8</f>
        <v>-38634.089999999997</v>
      </c>
      <c r="D20" s="296">
        <f t="shared" si="0"/>
        <v>-7.4999923052435956E-3</v>
      </c>
      <c r="E20" s="28">
        <f>-'Ppto MKT'!D8</f>
        <v>-64320</v>
      </c>
      <c r="F20" s="296">
        <f t="shared" si="0"/>
        <v>-1.0511671495204275E-2</v>
      </c>
      <c r="G20" s="28">
        <f>-'Ppto MKT'!E8</f>
        <v>-73968</v>
      </c>
      <c r="H20" s="296">
        <f t="shared" si="0"/>
        <v>-1.0243120190769579E-2</v>
      </c>
      <c r="I20" s="28">
        <f>-'Ppto MKT'!F8</f>
        <v>-81364.800000000003</v>
      </c>
      <c r="J20" s="296">
        <f t="shared" si="0"/>
        <v>-9.3153142092246444E-3</v>
      </c>
    </row>
    <row r="21" spans="2:10">
      <c r="B21" s="34" t="s">
        <v>234</v>
      </c>
      <c r="C21" s="28">
        <f>-'Ppto MKT'!C9</f>
        <v>-57951.194456043282</v>
      </c>
      <c r="D21" s="296">
        <f t="shared" si="0"/>
        <v>-1.125E-2</v>
      </c>
      <c r="E21" s="28">
        <f>-'Ppto MKT'!D9</f>
        <v>-76486.408500000005</v>
      </c>
      <c r="F21" s="296">
        <f t="shared" si="0"/>
        <v>-1.2500000000000001E-2</v>
      </c>
      <c r="G21" s="28">
        <f>-'Ppto MKT'!E9</f>
        <v>-90265.464309711824</v>
      </c>
      <c r="H21" s="296">
        <f t="shared" si="0"/>
        <v>-1.2500000000000001E-2</v>
      </c>
      <c r="I21" s="28">
        <f>-'Ppto MKT'!F9</f>
        <v>-109181.50232579804</v>
      </c>
      <c r="J21" s="296">
        <f t="shared" si="0"/>
        <v>-1.2500000000000001E-2</v>
      </c>
    </row>
    <row r="22" spans="2:10">
      <c r="B22" s="34" t="s">
        <v>63</v>
      </c>
      <c r="C22" s="28">
        <f>-'Ppto MKT'!C10</f>
        <v>0</v>
      </c>
      <c r="D22" s="296">
        <f t="shared" si="0"/>
        <v>0</v>
      </c>
      <c r="E22" s="28">
        <f>-'Ppto MKT'!D10</f>
        <v>-26600</v>
      </c>
      <c r="F22" s="296">
        <f t="shared" si="0"/>
        <v>-4.3471775773077388E-3</v>
      </c>
      <c r="G22" s="28">
        <f>-'Ppto MKT'!E10</f>
        <v>-29925</v>
      </c>
      <c r="H22" s="296">
        <f t="shared" si="0"/>
        <v>-4.1440267643951395E-3</v>
      </c>
      <c r="I22" s="28">
        <f>-'Ppto MKT'!F10</f>
        <v>-34915</v>
      </c>
      <c r="J22" s="296">
        <f t="shared" si="0"/>
        <v>-3.9973575257983606E-3</v>
      </c>
    </row>
    <row r="23" spans="2:10">
      <c r="B23" s="34" t="s">
        <v>410</v>
      </c>
      <c r="C23" s="28">
        <f>-'Ppto MKT'!C11</f>
        <v>-199609.4055439567</v>
      </c>
      <c r="D23" s="296">
        <f t="shared" si="0"/>
        <v>-3.8749948701623974E-2</v>
      </c>
      <c r="E23" s="28">
        <f>-'Ppto MKT'!D11</f>
        <v>-165283.09149999998</v>
      </c>
      <c r="F23" s="296">
        <f t="shared" si="0"/>
        <v>-2.7011840198379818E-2</v>
      </c>
      <c r="G23" s="28">
        <f>-'Ppto MKT'!E11</f>
        <v>-284197.53569028818</v>
      </c>
      <c r="H23" s="296">
        <f t="shared" si="0"/>
        <v>-3.9355795965770997E-2</v>
      </c>
      <c r="I23" s="28">
        <f>-'Ppto MKT'!F11</f>
        <v>-330544.5</v>
      </c>
      <c r="J23" s="296">
        <f t="shared" si="0"/>
        <v>-3.7843463974975115E-2</v>
      </c>
    </row>
    <row r="24" spans="2:10">
      <c r="B24" s="283" t="s">
        <v>380</v>
      </c>
      <c r="C24" s="284">
        <f>+SUM(C14:C23)</f>
        <v>-532558.84</v>
      </c>
      <c r="D24" s="300">
        <f t="shared" si="0"/>
        <v>-0.10338504678353898</v>
      </c>
      <c r="E24" s="284">
        <f>+SUM(E14:E23)</f>
        <v>-953370.46882796613</v>
      </c>
      <c r="F24" s="300">
        <f t="shared" si="0"/>
        <v>-0.15580717011113912</v>
      </c>
      <c r="G24" s="284">
        <f>+SUM(G14:G23)</f>
        <v>-1177091.0544486756</v>
      </c>
      <c r="H24" s="300">
        <f t="shared" si="0"/>
        <v>-0.16300407130377303</v>
      </c>
      <c r="I24" s="284">
        <f>+SUM(I14:I23)</f>
        <v>-1352094.8276652195</v>
      </c>
      <c r="J24" s="300">
        <f t="shared" si="0"/>
        <v>-0.15479898138223122</v>
      </c>
    </row>
    <row r="25" spans="2:10">
      <c r="B25" s="34" t="s">
        <v>376</v>
      </c>
      <c r="C25" s="28"/>
      <c r="D25" s="296"/>
      <c r="E25" s="28"/>
      <c r="F25" s="296"/>
      <c r="G25" s="28"/>
      <c r="H25" s="296"/>
      <c r="I25" s="28"/>
      <c r="J25" s="296"/>
    </row>
    <row r="26" spans="2:10" ht="24">
      <c r="B26" s="326" t="s">
        <v>40</v>
      </c>
      <c r="C26" s="28">
        <f>-'Ppto Operaciones'!C2</f>
        <v>-1966.1822415865381</v>
      </c>
      <c r="D26" s="296">
        <f t="shared" si="0"/>
        <v>-3.81692740339054E-4</v>
      </c>
      <c r="E26" s="28">
        <f>-'Ppto Operaciones'!D2</f>
        <v>-3578.1971265135335</v>
      </c>
      <c r="F26" s="296">
        <f t="shared" si="0"/>
        <v>-5.8477662840475994E-4</v>
      </c>
      <c r="G26" s="28">
        <f>-'Ppto Operaciones'!E2</f>
        <v>-4318.8007178151711</v>
      </c>
      <c r="H26" s="296">
        <f t="shared" si="0"/>
        <v>-5.9806936557109467E-4</v>
      </c>
      <c r="I26" s="28">
        <f>-'Ppto Operaciones'!F2</f>
        <v>-5216.2624854767646</v>
      </c>
      <c r="J26" s="296">
        <f t="shared" si="0"/>
        <v>-5.9720080489360466E-4</v>
      </c>
    </row>
    <row r="27" spans="2:10" ht="24">
      <c r="B27" s="326" t="s">
        <v>41</v>
      </c>
      <c r="C27" s="28">
        <f>-'Ppto Operaciones'!C3</f>
        <v>-1179.709344951923</v>
      </c>
      <c r="D27" s="296">
        <f t="shared" si="0"/>
        <v>-2.2901564420343241E-4</v>
      </c>
      <c r="E27" s="28">
        <f>-'Ppto Operaciones'!D3</f>
        <v>-2146.91827590812</v>
      </c>
      <c r="F27" s="296">
        <f t="shared" si="0"/>
        <v>-3.5086597704285592E-4</v>
      </c>
      <c r="G27" s="28">
        <f>-'Ppto Operaciones'!E3</f>
        <v>-2591.2804306891026</v>
      </c>
      <c r="H27" s="296">
        <f t="shared" si="0"/>
        <v>-3.5884161934265679E-4</v>
      </c>
      <c r="I27" s="28">
        <f>-'Ppto Operaciones'!F3</f>
        <v>-3129.7574912860587</v>
      </c>
      <c r="J27" s="296">
        <f t="shared" si="0"/>
        <v>-3.5832048293616282E-4</v>
      </c>
    </row>
    <row r="28" spans="2:10">
      <c r="B28" s="328" t="s">
        <v>42</v>
      </c>
      <c r="C28" s="28">
        <f>-'Ppto Operaciones'!C4</f>
        <v>0</v>
      </c>
      <c r="D28" s="296">
        <f t="shared" si="0"/>
        <v>0</v>
      </c>
      <c r="E28" s="28">
        <f>-'Ppto Operaciones'!D4</f>
        <v>-2046.1910056089746</v>
      </c>
      <c r="F28" s="296">
        <f t="shared" si="0"/>
        <v>-3.344043480628612E-4</v>
      </c>
      <c r="G28" s="28">
        <f>-'Ppto Operaciones'!E4</f>
        <v>-2524.7085458956553</v>
      </c>
      <c r="H28" s="296">
        <f t="shared" si="0"/>
        <v>-3.496227163404755E-4</v>
      </c>
      <c r="I28" s="28">
        <f>-'Ppto Operaciones'!F4</f>
        <v>-3085.7320012575678</v>
      </c>
      <c r="J28" s="296">
        <f t="shared" si="0"/>
        <v>-3.5328008127806889E-4</v>
      </c>
    </row>
    <row r="29" spans="2:10" ht="24">
      <c r="B29" s="326" t="s">
        <v>49</v>
      </c>
      <c r="C29" s="28">
        <f>-'Ppto Operaciones'!C5</f>
        <v>0</v>
      </c>
      <c r="D29" s="296">
        <f t="shared" si="0"/>
        <v>0</v>
      </c>
      <c r="E29" s="28">
        <f>-'Ppto Operaciones'!D5</f>
        <v>-409.23820112179493</v>
      </c>
      <c r="F29" s="296">
        <f t="shared" si="0"/>
        <v>-6.6880869612572243E-5</v>
      </c>
      <c r="G29" s="28">
        <f>-'Ppto Operaciones'!E5</f>
        <v>-504.94170917913112</v>
      </c>
      <c r="H29" s="296">
        <f t="shared" si="0"/>
        <v>-6.9924543268095105E-5</v>
      </c>
      <c r="I29" s="28">
        <f>-'Ppto Operaciones'!F5</f>
        <v>-617.14640025151357</v>
      </c>
      <c r="J29" s="296">
        <f t="shared" si="0"/>
        <v>-7.0656016255613781E-5</v>
      </c>
    </row>
    <row r="30" spans="2:10" ht="24">
      <c r="B30" s="326" t="s">
        <v>43</v>
      </c>
      <c r="C30" s="28">
        <f>-'Ppto Operaciones'!C6</f>
        <v>0</v>
      </c>
      <c r="D30" s="296">
        <f t="shared" si="0"/>
        <v>0</v>
      </c>
      <c r="E30" s="28">
        <f>-'Ppto Operaciones'!D6</f>
        <v>-9215.1537237357552</v>
      </c>
      <c r="F30" s="296">
        <f t="shared" si="0"/>
        <v>-1.5060116405739845E-3</v>
      </c>
      <c r="G30" s="28">
        <f>-'Ppto Operaciones'!E6</f>
        <v>-11122.476238648505</v>
      </c>
      <c r="H30" s="296">
        <f t="shared" si="0"/>
        <v>-1.540245253778058E-3</v>
      </c>
      <c r="I30" s="28">
        <f>-'Ppto Operaciones'!F6</f>
        <v>-13433.765376101765</v>
      </c>
      <c r="J30" s="296">
        <f t="shared" si="0"/>
        <v>-1.5380083954165784E-3</v>
      </c>
    </row>
    <row r="31" spans="2:10">
      <c r="B31" s="326" t="s">
        <v>44</v>
      </c>
      <c r="C31" s="28">
        <f>-'Ppto Operaciones'!C7</f>
        <v>0</v>
      </c>
      <c r="D31" s="296">
        <f t="shared" si="0"/>
        <v>0</v>
      </c>
      <c r="E31" s="28">
        <f>-'Ppto Operaciones'!D7</f>
        <v>-11058.184468482905</v>
      </c>
      <c r="F31" s="296">
        <f t="shared" si="0"/>
        <v>-1.8072139686887811E-3</v>
      </c>
      <c r="G31" s="28">
        <f>-'Ppto Operaciones'!E7</f>
        <v>-13346.971486378205</v>
      </c>
      <c r="H31" s="296">
        <f t="shared" si="0"/>
        <v>-1.8482943045336692E-3</v>
      </c>
      <c r="I31" s="28">
        <f>-'Ppto Operaciones'!F7</f>
        <v>-16120.518451322117</v>
      </c>
      <c r="J31" s="296">
        <f t="shared" si="0"/>
        <v>-1.845610074499894E-3</v>
      </c>
    </row>
    <row r="32" spans="2:10" ht="24">
      <c r="B32" s="326" t="s">
        <v>197</v>
      </c>
      <c r="C32" s="28">
        <f>-'Ppto Operaciones'!C8</f>
        <v>0</v>
      </c>
      <c r="D32" s="296">
        <f t="shared" si="0"/>
        <v>0</v>
      </c>
      <c r="E32" s="28">
        <f>-'Ppto Operaciones'!D8</f>
        <v>-5529.0922342414524</v>
      </c>
      <c r="F32" s="296">
        <f t="shared" si="0"/>
        <v>-9.0360698434439055E-4</v>
      </c>
      <c r="G32" s="28">
        <f>-'Ppto Operaciones'!E8</f>
        <v>-6673.4857431891023</v>
      </c>
      <c r="H32" s="296">
        <f t="shared" si="0"/>
        <v>-9.2414715226683461E-4</v>
      </c>
      <c r="I32" s="28">
        <f>-'Ppto Operaciones'!F8</f>
        <v>-8060.2592256610587</v>
      </c>
      <c r="J32" s="296">
        <f t="shared" si="0"/>
        <v>-9.2280503724994701E-4</v>
      </c>
    </row>
    <row r="33" spans="2:10" ht="24">
      <c r="B33" s="326" t="s">
        <v>45</v>
      </c>
      <c r="C33" s="28">
        <f>-'Ppto Operaciones'!C9</f>
        <v>0</v>
      </c>
      <c r="D33" s="296">
        <f t="shared" si="0"/>
        <v>0</v>
      </c>
      <c r="E33" s="28">
        <f>-'Ppto Operaciones'!D9</f>
        <v>-5529.0922342414524</v>
      </c>
      <c r="F33" s="296">
        <f t="shared" si="0"/>
        <v>-9.0360698434439055E-4</v>
      </c>
      <c r="G33" s="28">
        <f>-'Ppto Operaciones'!E9</f>
        <v>-6673.4857431891023</v>
      </c>
      <c r="H33" s="296">
        <f t="shared" si="0"/>
        <v>-9.2414715226683461E-4</v>
      </c>
      <c r="I33" s="28">
        <f>-'Ppto Operaciones'!F9</f>
        <v>-8060.2592256610587</v>
      </c>
      <c r="J33" s="296">
        <f t="shared" si="0"/>
        <v>-9.2280503724994701E-4</v>
      </c>
    </row>
    <row r="34" spans="2:10">
      <c r="B34" s="326" t="s">
        <v>46</v>
      </c>
      <c r="C34" s="28">
        <f>-'Ppto Operaciones'!C10</f>
        <v>-14745.854617498553</v>
      </c>
      <c r="D34" s="296">
        <f t="shared" si="0"/>
        <v>-2.8625961208217899E-3</v>
      </c>
      <c r="E34" s="28">
        <f>-'Ppto Operaciones'!D10</f>
        <v>-13822.730585603631</v>
      </c>
      <c r="F34" s="296">
        <f t="shared" si="0"/>
        <v>-2.2590174608609764E-3</v>
      </c>
      <c r="G34" s="28">
        <f>-'Ppto Operaciones'!E10</f>
        <v>-16683.714357972756</v>
      </c>
      <c r="H34" s="296">
        <f t="shared" si="0"/>
        <v>-2.3103678806670868E-3</v>
      </c>
      <c r="I34" s="28">
        <f>-'Ppto Operaciones'!F10</f>
        <v>-20150.648064152643</v>
      </c>
      <c r="J34" s="296">
        <f t="shared" si="0"/>
        <v>-2.3070125931248671E-3</v>
      </c>
    </row>
    <row r="35" spans="2:10">
      <c r="B35" s="326" t="s">
        <v>47</v>
      </c>
      <c r="C35" s="28">
        <f>-'Ppto Operaciones'!C11</f>
        <v>0</v>
      </c>
      <c r="D35" s="296">
        <f t="shared" si="0"/>
        <v>0</v>
      </c>
      <c r="E35" s="28">
        <f>-'Ppto Operaciones'!D11</f>
        <v>-9215.1537237357552</v>
      </c>
      <c r="F35" s="296">
        <f t="shared" si="0"/>
        <v>-1.5060116405739845E-3</v>
      </c>
      <c r="G35" s="28">
        <f>-'Ppto Operaciones'!E11</f>
        <v>-11122.476238648505</v>
      </c>
      <c r="H35" s="296">
        <f t="shared" si="0"/>
        <v>-1.540245253778058E-3</v>
      </c>
      <c r="I35" s="28">
        <f>-'Ppto Operaciones'!F11</f>
        <v>-13433.765376101765</v>
      </c>
      <c r="J35" s="296">
        <f t="shared" si="0"/>
        <v>-1.5380083954165784E-3</v>
      </c>
    </row>
    <row r="36" spans="2:10" ht="24">
      <c r="B36" s="326" t="s">
        <v>48</v>
      </c>
      <c r="C36" s="28">
        <f>-'Ppto Operaciones'!C12</f>
        <v>0</v>
      </c>
      <c r="D36" s="296">
        <f t="shared" si="0"/>
        <v>0</v>
      </c>
      <c r="E36" s="28">
        <f>-'Ppto Operaciones'!D12</f>
        <v>-1843.0307447471507</v>
      </c>
      <c r="F36" s="296">
        <f t="shared" si="0"/>
        <v>-3.0120232811479681E-4</v>
      </c>
      <c r="G36" s="28">
        <f>-'Ppto Operaciones'!E12</f>
        <v>-2224.4952477297011</v>
      </c>
      <c r="H36" s="296">
        <f t="shared" si="0"/>
        <v>-3.0804905075561159E-4</v>
      </c>
      <c r="I36" s="28">
        <f>-'Ppto Operaciones'!F12</f>
        <v>-2686.7530752203525</v>
      </c>
      <c r="J36" s="296">
        <f t="shared" si="0"/>
        <v>-3.0760167908331563E-4</v>
      </c>
    </row>
    <row r="37" spans="2:10">
      <c r="B37" s="327" t="s">
        <v>208</v>
      </c>
      <c r="C37" s="26">
        <f>-'Ppto Operaciones'!C18</f>
        <v>0</v>
      </c>
      <c r="D37" s="299">
        <f t="shared" si="0"/>
        <v>0</v>
      </c>
      <c r="E37" s="26">
        <f>-'Ppto Operaciones'!D18</f>
        <v>-19800</v>
      </c>
      <c r="F37" s="299">
        <f t="shared" si="0"/>
        <v>-3.2358690237102713E-3</v>
      </c>
      <c r="G37" s="26">
        <f>-'Ppto Operaciones'!E13</f>
        <v>-16250</v>
      </c>
      <c r="H37" s="299">
        <f t="shared" si="0"/>
        <v>-2.2503069313758064E-3</v>
      </c>
      <c r="I37" s="26">
        <f>-'Ppto Operaciones'!F13</f>
        <v>0</v>
      </c>
      <c r="J37" s="299">
        <f t="shared" si="0"/>
        <v>0</v>
      </c>
    </row>
    <row r="38" spans="2:10">
      <c r="B38" s="282" t="s">
        <v>381</v>
      </c>
      <c r="C38" s="26">
        <f>+SUM(C26:C37)</f>
        <v>-17891.746204037016</v>
      </c>
      <c r="D38" s="299">
        <f t="shared" si="0"/>
        <v>-3.4733045053642764E-3</v>
      </c>
      <c r="E38" s="26">
        <f>+SUM(E26:E37)</f>
        <v>-84192.982323940523</v>
      </c>
      <c r="F38" s="299">
        <f t="shared" si="0"/>
        <v>-1.3759467854334625E-2</v>
      </c>
      <c r="G38" s="26">
        <f>+SUM(G26:G37)</f>
        <v>-94036.83645933494</v>
      </c>
      <c r="H38" s="299">
        <f t="shared" si="0"/>
        <v>-1.3022261223944282E-2</v>
      </c>
      <c r="I38" s="26">
        <f>+SUM(I26:I37)</f>
        <v>-93994.867172492653</v>
      </c>
      <c r="J38" s="299">
        <f t="shared" si="0"/>
        <v>-1.0761308597404576E-2</v>
      </c>
    </row>
    <row r="39" spans="2:10">
      <c r="B39" s="34" t="s">
        <v>378</v>
      </c>
      <c r="C39" s="28"/>
      <c r="D39" s="296"/>
      <c r="E39" s="28"/>
      <c r="F39" s="296"/>
      <c r="G39" s="28"/>
      <c r="H39" s="296"/>
      <c r="I39" s="28"/>
      <c r="J39" s="296"/>
    </row>
    <row r="40" spans="2:10">
      <c r="B40" s="34" t="s">
        <v>212</v>
      </c>
      <c r="C40" s="28">
        <f>-'Ppto RRHH'!C2</f>
        <v>0</v>
      </c>
      <c r="D40" s="296">
        <f t="shared" si="0"/>
        <v>0</v>
      </c>
      <c r="E40" s="28">
        <f>-'Ppto RRHH'!D2</f>
        <v>-17639.84375</v>
      </c>
      <c r="F40" s="296">
        <f t="shared" si="0"/>
        <v>-2.8828395946320319E-3</v>
      </c>
      <c r="G40" s="28">
        <f>-'Ppto RRHH'!E2</f>
        <v>-4939.15625</v>
      </c>
      <c r="H40" s="296">
        <f t="shared" si="0"/>
        <v>-6.8397646427834687E-4</v>
      </c>
      <c r="I40" s="28">
        <f>-'Ppto RRHH'!F2</f>
        <v>-5186.1140624999998</v>
      </c>
      <c r="J40" s="296">
        <f t="shared" si="0"/>
        <v>-5.9374916446750924E-4</v>
      </c>
    </row>
    <row r="41" spans="2:10">
      <c r="B41" s="34" t="s">
        <v>52</v>
      </c>
      <c r="C41" s="28">
        <f>-'Ppto RRHH'!C3</f>
        <v>0</v>
      </c>
      <c r="D41" s="296">
        <f t="shared" si="0"/>
        <v>0</v>
      </c>
      <c r="E41" s="28">
        <f>-'Ppto RRHH'!D3</f>
        <v>-17639.84375</v>
      </c>
      <c r="F41" s="296">
        <f t="shared" si="0"/>
        <v>-2.8828395946320319E-3</v>
      </c>
      <c r="G41" s="28">
        <f>-'Ppto RRHH'!E3</f>
        <v>-4939.15625</v>
      </c>
      <c r="H41" s="296">
        <f t="shared" si="0"/>
        <v>-6.8397646427834687E-4</v>
      </c>
      <c r="I41" s="28">
        <f>-'Ppto RRHH'!F3</f>
        <v>-5186.1140624999998</v>
      </c>
      <c r="J41" s="296">
        <f t="shared" si="0"/>
        <v>-5.9374916446750924E-4</v>
      </c>
    </row>
    <row r="42" spans="2:10">
      <c r="B42" s="34" t="s">
        <v>214</v>
      </c>
      <c r="C42" s="28">
        <f>-'Ppto RRHH'!C4</f>
        <v>0</v>
      </c>
      <c r="D42" s="296">
        <f t="shared" si="0"/>
        <v>0</v>
      </c>
      <c r="E42" s="28">
        <f>-'Ppto RRHH'!D4</f>
        <v>-5879.947916666667</v>
      </c>
      <c r="F42" s="296">
        <f t="shared" si="0"/>
        <v>-9.609465315440107E-4</v>
      </c>
      <c r="G42" s="28">
        <f>-'Ppto RRHH'!E4</f>
        <v>-6173.9453125</v>
      </c>
      <c r="H42" s="296">
        <f t="shared" si="0"/>
        <v>-8.5497058034793348E-4</v>
      </c>
      <c r="I42" s="28">
        <f>-'Ppto RRHH'!F4</f>
        <v>-6482.642578125</v>
      </c>
      <c r="J42" s="296">
        <f t="shared" si="0"/>
        <v>-7.4218645558438655E-4</v>
      </c>
    </row>
    <row r="43" spans="2:10">
      <c r="B43" s="34" t="s">
        <v>53</v>
      </c>
      <c r="C43" s="28">
        <f>-'Ppto RRHH'!C5</f>
        <v>0</v>
      </c>
      <c r="D43" s="296">
        <f t="shared" si="0"/>
        <v>0</v>
      </c>
      <c r="E43" s="28">
        <f>-'Ppto RRHH'!D5</f>
        <v>-17639.84375</v>
      </c>
      <c r="F43" s="296">
        <f t="shared" si="0"/>
        <v>-2.8828395946320319E-3</v>
      </c>
      <c r="G43" s="28">
        <f>-'Ppto RRHH'!E5</f>
        <v>-4939.15625</v>
      </c>
      <c r="H43" s="296">
        <f t="shared" si="0"/>
        <v>-6.8397646427834687E-4</v>
      </c>
      <c r="I43" s="28">
        <f>-'Ppto RRHH'!F5</f>
        <v>-5186.1140624999998</v>
      </c>
      <c r="J43" s="296">
        <f t="shared" si="0"/>
        <v>-5.9374916446750924E-4</v>
      </c>
    </row>
    <row r="44" spans="2:10">
      <c r="B44" s="34" t="s">
        <v>54</v>
      </c>
      <c r="C44" s="28">
        <v>-15252.032647058822</v>
      </c>
      <c r="D44" s="296">
        <f t="shared" si="0"/>
        <v>-2.9608598906371367E-3</v>
      </c>
      <c r="E44" s="28">
        <f>-'Ppto RRHH'!D6</f>
        <v>-20000</v>
      </c>
      <c r="F44" s="296">
        <f t="shared" si="0"/>
        <v>-3.2685545694043148E-3</v>
      </c>
      <c r="G44" s="28">
        <f>-'Ppto RRHH'!E6</f>
        <v>-25000</v>
      </c>
      <c r="H44" s="296">
        <f t="shared" si="0"/>
        <v>-3.4620106636550868E-3</v>
      </c>
      <c r="I44" s="28">
        <f>-'Ppto RRHH'!F6</f>
        <v>-28000</v>
      </c>
      <c r="J44" s="296">
        <f t="shared" si="0"/>
        <v>-3.2056712221782643E-3</v>
      </c>
    </row>
    <row r="45" spans="2:10">
      <c r="B45" s="34" t="s">
        <v>216</v>
      </c>
      <c r="C45" s="28">
        <f>-'Ppto RRHH'!C7</f>
        <v>0</v>
      </c>
      <c r="D45" s="296">
        <f t="shared" si="0"/>
        <v>0</v>
      </c>
      <c r="E45" s="28">
        <f>-'Ppto RRHH'!D7</f>
        <v>-11759.895833333334</v>
      </c>
      <c r="F45" s="296">
        <f t="shared" si="0"/>
        <v>-1.9218930630880214E-3</v>
      </c>
      <c r="G45" s="28">
        <f>-'Ppto RRHH'!E7</f>
        <v>-12347.890625</v>
      </c>
      <c r="H45" s="296">
        <f t="shared" si="0"/>
        <v>-1.709941160695867E-3</v>
      </c>
      <c r="I45" s="28">
        <f>-'Ppto RRHH'!F7</f>
        <v>-12965.28515625</v>
      </c>
      <c r="J45" s="296">
        <f t="shared" si="0"/>
        <v>-1.4843729111687731E-3</v>
      </c>
    </row>
    <row r="46" spans="2:10">
      <c r="B46" s="34" t="s">
        <v>377</v>
      </c>
      <c r="C46" s="28">
        <f>-'Ppto RRHH'!C8</f>
        <v>0</v>
      </c>
      <c r="D46" s="296">
        <f t="shared" si="0"/>
        <v>0</v>
      </c>
      <c r="E46" s="28">
        <f>-'Ppto RRHH'!D8</f>
        <v>-15000</v>
      </c>
      <c r="F46" s="296">
        <f t="shared" si="0"/>
        <v>-2.451415927053236E-3</v>
      </c>
      <c r="G46" s="28">
        <f>-'Ppto RRHH'!E8</f>
        <v>-10000</v>
      </c>
      <c r="H46" s="296">
        <f t="shared" si="0"/>
        <v>-1.3848042654620348E-3</v>
      </c>
      <c r="I46" s="28">
        <f>-'Ppto RRHH'!F8</f>
        <v>-10000</v>
      </c>
      <c r="J46" s="296">
        <f t="shared" si="0"/>
        <v>-1.1448825793493802E-3</v>
      </c>
    </row>
    <row r="47" spans="2:10">
      <c r="B47" s="34" t="s">
        <v>218</v>
      </c>
      <c r="C47" s="28">
        <f>-'Ppto RRHH'!C9</f>
        <v>0</v>
      </c>
      <c r="D47" s="296">
        <f t="shared" si="0"/>
        <v>0</v>
      </c>
      <c r="E47" s="28">
        <f>-'Ppto RRHH'!D9</f>
        <v>-32500</v>
      </c>
      <c r="F47" s="296">
        <f t="shared" si="0"/>
        <v>-5.3114011752820114E-3</v>
      </c>
      <c r="G47" s="28">
        <f>-'Ppto RRHH'!E9</f>
        <v>-32500</v>
      </c>
      <c r="H47" s="296">
        <f t="shared" si="0"/>
        <v>-4.5006138627516129E-3</v>
      </c>
      <c r="I47" s="28">
        <f>-'Ppto RRHH'!F9</f>
        <v>-32500</v>
      </c>
      <c r="J47" s="296">
        <f t="shared" si="0"/>
        <v>-3.7208683828854855E-3</v>
      </c>
    </row>
    <row r="48" spans="2:10">
      <c r="B48" s="34" t="s">
        <v>220</v>
      </c>
      <c r="C48" s="28">
        <f>-'Ppto RRHH'!C10</f>
        <v>0</v>
      </c>
      <c r="D48" s="296">
        <f t="shared" si="0"/>
        <v>0</v>
      </c>
      <c r="E48" s="28">
        <f>-'Ppto RRHH'!D10</f>
        <v>-11759.895833333334</v>
      </c>
      <c r="F48" s="296">
        <f t="shared" si="0"/>
        <v>-1.9218930630880214E-3</v>
      </c>
      <c r="G48" s="28">
        <f>-'Ppto RRHH'!E10</f>
        <v>-12347.890625</v>
      </c>
      <c r="H48" s="296">
        <f t="shared" si="0"/>
        <v>-1.709941160695867E-3</v>
      </c>
      <c r="I48" s="28">
        <f>-'Ppto RRHH'!F10</f>
        <v>-12965.28515625</v>
      </c>
      <c r="J48" s="296">
        <f t="shared" si="0"/>
        <v>-1.4843729111687731E-3</v>
      </c>
    </row>
    <row r="49" spans="1:10">
      <c r="B49" s="34" t="s">
        <v>55</v>
      </c>
      <c r="C49" s="28">
        <f>-'Ppto RRHH'!C11</f>
        <v>-182867.4</v>
      </c>
      <c r="D49" s="296">
        <f t="shared" si="0"/>
        <v>-3.5499842053479266E-2</v>
      </c>
      <c r="E49" s="28">
        <f>-'Ppto RRHH'!D11</f>
        <v>-235170</v>
      </c>
      <c r="F49" s="296">
        <f t="shared" si="0"/>
        <v>-3.8433298904340635E-2</v>
      </c>
      <c r="G49" s="28">
        <f>-'Ppto RRHH'!E11</f>
        <v>-306726</v>
      </c>
      <c r="H49" s="296">
        <f t="shared" si="0"/>
        <v>-4.2475547312810807E-2</v>
      </c>
      <c r="I49" s="28">
        <f>-'Ppto RRHH'!F11</f>
        <v>-322062.3</v>
      </c>
      <c r="J49" s="296">
        <f t="shared" si="0"/>
        <v>-3.6872351673519384E-2</v>
      </c>
    </row>
    <row r="50" spans="1:10">
      <c r="B50" s="34" t="s">
        <v>402</v>
      </c>
      <c r="C50" s="28">
        <f>-'Ppto RRHH'!C12</f>
        <v>-1002578.5286791668</v>
      </c>
      <c r="D50" s="296">
        <f t="shared" si="0"/>
        <v>-0.19462943867698704</v>
      </c>
      <c r="E50" s="28">
        <f>-'Ppto RRHH'!D12</f>
        <v>-1110364.5559027777</v>
      </c>
      <c r="F50" s="296">
        <f t="shared" si="0"/>
        <v>-0.18146435714503084</v>
      </c>
      <c r="G50" s="28">
        <f>-'Ppto RRHH'!E12</f>
        <v>-1443491.7593749999</v>
      </c>
      <c r="H50" s="296">
        <f t="shared" si="0"/>
        <v>-0.1998953545541797</v>
      </c>
      <c r="I50" s="28">
        <f>-'Ppto RRHH'!F12</f>
        <v>-1522596.5132812499</v>
      </c>
      <c r="J50" s="296">
        <f t="shared" si="0"/>
        <v>-0.17431942234338102</v>
      </c>
    </row>
    <row r="51" spans="1:10">
      <c r="B51" s="34" t="s">
        <v>56</v>
      </c>
      <c r="C51" s="28">
        <f>-'Ppto RRHH'!C13</f>
        <v>0</v>
      </c>
      <c r="D51" s="296">
        <f t="shared" si="0"/>
        <v>0</v>
      </c>
      <c r="E51" s="28">
        <f>-'Ppto RRHH'!D13</f>
        <v>-14000</v>
      </c>
      <c r="F51" s="296">
        <f t="shared" si="0"/>
        <v>-2.2879881985830202E-3</v>
      </c>
      <c r="G51" s="28">
        <f>-'Ppto RRHH'!E13</f>
        <v>-19650</v>
      </c>
      <c r="H51" s="296">
        <f t="shared" si="0"/>
        <v>-2.7211403816328984E-3</v>
      </c>
      <c r="I51" s="28">
        <f>-'Ppto RRHH'!F13</f>
        <v>-22900</v>
      </c>
      <c r="J51" s="296">
        <f t="shared" si="0"/>
        <v>-2.6217811067100806E-3</v>
      </c>
    </row>
    <row r="52" spans="1:10">
      <c r="B52" s="34" t="s">
        <v>223</v>
      </c>
      <c r="C52" s="28">
        <f>-'Ppto RRHH'!C14</f>
        <v>0</v>
      </c>
      <c r="D52" s="296">
        <f t="shared" si="0"/>
        <v>0</v>
      </c>
      <c r="E52" s="28">
        <f>-'Ppto RRHH'!D14</f>
        <v>-15000</v>
      </c>
      <c r="F52" s="296">
        <f t="shared" si="0"/>
        <v>-2.451415927053236E-3</v>
      </c>
      <c r="G52" s="28">
        <f>-'Ppto RRHH'!E14</f>
        <v>-12000</v>
      </c>
      <c r="H52" s="296">
        <f t="shared" si="0"/>
        <v>-1.6617651185544418E-3</v>
      </c>
      <c r="I52" s="28">
        <f>-'Ppto RRHH'!F14</f>
        <v>-12000</v>
      </c>
      <c r="J52" s="296">
        <f t="shared" si="0"/>
        <v>-1.3738590952192562E-3</v>
      </c>
    </row>
    <row r="53" spans="1:10">
      <c r="B53" s="282" t="s">
        <v>225</v>
      </c>
      <c r="C53" s="26">
        <f>-'Ppto RRHH'!C15</f>
        <v>0</v>
      </c>
      <c r="D53" s="299">
        <f t="shared" si="0"/>
        <v>0</v>
      </c>
      <c r="E53" s="26">
        <f>-'Ppto RRHH'!D15</f>
        <v>0</v>
      </c>
      <c r="F53" s="299">
        <f t="shared" si="0"/>
        <v>0</v>
      </c>
      <c r="G53" s="26">
        <f>-'Ppto RRHH'!E15</f>
        <v>-12347.890625</v>
      </c>
      <c r="H53" s="299">
        <f t="shared" si="0"/>
        <v>-1.709941160695867E-3</v>
      </c>
      <c r="I53" s="26">
        <f>-'Ppto RRHH'!F15</f>
        <v>-12965.28515625</v>
      </c>
      <c r="J53" s="299">
        <f t="shared" si="0"/>
        <v>-1.4843729111687731E-3</v>
      </c>
    </row>
    <row r="54" spans="1:10">
      <c r="B54" s="282" t="s">
        <v>382</v>
      </c>
      <c r="C54" s="26">
        <f>+SUM(C40:C53)</f>
        <v>-1200697.9613262257</v>
      </c>
      <c r="D54" s="299">
        <f t="shared" si="0"/>
        <v>-0.23309014062110345</v>
      </c>
      <c r="E54" s="26">
        <f>+SUM(E40:E53)</f>
        <v>-1524353.8267361112</v>
      </c>
      <c r="F54" s="299">
        <f t="shared" si="0"/>
        <v>-0.24912168328836345</v>
      </c>
      <c r="G54" s="26">
        <f>+SUM(G40:G53)</f>
        <v>-1907402.8453124999</v>
      </c>
      <c r="H54" s="299">
        <f t="shared" si="0"/>
        <v>-0.26413795961431719</v>
      </c>
      <c r="I54" s="26">
        <f>+SUM(I40:I53)</f>
        <v>-2010995.6535156248</v>
      </c>
      <c r="J54" s="299">
        <f t="shared" si="0"/>
        <v>-0.2302353890857361</v>
      </c>
    </row>
    <row r="55" spans="1:10">
      <c r="B55" s="34" t="s">
        <v>379</v>
      </c>
      <c r="C55" s="28"/>
      <c r="D55" s="296"/>
      <c r="E55" s="28"/>
      <c r="F55" s="296"/>
      <c r="G55" s="28"/>
      <c r="H55" s="296"/>
      <c r="I55" s="28"/>
      <c r="J55" s="296"/>
    </row>
    <row r="56" spans="1:10">
      <c r="B56" s="34" t="s">
        <v>235</v>
      </c>
      <c r="C56" s="28">
        <f>-'Ppto RS'!C2</f>
        <v>0</v>
      </c>
      <c r="D56" s="296">
        <f t="shared" si="0"/>
        <v>0</v>
      </c>
      <c r="E56" s="28">
        <f>-'Ppto RS'!D2</f>
        <v>-7000</v>
      </c>
      <c r="F56" s="296">
        <f t="shared" si="0"/>
        <v>-1.1439940992915101E-3</v>
      </c>
      <c r="G56" s="28">
        <f>-'Ppto RS'!E2</f>
        <v>-10000</v>
      </c>
      <c r="H56" s="296">
        <f t="shared" si="0"/>
        <v>-1.3848042654620348E-3</v>
      </c>
      <c r="I56" s="28">
        <f>-'Ppto RS'!F2</f>
        <v>-12000</v>
      </c>
      <c r="J56" s="296">
        <f t="shared" si="0"/>
        <v>-1.3738590952192562E-3</v>
      </c>
    </row>
    <row r="57" spans="1:10">
      <c r="B57" s="34" t="s">
        <v>237</v>
      </c>
      <c r="C57" s="28">
        <f>-'Ppto RS'!C3</f>
        <v>0</v>
      </c>
      <c r="D57" s="296">
        <f t="shared" si="0"/>
        <v>0</v>
      </c>
      <c r="E57" s="28">
        <f>-'Ppto RS'!D3</f>
        <v>-2891.6781249999999</v>
      </c>
      <c r="F57" s="296">
        <f t="shared" si="0"/>
        <v>-4.7258038743576251E-4</v>
      </c>
      <c r="G57" s="28">
        <f>-'Ppto RS'!E3</f>
        <v>-3036.2620312499998</v>
      </c>
      <c r="H57" s="296">
        <f t="shared" si="0"/>
        <v>-4.2046286119354218E-4</v>
      </c>
      <c r="I57" s="28">
        <f>-'Ppto RS'!F3</f>
        <v>-3188.0751328125002</v>
      </c>
      <c r="J57" s="296">
        <f t="shared" si="0"/>
        <v>-3.6499716812139928E-4</v>
      </c>
    </row>
    <row r="58" spans="1:10">
      <c r="B58" s="34" t="s">
        <v>64</v>
      </c>
      <c r="C58" s="28">
        <f>-'Ppto RS'!C4</f>
        <v>0</v>
      </c>
      <c r="D58" s="296">
        <f t="shared" si="0"/>
        <v>0</v>
      </c>
      <c r="E58" s="28">
        <f>-'Ppto RS'!D4</f>
        <v>-1018.0650000000001</v>
      </c>
      <c r="F58" s="296">
        <f t="shared" si="0"/>
        <v>-1.6638005038503018E-4</v>
      </c>
      <c r="G58" s="28">
        <f>-'Ppto RS'!E4</f>
        <v>-2185.5511666666666</v>
      </c>
      <c r="H58" s="296">
        <f t="shared" si="0"/>
        <v>-3.0265605779855267E-4</v>
      </c>
      <c r="I58" s="28">
        <f>-'Ppto RS'!F4</f>
        <v>-2322.2071583333336</v>
      </c>
      <c r="J58" s="296">
        <f t="shared" si="0"/>
        <v>-2.6586545212162611E-4</v>
      </c>
    </row>
    <row r="59" spans="1:10">
      <c r="B59" s="34" t="s">
        <v>65</v>
      </c>
      <c r="C59" s="28">
        <f>-'Ppto RS'!C5</f>
        <v>0</v>
      </c>
      <c r="D59" s="296">
        <f t="shared" si="0"/>
        <v>0</v>
      </c>
      <c r="E59" s="28">
        <f>-'Ppto RS'!D5</f>
        <v>-1018.0650000000001</v>
      </c>
      <c r="F59" s="296">
        <f t="shared" si="0"/>
        <v>-1.6638005038503018E-4</v>
      </c>
      <c r="G59" s="28">
        <f>-'Ppto RS'!E5</f>
        <v>-1092.7755833333333</v>
      </c>
      <c r="H59" s="296">
        <f t="shared" si="0"/>
        <v>-1.5132802889927634E-4</v>
      </c>
      <c r="I59" s="28">
        <f>-'Ppto RS'!F5</f>
        <v>-1161.1035791666668</v>
      </c>
      <c r="J59" s="296">
        <f t="shared" si="0"/>
        <v>-1.3293272606081306E-4</v>
      </c>
    </row>
    <row r="60" spans="1:10">
      <c r="B60" s="282" t="s">
        <v>239</v>
      </c>
      <c r="C60" s="26">
        <f>-'Ppto RS'!C6</f>
        <v>0</v>
      </c>
      <c r="D60" s="299">
        <f t="shared" si="0"/>
        <v>0</v>
      </c>
      <c r="E60" s="26">
        <f>-'Ppto RS'!D6</f>
        <v>0</v>
      </c>
      <c r="F60" s="299">
        <f t="shared" si="0"/>
        <v>0</v>
      </c>
      <c r="G60" s="26">
        <f>-'Ppto RS'!E6</f>
        <v>-32041.493750000001</v>
      </c>
      <c r="H60" s="299">
        <f t="shared" si="0"/>
        <v>-4.4371197216775127E-3</v>
      </c>
      <c r="I60" s="26">
        <f>-'Ppto RS'!F6</f>
        <v>-33643.568437499998</v>
      </c>
      <c r="J60" s="299">
        <f t="shared" si="0"/>
        <v>-3.8517935411242392E-3</v>
      </c>
    </row>
    <row r="61" spans="1:10">
      <c r="B61" s="282" t="s">
        <v>383</v>
      </c>
      <c r="C61" s="26">
        <f>+SUM(C56:C60)</f>
        <v>0</v>
      </c>
      <c r="D61" s="299">
        <f t="shared" si="0"/>
        <v>0</v>
      </c>
      <c r="E61" s="26">
        <f>+SUM(E56:E60)</f>
        <v>-11927.808125000001</v>
      </c>
      <c r="F61" s="299">
        <f t="shared" si="0"/>
        <v>-1.9493345874973332E-3</v>
      </c>
      <c r="G61" s="26">
        <f>+SUM(G56:G60)</f>
        <v>-48356.082531250002</v>
      </c>
      <c r="H61" s="299">
        <f t="shared" si="0"/>
        <v>-6.6963709350309191E-3</v>
      </c>
      <c r="I61" s="26">
        <f>+SUM(I56:I60)</f>
        <v>-52314.954307812499</v>
      </c>
      <c r="J61" s="299">
        <f t="shared" si="0"/>
        <v>-5.9894479826473335E-3</v>
      </c>
    </row>
    <row r="62" spans="1:10">
      <c r="B62" s="34" t="s">
        <v>411</v>
      </c>
      <c r="C62" s="28"/>
      <c r="D62" s="296"/>
      <c r="E62" s="28"/>
      <c r="F62" s="296"/>
      <c r="G62" s="28"/>
      <c r="H62" s="296"/>
      <c r="I62" s="28"/>
      <c r="J62" s="296"/>
    </row>
    <row r="63" spans="1:10">
      <c r="A63" s="21" t="s">
        <v>453</v>
      </c>
      <c r="B63" s="34" t="s">
        <v>156</v>
      </c>
      <c r="C63" s="28">
        <v>-7954.6416556912964</v>
      </c>
      <c r="D63" s="296">
        <f t="shared" si="0"/>
        <v>-1.5442256103005119E-3</v>
      </c>
      <c r="E63" s="28">
        <v>-8200</v>
      </c>
      <c r="F63" s="296">
        <f t="shared" si="0"/>
        <v>-1.340107373455769E-3</v>
      </c>
      <c r="G63" s="28">
        <v>-7600</v>
      </c>
      <c r="H63" s="296">
        <f t="shared" si="0"/>
        <v>-1.0524512417511465E-3</v>
      </c>
      <c r="I63" s="28">
        <v>-7600</v>
      </c>
      <c r="J63" s="296">
        <f t="shared" si="0"/>
        <v>-8.7011076030552893E-4</v>
      </c>
    </row>
    <row r="64" spans="1:10">
      <c r="A64" s="21" t="s">
        <v>450</v>
      </c>
      <c r="B64" s="324" t="s">
        <v>420</v>
      </c>
      <c r="C64" s="28">
        <v>-25252.949926313948</v>
      </c>
      <c r="D64" s="296">
        <f t="shared" si="0"/>
        <v>-4.9023266791596871E-3</v>
      </c>
      <c r="E64" s="28">
        <v>-32400</v>
      </c>
      <c r="F64" s="296">
        <f t="shared" si="0"/>
        <v>-5.2950584024349899E-3</v>
      </c>
      <c r="G64" s="28">
        <v>-32400</v>
      </c>
      <c r="H64" s="296">
        <f t="shared" si="0"/>
        <v>-4.4867658200969931E-3</v>
      </c>
      <c r="I64" s="28">
        <v>-32400</v>
      </c>
      <c r="J64" s="296">
        <f t="shared" si="0"/>
        <v>-3.7094195570919917E-3</v>
      </c>
    </row>
    <row r="65" spans="1:10">
      <c r="B65" s="321" t="s">
        <v>159</v>
      </c>
      <c r="C65" s="28">
        <v>-37507.15</v>
      </c>
      <c r="D65" s="296">
        <f t="shared" si="0"/>
        <v>-7.2812207144420217E-3</v>
      </c>
      <c r="E65" s="28">
        <v>-69790</v>
      </c>
      <c r="F65" s="296">
        <f t="shared" si="0"/>
        <v>-1.1405621169936356E-2</v>
      </c>
      <c r="G65" s="28">
        <v>-82480</v>
      </c>
      <c r="H65" s="296">
        <f t="shared" si="0"/>
        <v>-1.1421865581530863E-2</v>
      </c>
      <c r="I65" s="28">
        <v>-95170</v>
      </c>
      <c r="J65" s="296">
        <f t="shared" si="0"/>
        <v>-1.089584750766805E-2</v>
      </c>
    </row>
    <row r="66" spans="1:10">
      <c r="A66" s="21" t="s">
        <v>450</v>
      </c>
      <c r="B66" s="34" t="s">
        <v>161</v>
      </c>
      <c r="C66" s="28">
        <v>-18211.492886906377</v>
      </c>
      <c r="D66" s="296">
        <f t="shared" si="0"/>
        <v>-3.5353765681758343E-3</v>
      </c>
      <c r="E66" s="28">
        <v>-22800</v>
      </c>
      <c r="F66" s="296">
        <f t="shared" si="0"/>
        <v>-3.7261522091209189E-3</v>
      </c>
      <c r="G66" s="28">
        <v>-22800</v>
      </c>
      <c r="H66" s="296">
        <f t="shared" si="0"/>
        <v>-3.1573537252534392E-3</v>
      </c>
      <c r="I66" s="28">
        <v>-22800</v>
      </c>
      <c r="J66" s="296">
        <f t="shared" si="0"/>
        <v>-2.6103322809165868E-3</v>
      </c>
    </row>
    <row r="67" spans="1:10">
      <c r="A67" s="21" t="s">
        <v>450</v>
      </c>
      <c r="B67" s="34" t="s">
        <v>421</v>
      </c>
      <c r="C67" s="28">
        <v>-12508.689963476732</v>
      </c>
      <c r="D67" s="296">
        <f t="shared" si="0"/>
        <v>-2.4282978704753574E-3</v>
      </c>
      <c r="E67" s="28">
        <v>-20000</v>
      </c>
      <c r="F67" s="296">
        <f t="shared" si="0"/>
        <v>-3.2685545694043148E-3</v>
      </c>
      <c r="G67" s="28">
        <v>-20000</v>
      </c>
      <c r="H67" s="296">
        <f t="shared" si="0"/>
        <v>-2.7696085309240697E-3</v>
      </c>
      <c r="I67" s="28">
        <v>-20000</v>
      </c>
      <c r="J67" s="296">
        <f t="shared" si="0"/>
        <v>-2.2897651586987603E-3</v>
      </c>
    </row>
    <row r="68" spans="1:10">
      <c r="A68" s="21" t="s">
        <v>450</v>
      </c>
      <c r="B68" s="321" t="s">
        <v>164</v>
      </c>
      <c r="C68" s="333">
        <v>-185919.55937499998</v>
      </c>
      <c r="D68" s="334">
        <f t="shared" si="0"/>
        <v>-3.6092354309543204E-2</v>
      </c>
      <c r="E68" s="333">
        <v>-401160</v>
      </c>
      <c r="F68" s="334">
        <f t="shared" si="0"/>
        <v>-6.556066755311174E-2</v>
      </c>
      <c r="G68" s="333">
        <v>-493218</v>
      </c>
      <c r="H68" s="334">
        <f t="shared" si="0"/>
        <v>-6.8301039020265394E-2</v>
      </c>
      <c r="I68" s="333">
        <v>-517879</v>
      </c>
      <c r="J68" s="334">
        <f t="shared" si="0"/>
        <v>-5.9291064531087762E-2</v>
      </c>
    </row>
    <row r="69" spans="1:10">
      <c r="A69" s="21" t="s">
        <v>453</v>
      </c>
      <c r="B69" s="34" t="s">
        <v>165</v>
      </c>
      <c r="C69" s="28">
        <v>-66833.141516963151</v>
      </c>
      <c r="D69" s="296">
        <f t="shared" si="0"/>
        <v>-1.2974242362444151E-2</v>
      </c>
      <c r="E69" s="28">
        <v>-144025.79999999999</v>
      </c>
      <c r="F69" s="296">
        <f t="shared" si="0"/>
        <v>-2.3537809335105596E-2</v>
      </c>
      <c r="G69" s="28">
        <v>-182005</v>
      </c>
      <c r="H69" s="296">
        <f t="shared" si="0"/>
        <v>-2.5204130033541765E-2</v>
      </c>
      <c r="I69" s="28">
        <v>-191947.96956402605</v>
      </c>
      <c r="J69" s="296">
        <f t="shared" si="0"/>
        <v>-2.1975788649533846E-2</v>
      </c>
    </row>
    <row r="70" spans="1:10">
      <c r="A70" s="21" t="s">
        <v>450</v>
      </c>
      <c r="B70" s="323" t="s">
        <v>166</v>
      </c>
      <c r="C70" s="28">
        <f>-82215.9238508889+17846</f>
        <v>-64369.923850888896</v>
      </c>
      <c r="D70" s="296">
        <f t="shared" si="0"/>
        <v>-1.2496060695897922E-2</v>
      </c>
      <c r="E70" s="28">
        <v>-56400</v>
      </c>
      <c r="F70" s="296">
        <f t="shared" si="0"/>
        <v>-9.2173238857201668E-3</v>
      </c>
      <c r="G70" s="28">
        <v>-56400</v>
      </c>
      <c r="H70" s="296">
        <f t="shared" si="0"/>
        <v>-7.8102960572058759E-3</v>
      </c>
      <c r="I70" s="28">
        <v>-56400</v>
      </c>
      <c r="J70" s="296">
        <f t="shared" si="0"/>
        <v>-6.4571377475305036E-3</v>
      </c>
    </row>
    <row r="71" spans="1:10">
      <c r="A71" s="21" t="s">
        <v>450</v>
      </c>
      <c r="B71" s="34" t="s">
        <v>167</v>
      </c>
      <c r="C71" s="28">
        <v>-170539.90857457151</v>
      </c>
      <c r="D71" s="296">
        <f t="shared" si="0"/>
        <v>-3.3106720050769485E-2</v>
      </c>
      <c r="E71" s="28">
        <f>-330000-E15-E17-SUM(E44:E46)+11141.77</f>
        <v>-249624.35914166667</v>
      </c>
      <c r="F71" s="296">
        <f t="shared" si="0"/>
        <v>-4.0795541985355913E-2</v>
      </c>
      <c r="G71" s="28">
        <f>-330000-G15-G17-SUM(G44:G46)-4060</f>
        <v>-262670.07185429049</v>
      </c>
      <c r="H71" s="296">
        <f t="shared" si="0"/>
        <v>-3.6374663591304063E-2</v>
      </c>
      <c r="I71" s="28">
        <f>-330000-I15-I17-SUM(I44:I46)</f>
        <v>-268706.1570572948</v>
      </c>
      <c r="J71" s="296">
        <f t="shared" si="0"/>
        <v>-3.0763699817881532E-2</v>
      </c>
    </row>
    <row r="72" spans="1:10">
      <c r="A72" s="21" t="s">
        <v>450</v>
      </c>
      <c r="B72" s="323" t="s">
        <v>168</v>
      </c>
      <c r="C72" s="28">
        <f>-152507.285990811+130000</f>
        <v>-22507.285990811011</v>
      </c>
      <c r="D72" s="296">
        <f t="shared" si="0"/>
        <v>-4.3693140369813182E-3</v>
      </c>
      <c r="E72" s="28">
        <v>-40000</v>
      </c>
      <c r="F72" s="296">
        <f t="shared" si="0"/>
        <v>-6.5371091388086297E-3</v>
      </c>
      <c r="G72" s="28">
        <v>-40000</v>
      </c>
      <c r="H72" s="296">
        <f t="shared" si="0"/>
        <v>-5.5392170618481394E-3</v>
      </c>
      <c r="I72" s="28">
        <v>-40000</v>
      </c>
      <c r="J72" s="296">
        <f t="shared" si="0"/>
        <v>-4.5795303173975207E-3</v>
      </c>
    </row>
    <row r="73" spans="1:10">
      <c r="A73" s="21" t="s">
        <v>453</v>
      </c>
      <c r="B73" s="323" t="s">
        <v>169</v>
      </c>
      <c r="C73" s="28">
        <v>-66898.005720566289</v>
      </c>
      <c r="D73" s="296">
        <f t="shared" si="0"/>
        <v>-1.2986834377110715E-2</v>
      </c>
      <c r="E73" s="28">
        <f>-50000-E47</f>
        <v>-17500</v>
      </c>
      <c r="F73" s="296">
        <f t="shared" si="0"/>
        <v>-2.8599852482287754E-3</v>
      </c>
      <c r="G73" s="28">
        <v>-17500</v>
      </c>
      <c r="H73" s="296">
        <f t="shared" si="0"/>
        <v>-2.4234074645585607E-3</v>
      </c>
      <c r="I73" s="28">
        <f>-74000-I47+6000</f>
        <v>-35500</v>
      </c>
      <c r="J73" s="296">
        <f t="shared" si="0"/>
        <v>-4.0643331566902995E-3</v>
      </c>
    </row>
    <row r="74" spans="1:10">
      <c r="B74" s="335" t="s">
        <v>368</v>
      </c>
      <c r="C74" s="26">
        <v>-37486.246721651776</v>
      </c>
      <c r="D74" s="299">
        <f t="shared" ref="D74:J76" si="1">+C74/C$8</f>
        <v>-7.277162784599076E-3</v>
      </c>
      <c r="E74" s="26">
        <v>0</v>
      </c>
      <c r="F74" s="299">
        <f t="shared" si="1"/>
        <v>0</v>
      </c>
      <c r="G74" s="26"/>
      <c r="H74" s="299">
        <f t="shared" si="1"/>
        <v>0</v>
      </c>
      <c r="I74" s="26"/>
      <c r="J74" s="299">
        <f t="shared" si="1"/>
        <v>0</v>
      </c>
    </row>
    <row r="75" spans="1:10">
      <c r="B75" s="283" t="s">
        <v>412</v>
      </c>
      <c r="C75" s="284">
        <f>+SUM(C63:C74)</f>
        <v>-715988.9961828409</v>
      </c>
      <c r="D75" s="300">
        <f t="shared" si="1"/>
        <v>-0.13899413605989927</v>
      </c>
      <c r="E75" s="284">
        <f>+SUM(E63:E74)</f>
        <v>-1061900.1591416667</v>
      </c>
      <c r="F75" s="300">
        <f t="shared" si="1"/>
        <v>-0.17354393087068318</v>
      </c>
      <c r="G75" s="284">
        <f>+SUM(G63:G74)</f>
        <v>-1217073.0718542906</v>
      </c>
      <c r="H75" s="300">
        <f t="shared" si="1"/>
        <v>-0.16854079812828032</v>
      </c>
      <c r="I75" s="284">
        <f>+SUM(I63:I74)</f>
        <v>-1288403.1266213208</v>
      </c>
      <c r="J75" s="300">
        <f t="shared" si="1"/>
        <v>-0.14750702948480238</v>
      </c>
    </row>
    <row r="76" spans="1:10" ht="12.75" thickBot="1">
      <c r="B76" s="34" t="s">
        <v>384</v>
      </c>
      <c r="C76" s="28">
        <f>+C24+C38+C54+C61+C75</f>
        <v>-2467137.5437131035</v>
      </c>
      <c r="D76" s="296">
        <f t="shared" si="1"/>
        <v>-0.47894262796990594</v>
      </c>
      <c r="E76" s="28">
        <f>+E24+E38+E54+E61+E75</f>
        <v>-3635745.2451546844</v>
      </c>
      <c r="F76" s="296">
        <f t="shared" si="1"/>
        <v>-0.59418158671201771</v>
      </c>
      <c r="G76" s="28">
        <f>+G24+G38+G54+G61+G75</f>
        <v>-4443959.8906060513</v>
      </c>
      <c r="H76" s="296">
        <f t="shared" si="1"/>
        <v>-0.61540146120534578</v>
      </c>
      <c r="I76" s="28">
        <f>+I24+I38+I54+I61+I75</f>
        <v>-4797803.4292824706</v>
      </c>
      <c r="J76" s="296">
        <f t="shared" si="1"/>
        <v>-0.5492921565328216</v>
      </c>
    </row>
    <row r="77" spans="1:10" ht="12.75" thickBot="1">
      <c r="B77" s="22" t="s">
        <v>170</v>
      </c>
      <c r="C77" s="23">
        <f>+C11+C76</f>
        <v>1443998.0434035212</v>
      </c>
      <c r="D77" s="294">
        <f t="shared" ref="D77:J77" si="2">+C77/C$8</f>
        <v>0.28032171106691572</v>
      </c>
      <c r="E77" s="23">
        <f>+E11+E76</f>
        <v>1681608.9948453158</v>
      </c>
      <c r="F77" s="294">
        <f t="shared" si="2"/>
        <v>0.2748215382026527</v>
      </c>
      <c r="G77" s="23">
        <f>+G11+G76</f>
        <v>1891204.5177249471</v>
      </c>
      <c r="H77" s="294">
        <f t="shared" si="2"/>
        <v>0.2618948083006577</v>
      </c>
      <c r="I77" s="23">
        <f>+I11+I76</f>
        <v>2903860.978135854</v>
      </c>
      <c r="J77" s="294">
        <f t="shared" si="2"/>
        <v>0.33245798467201904</v>
      </c>
    </row>
    <row r="78" spans="1:10">
      <c r="C78" s="288"/>
      <c r="D78" s="21">
        <f>+C77/C76</f>
        <v>-0.58529288206212782</v>
      </c>
      <c r="E78" s="319"/>
      <c r="F78" s="21">
        <f>+E77/E76</f>
        <v>-0.46252112880746432</v>
      </c>
      <c r="G78" s="288"/>
      <c r="H78" s="21">
        <f>+G77/G76</f>
        <v>-0.42556741381098095</v>
      </c>
      <c r="I78" s="288"/>
      <c r="J78" s="21">
        <f>+I77/I76</f>
        <v>-0.60524801003990636</v>
      </c>
    </row>
    <row r="79" spans="1:10" ht="12.75" thickBot="1"/>
    <row r="80" spans="1:10" ht="12.75" thickBot="1">
      <c r="B80" s="35" t="s">
        <v>148</v>
      </c>
      <c r="C80" s="188"/>
      <c r="D80" s="188"/>
      <c r="E80" s="381">
        <v>2017</v>
      </c>
      <c r="F80" s="382"/>
      <c r="G80" s="381">
        <v>2018</v>
      </c>
      <c r="H80" s="383"/>
      <c r="I80" s="381">
        <v>2019</v>
      </c>
      <c r="J80" s="382"/>
    </row>
    <row r="81" spans="2:10" ht="15.95" customHeight="1">
      <c r="B81" s="384" t="s">
        <v>67</v>
      </c>
      <c r="C81" s="186"/>
      <c r="D81" s="186"/>
      <c r="E81" s="391" t="s">
        <v>50</v>
      </c>
      <c r="F81" s="393" t="s">
        <v>109</v>
      </c>
      <c r="G81" s="391" t="s">
        <v>50</v>
      </c>
      <c r="H81" s="395" t="s">
        <v>109</v>
      </c>
      <c r="I81" s="391" t="s">
        <v>50</v>
      </c>
      <c r="J81" s="396" t="s">
        <v>109</v>
      </c>
    </row>
    <row r="82" spans="2:10" ht="17.100000000000001" customHeight="1" thickBot="1">
      <c r="B82" s="390"/>
      <c r="C82" s="186"/>
      <c r="D82" s="186"/>
      <c r="E82" s="392"/>
      <c r="F82" s="394"/>
      <c r="G82" s="392"/>
      <c r="H82" s="395"/>
      <c r="I82" s="392"/>
      <c r="J82" s="396"/>
    </row>
    <row r="83" spans="2:10" ht="12.75" thickBot="1">
      <c r="B83" s="22" t="s">
        <v>139</v>
      </c>
      <c r="C83" s="22"/>
      <c r="D83" s="22"/>
      <c r="E83" s="23">
        <v>5332010.8420000002</v>
      </c>
      <c r="F83" s="24">
        <v>1</v>
      </c>
      <c r="G83" s="25">
        <f>+E83*1.04</f>
        <v>5545291.27568</v>
      </c>
      <c r="H83" s="24">
        <v>1</v>
      </c>
      <c r="I83" s="25">
        <f>+G83*1.05</f>
        <v>5822555.8394640004</v>
      </c>
      <c r="J83" s="24">
        <v>1</v>
      </c>
    </row>
    <row r="84" spans="2:10">
      <c r="B84" s="34" t="s">
        <v>191</v>
      </c>
      <c r="C84" s="34"/>
      <c r="D84" s="34"/>
      <c r="E84" s="26">
        <f>+(E9/E$8)*E83</f>
        <v>-444588.97273347731</v>
      </c>
      <c r="F84" s="27">
        <f>+E84/E$8</f>
        <v>-7.2658165916738876E-2</v>
      </c>
      <c r="G84" s="26">
        <f>+(G9/G$8)*G83</f>
        <v>-443655.20533340389</v>
      </c>
      <c r="H84" s="27">
        <f>+G84/G$8</f>
        <v>-6.1437562074013262E-2</v>
      </c>
      <c r="I84" s="26">
        <f>+(I9/I$8)*I83</f>
        <v>-445088.77779280214</v>
      </c>
      <c r="J84" s="27">
        <f>+I84/I$8</f>
        <v>-5.095743879588864E-2</v>
      </c>
    </row>
    <row r="85" spans="2:10" ht="12.75" thickBot="1">
      <c r="B85" s="34" t="s">
        <v>152</v>
      </c>
      <c r="C85" s="34"/>
      <c r="D85" s="34"/>
      <c r="E85" s="28">
        <f>+(E10/E$8)*E$83</f>
        <v>-253887.78548962041</v>
      </c>
      <c r="F85" s="27">
        <f>+E85/E$8</f>
        <v>-4.1492304068902065E-2</v>
      </c>
      <c r="G85" s="28">
        <f>+(G10/G$8)*G$83</f>
        <v>-236772.72086834561</v>
      </c>
      <c r="H85" s="27">
        <f>+G85/G$8</f>
        <v>-3.2788387380353674E-2</v>
      </c>
      <c r="I85" s="28">
        <f>+(I10/I$8)*I$83</f>
        <v>-243427.62805074657</v>
      </c>
      <c r="J85" s="27">
        <f>+I85/I$8</f>
        <v>-2.7869605068764024E-2</v>
      </c>
    </row>
    <row r="86" spans="2:10" ht="12.75" thickBot="1">
      <c r="B86" s="22" t="s">
        <v>20</v>
      </c>
      <c r="C86" s="22"/>
      <c r="D86" s="22"/>
      <c r="E86" s="23">
        <f>+E83+E84+E85</f>
        <v>4633534.0837769024</v>
      </c>
      <c r="F86" s="24">
        <f>+E86/E$8</f>
        <v>0.75724795010098145</v>
      </c>
      <c r="G86" s="23">
        <f>+G83+G84+G85</f>
        <v>4864863.3494782504</v>
      </c>
      <c r="H86" s="24">
        <f>+G86/G$8</f>
        <v>0.67368835172474029</v>
      </c>
      <c r="I86" s="23">
        <f>+I83+I84+I85</f>
        <v>5134039.4336204519</v>
      </c>
      <c r="J86" s="24">
        <f>+I86/I$8</f>
        <v>0.58778723092448137</v>
      </c>
    </row>
    <row r="87" spans="2:10" ht="12.75" thickBot="1">
      <c r="B87" s="34"/>
      <c r="C87" s="34"/>
      <c r="D87" s="34"/>
      <c r="E87" s="29"/>
      <c r="F87" s="30"/>
      <c r="G87" s="31"/>
      <c r="H87" s="30"/>
      <c r="I87" s="31"/>
      <c r="J87" s="30"/>
    </row>
    <row r="88" spans="2:10" ht="12.75" thickBot="1">
      <c r="B88" s="22" t="s">
        <v>153</v>
      </c>
      <c r="C88" s="22"/>
      <c r="D88" s="22"/>
      <c r="E88" s="23">
        <f>SUM(E89:E104)</f>
        <v>-2918650.29</v>
      </c>
      <c r="F88" s="24">
        <f t="shared" ref="F88:F105" si="3">+E88/E$8</f>
        <v>-0.47698838709363639</v>
      </c>
      <c r="G88" s="23">
        <f>SUM(G89:G104)</f>
        <v>-3035395.7525793798</v>
      </c>
      <c r="H88" s="24">
        <f t="shared" ref="H88:H105" si="4">+G88/G$8</f>
        <v>-0.42034289855372686</v>
      </c>
      <c r="I88" s="23">
        <f>SUM(I89:I104)</f>
        <v>-3187166.1276309676</v>
      </c>
      <c r="J88" s="24">
        <f t="shared" ref="J88:J105" si="5">+I88/I$8</f>
        <v>-0.3648930977017118</v>
      </c>
    </row>
    <row r="89" spans="2:10">
      <c r="B89" s="34" t="s">
        <v>154</v>
      </c>
      <c r="C89" s="34"/>
      <c r="D89" s="34"/>
      <c r="E89" s="28">
        <v>-177251</v>
      </c>
      <c r="F89" s="32">
        <f t="shared" si="3"/>
        <v>-2.8967728299074208E-2</v>
      </c>
      <c r="G89" s="28">
        <v>-349317</v>
      </c>
      <c r="H89" s="32">
        <f t="shared" si="4"/>
        <v>-4.8373567159840161E-2</v>
      </c>
      <c r="I89" s="28">
        <v>-466659.8</v>
      </c>
      <c r="J89" s="32">
        <f t="shared" si="5"/>
        <v>-5.3427067550266584E-2</v>
      </c>
    </row>
    <row r="90" spans="2:10">
      <c r="B90" s="34" t="s">
        <v>155</v>
      </c>
      <c r="C90" s="34"/>
      <c r="D90" s="34"/>
      <c r="E90" s="28">
        <v>-7200</v>
      </c>
      <c r="F90" s="32">
        <f t="shared" si="3"/>
        <v>-1.1766796449855532E-3</v>
      </c>
      <c r="G90" s="28">
        <v>-7500</v>
      </c>
      <c r="H90" s="32">
        <f t="shared" si="4"/>
        <v>-1.0386031990965261E-3</v>
      </c>
      <c r="I90" s="28">
        <v>-7500</v>
      </c>
      <c r="J90" s="32">
        <f t="shared" si="5"/>
        <v>-8.5866193451203507E-4</v>
      </c>
    </row>
    <row r="91" spans="2:10">
      <c r="B91" s="34" t="s">
        <v>156</v>
      </c>
      <c r="C91" s="34"/>
      <c r="D91" s="34"/>
      <c r="E91" s="28">
        <v>-8200</v>
      </c>
      <c r="F91" s="32">
        <f t="shared" si="3"/>
        <v>-1.340107373455769E-3</v>
      </c>
      <c r="G91" s="28">
        <v>-7600</v>
      </c>
      <c r="H91" s="32">
        <f t="shared" si="4"/>
        <v>-1.0524512417511465E-3</v>
      </c>
      <c r="I91" s="28">
        <v>-7600</v>
      </c>
      <c r="J91" s="32">
        <f t="shared" si="5"/>
        <v>-8.7011076030552893E-4</v>
      </c>
    </row>
    <row r="92" spans="2:10">
      <c r="B92" s="34" t="s">
        <v>157</v>
      </c>
      <c r="C92" s="34"/>
      <c r="D92" s="34"/>
      <c r="E92" s="28">
        <v>-461965</v>
      </c>
      <c r="F92" s="32">
        <f t="shared" si="3"/>
        <v>-7.5497890582743213E-2</v>
      </c>
      <c r="G92" s="28">
        <f>+E92*1.02</f>
        <v>-471204.3</v>
      </c>
      <c r="H92" s="32">
        <f t="shared" si="4"/>
        <v>-6.525257245440523E-2</v>
      </c>
      <c r="I92" s="28">
        <f>+G92*1.02</f>
        <v>-480628.386</v>
      </c>
      <c r="J92" s="32">
        <f t="shared" si="5"/>
        <v>-5.5026306627220953E-2</v>
      </c>
    </row>
    <row r="93" spans="2:10">
      <c r="B93" s="34" t="s">
        <v>158</v>
      </c>
      <c r="C93" s="34"/>
      <c r="D93" s="34"/>
      <c r="E93" s="28">
        <v>-32400</v>
      </c>
      <c r="F93" s="32">
        <f t="shared" si="3"/>
        <v>-5.2950584024349899E-3</v>
      </c>
      <c r="G93" s="28">
        <v>-28800</v>
      </c>
      <c r="H93" s="32">
        <f t="shared" si="4"/>
        <v>-3.9882362845306604E-3</v>
      </c>
      <c r="I93" s="28">
        <v>-28800</v>
      </c>
      <c r="J93" s="32">
        <f t="shared" si="5"/>
        <v>-3.2972618285262148E-3</v>
      </c>
    </row>
    <row r="94" spans="2:10">
      <c r="B94" s="34" t="s">
        <v>159</v>
      </c>
      <c r="C94" s="34"/>
      <c r="D94" s="34"/>
      <c r="E94" s="28">
        <v>-100800</v>
      </c>
      <c r="F94" s="32">
        <f t="shared" si="3"/>
        <v>-1.6473515029797745E-2</v>
      </c>
      <c r="G94" s="28">
        <v>-34000</v>
      </c>
      <c r="H94" s="32">
        <f t="shared" si="4"/>
        <v>-4.7083345025709187E-3</v>
      </c>
      <c r="I94" s="28">
        <v>-34000</v>
      </c>
      <c r="J94" s="32">
        <f t="shared" si="5"/>
        <v>-3.8926007697878923E-3</v>
      </c>
    </row>
    <row r="95" spans="2:10">
      <c r="B95" s="34" t="s">
        <v>160</v>
      </c>
      <c r="C95" s="34"/>
      <c r="D95" s="34"/>
      <c r="E95" s="28">
        <v>0</v>
      </c>
      <c r="F95" s="32">
        <f t="shared" si="3"/>
        <v>0</v>
      </c>
      <c r="G95" s="28">
        <v>0</v>
      </c>
      <c r="H95" s="32">
        <f t="shared" si="4"/>
        <v>0</v>
      </c>
      <c r="I95" s="28">
        <v>0</v>
      </c>
      <c r="J95" s="32">
        <f t="shared" si="5"/>
        <v>0</v>
      </c>
    </row>
    <row r="96" spans="2:10">
      <c r="B96" s="34" t="s">
        <v>161</v>
      </c>
      <c r="C96" s="34"/>
      <c r="D96" s="34"/>
      <c r="E96" s="28">
        <v>-57000</v>
      </c>
      <c r="F96" s="32">
        <f t="shared" si="3"/>
        <v>-9.3153805228022961E-3</v>
      </c>
      <c r="G96" s="28">
        <v>-22800</v>
      </c>
      <c r="H96" s="32">
        <f t="shared" si="4"/>
        <v>-3.1573537252534392E-3</v>
      </c>
      <c r="I96" s="28">
        <v>-22800</v>
      </c>
      <c r="J96" s="32">
        <f t="shared" si="5"/>
        <v>-2.6103322809165868E-3</v>
      </c>
    </row>
    <row r="97" spans="2:10">
      <c r="B97" s="34" t="s">
        <v>162</v>
      </c>
      <c r="C97" s="34"/>
      <c r="D97" s="34"/>
      <c r="E97" s="28">
        <v>-1081688.49</v>
      </c>
      <c r="F97" s="32">
        <f t="shared" si="3"/>
        <v>-0.17677789283307765</v>
      </c>
      <c r="G97" s="28">
        <f>+E97*1.02</f>
        <v>-1103322.2598000001</v>
      </c>
      <c r="H97" s="32">
        <f t="shared" si="4"/>
        <v>-0.15278853715502516</v>
      </c>
      <c r="I97" s="28">
        <f>+G97*1.02</f>
        <v>-1125388.704996</v>
      </c>
      <c r="J97" s="32">
        <f t="shared" si="5"/>
        <v>-0.12884379233464791</v>
      </c>
    </row>
    <row r="98" spans="2:10">
      <c r="B98" s="34" t="s">
        <v>163</v>
      </c>
      <c r="C98" s="34"/>
      <c r="D98" s="34"/>
      <c r="E98" s="28">
        <v>-10560</v>
      </c>
      <c r="F98" s="32">
        <f t="shared" si="3"/>
        <v>-1.7257968126454782E-3</v>
      </c>
      <c r="G98" s="28">
        <v>-11200</v>
      </c>
      <c r="H98" s="32">
        <f t="shared" si="4"/>
        <v>-1.550980777317479E-3</v>
      </c>
      <c r="I98" s="28">
        <v>-11200</v>
      </c>
      <c r="J98" s="32">
        <f t="shared" si="5"/>
        <v>-1.2822684888713057E-3</v>
      </c>
    </row>
    <row r="99" spans="2:10">
      <c r="B99" s="34" t="s">
        <v>164</v>
      </c>
      <c r="C99" s="34"/>
      <c r="D99" s="34"/>
      <c r="E99" s="28">
        <v>-401160</v>
      </c>
      <c r="F99" s="32">
        <f t="shared" si="3"/>
        <v>-6.556066755311174E-2</v>
      </c>
      <c r="G99" s="28">
        <v>-411400</v>
      </c>
      <c r="H99" s="32">
        <f t="shared" si="4"/>
        <v>-5.697084748110811E-2</v>
      </c>
      <c r="I99" s="28">
        <v>-411400</v>
      </c>
      <c r="J99" s="32">
        <f t="shared" si="5"/>
        <v>-4.7100469314433499E-2</v>
      </c>
    </row>
    <row r="100" spans="2:10">
      <c r="B100" s="34" t="s">
        <v>165</v>
      </c>
      <c r="C100" s="34"/>
      <c r="D100" s="34"/>
      <c r="E100" s="28">
        <v>-144025.79999999999</v>
      </c>
      <c r="F100" s="32">
        <f t="shared" si="3"/>
        <v>-2.3537809335105596E-2</v>
      </c>
      <c r="G100" s="28">
        <f>+G97*0.1331</f>
        <v>-146852.19277938001</v>
      </c>
      <c r="H100" s="32">
        <f t="shared" si="4"/>
        <v>-2.0336154295333846E-2</v>
      </c>
      <c r="I100" s="28">
        <f>+I97*0.1331</f>
        <v>-149789.23663496762</v>
      </c>
      <c r="J100" s="32">
        <f t="shared" si="5"/>
        <v>-1.7149108759741637E-2</v>
      </c>
    </row>
    <row r="101" spans="2:10">
      <c r="B101" s="34" t="s">
        <v>166</v>
      </c>
      <c r="C101" s="34"/>
      <c r="D101" s="34"/>
      <c r="E101" s="28">
        <v>-56400</v>
      </c>
      <c r="F101" s="32">
        <f t="shared" si="3"/>
        <v>-9.2173238857201668E-3</v>
      </c>
      <c r="G101" s="28">
        <v>-56400</v>
      </c>
      <c r="H101" s="32">
        <f t="shared" si="4"/>
        <v>-7.8102960572058759E-3</v>
      </c>
      <c r="I101" s="28">
        <v>-56400</v>
      </c>
      <c r="J101" s="32">
        <f t="shared" si="5"/>
        <v>-6.4571377475305036E-3</v>
      </c>
    </row>
    <row r="102" spans="2:10">
      <c r="B102" s="34" t="s">
        <v>167</v>
      </c>
      <c r="C102" s="34"/>
      <c r="D102" s="34"/>
      <c r="E102" s="28">
        <v>-330000</v>
      </c>
      <c r="F102" s="32">
        <f t="shared" si="3"/>
        <v>-5.3931150395171192E-2</v>
      </c>
      <c r="G102" s="28">
        <v>-330000</v>
      </c>
      <c r="H102" s="32">
        <f t="shared" si="4"/>
        <v>-4.5698540760247146E-2</v>
      </c>
      <c r="I102" s="28">
        <v>-330000</v>
      </c>
      <c r="J102" s="32">
        <f t="shared" si="5"/>
        <v>-3.7781125118529546E-2</v>
      </c>
    </row>
    <row r="103" spans="2:10">
      <c r="B103" s="34" t="s">
        <v>168</v>
      </c>
      <c r="C103" s="34"/>
      <c r="D103" s="34"/>
      <c r="E103" s="28">
        <v>-20000</v>
      </c>
      <c r="F103" s="32">
        <f t="shared" si="3"/>
        <v>-3.2685545694043148E-3</v>
      </c>
      <c r="G103" s="28">
        <v>-25000</v>
      </c>
      <c r="H103" s="32">
        <f t="shared" si="4"/>
        <v>-3.4620106636550868E-3</v>
      </c>
      <c r="I103" s="28">
        <v>-25000</v>
      </c>
      <c r="J103" s="32">
        <f t="shared" si="5"/>
        <v>-2.8622064483734503E-3</v>
      </c>
    </row>
    <row r="104" spans="2:10" ht="12.75" thickBot="1">
      <c r="B104" s="34" t="s">
        <v>169</v>
      </c>
      <c r="C104" s="34"/>
      <c r="D104" s="34"/>
      <c r="E104" s="28">
        <v>-30000</v>
      </c>
      <c r="F104" s="32">
        <f t="shared" si="3"/>
        <v>-4.902831854106472E-3</v>
      </c>
      <c r="G104" s="28">
        <v>-30000</v>
      </c>
      <c r="H104" s="32">
        <f t="shared" si="4"/>
        <v>-4.1544127963861043E-3</v>
      </c>
      <c r="I104" s="28">
        <v>-30000</v>
      </c>
      <c r="J104" s="32">
        <f t="shared" si="5"/>
        <v>-3.4346477380481403E-3</v>
      </c>
    </row>
    <row r="105" spans="2:10" ht="12.75" thickBot="1">
      <c r="B105" s="22" t="s">
        <v>170</v>
      </c>
      <c r="C105" s="22"/>
      <c r="D105" s="22"/>
      <c r="E105" s="23">
        <f>+E86+E88</f>
        <v>1714883.7937769024</v>
      </c>
      <c r="F105" s="24">
        <f t="shared" si="3"/>
        <v>0.28025956300734506</v>
      </c>
      <c r="G105" s="23">
        <f>+G86+G88</f>
        <v>1829467.5968988705</v>
      </c>
      <c r="H105" s="24">
        <f t="shared" si="4"/>
        <v>0.25334545317101342</v>
      </c>
      <c r="I105" s="23">
        <f>+I86+I88</f>
        <v>1946873.3059894843</v>
      </c>
      <c r="J105" s="24">
        <f t="shared" si="5"/>
        <v>0.22289413322276957</v>
      </c>
    </row>
    <row r="107" spans="2:10" ht="15.75">
      <c r="B107" s="329" t="s">
        <v>414</v>
      </c>
    </row>
  </sheetData>
  <mergeCells count="23">
    <mergeCell ref="C1:D1"/>
    <mergeCell ref="E1:F1"/>
    <mergeCell ref="G1:H1"/>
    <mergeCell ref="I1:J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E80:F80"/>
    <mergeCell ref="G80:H80"/>
    <mergeCell ref="I80:J80"/>
    <mergeCell ref="J81:J82"/>
    <mergeCell ref="B81:B82"/>
    <mergeCell ref="E81:E82"/>
    <mergeCell ref="F81:F82"/>
    <mergeCell ref="G81:G82"/>
    <mergeCell ref="H81:H82"/>
    <mergeCell ref="I81:I82"/>
  </mergeCells>
  <hyperlinks>
    <hyperlink ref="B107" r:id="rId1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2"/>
  <sheetViews>
    <sheetView topLeftCell="A19" zoomScale="138" zoomScaleNormal="70" zoomScalePageLayoutView="70" workbookViewId="0">
      <selection activeCell="C25" sqref="C25:F25"/>
    </sheetView>
  </sheetViews>
  <sheetFormatPr baseColWidth="10" defaultColWidth="10.875" defaultRowHeight="12"/>
  <cols>
    <col min="1" max="1" width="10.875" style="176"/>
    <col min="2" max="2" width="44" style="176" customWidth="1"/>
    <col min="3" max="3" width="11.5" style="176" customWidth="1"/>
    <col min="4" max="4" width="12.375" style="176" customWidth="1"/>
    <col min="5" max="5" width="11.875" style="176" customWidth="1"/>
    <col min="6" max="6" width="11.5" style="176" customWidth="1"/>
    <col min="7" max="7" width="12.625" style="176" bestFit="1" customWidth="1"/>
    <col min="8" max="8" width="10.875" style="176"/>
    <col min="9" max="9" width="12.625" style="176" customWidth="1"/>
    <col min="10" max="16384" width="10.875" style="176"/>
  </cols>
  <sheetData>
    <row r="1" spans="1:11" ht="36.75" thickBot="1">
      <c r="A1" s="173" t="s">
        <v>39</v>
      </c>
      <c r="B1" s="174" t="s">
        <v>51</v>
      </c>
      <c r="C1" s="174">
        <v>2016</v>
      </c>
      <c r="D1" s="175">
        <v>2017</v>
      </c>
      <c r="E1" s="174">
        <v>2018</v>
      </c>
      <c r="F1" s="174">
        <v>2019</v>
      </c>
      <c r="G1" s="174" t="s">
        <v>386</v>
      </c>
      <c r="H1" s="174" t="s">
        <v>388</v>
      </c>
      <c r="I1" s="331" t="s">
        <v>415</v>
      </c>
      <c r="J1" s="331" t="s">
        <v>416</v>
      </c>
      <c r="K1" s="331" t="s">
        <v>417</v>
      </c>
    </row>
    <row r="2" spans="1:11" ht="36.75" thickBot="1">
      <c r="A2" s="177" t="s">
        <v>209</v>
      </c>
      <c r="B2" s="434" t="s">
        <v>40</v>
      </c>
      <c r="C2" s="304">
        <f>+(((Salarios!$B$18+Salarios!$E$18+Salarios!$F$18+Salarios!$G$18)/2496)/6)*'P&amp;L Detallado x años (+ planes)'!$C$4</f>
        <v>1966.1822415865381</v>
      </c>
      <c r="D2" s="305">
        <f>+(((Salarios!$B$46+Salarios!$E$46+Salarios!$F$46+Salarios!$G$46)/2496)/6)*'P&amp;L Detallado x años (+ planes)'!$E$4</f>
        <v>3578.1971265135335</v>
      </c>
      <c r="E2" s="305">
        <f>+(((Salarios!$B$75+Salarios!$E$75+Salarios!$F$75+Salarios!$G$75)/2496)/6)*'P&amp;L Detallado x años (+ planes)'!$G$4</f>
        <v>4318.8007178151711</v>
      </c>
      <c r="F2" s="305">
        <f>+(((Salarios!$B$105+Salarios!$E$105+Salarios!$F$105+Salarios!$G$105)/2496)/6)*'P&amp;L Detallado x años (+ planes)'!$I$4</f>
        <v>5216.2624854767646</v>
      </c>
      <c r="G2" s="301" t="s">
        <v>387</v>
      </c>
      <c r="H2" s="302" t="s">
        <v>389</v>
      </c>
      <c r="I2" s="176">
        <v>6</v>
      </c>
      <c r="J2" s="176">
        <f>48*52</f>
        <v>2496</v>
      </c>
      <c r="K2" s="176">
        <f>J2*I2</f>
        <v>14976</v>
      </c>
    </row>
    <row r="3" spans="1:11" ht="36.75" thickBot="1">
      <c r="A3" s="177" t="s">
        <v>210</v>
      </c>
      <c r="B3" s="332" t="s">
        <v>41</v>
      </c>
      <c r="C3" s="304">
        <f>+(((Salarios!$B$18+Salarios!$E$18+Salarios!$F$18+Salarios!$G$18)/2496)/6)*('P&amp;L Detallado x años (+ planes)'!$C$4*0.6)</f>
        <v>1179.709344951923</v>
      </c>
      <c r="D3" s="305">
        <f>+(((Salarios!$B$46+Salarios!$E$46+Salarios!$F$46+Salarios!$G$46)/2496)/6)*('P&amp;L Detallado x años (+ planes)'!$E$4*0.6)</f>
        <v>2146.91827590812</v>
      </c>
      <c r="E3" s="305">
        <f>+(((Salarios!$B$75+Salarios!$E$75+Salarios!$F$75+Salarios!$G$75)/2496)/6)*('P&amp;L Detallado x años (+ planes)'!$G$4*0.6)</f>
        <v>2591.2804306891026</v>
      </c>
      <c r="F3" s="305">
        <f>+(((Salarios!$B$105+Salarios!$E$105+Salarios!$F$105+Salarios!$G$105)/2496)/6)*('P&amp;L Detallado x años (+ planes)'!$I$4*0.6)</f>
        <v>3129.7574912860587</v>
      </c>
      <c r="G3" s="301" t="s">
        <v>387</v>
      </c>
      <c r="H3" s="302" t="s">
        <v>390</v>
      </c>
      <c r="I3" s="176">
        <v>6</v>
      </c>
      <c r="J3" s="176">
        <f>48*52</f>
        <v>2496</v>
      </c>
    </row>
    <row r="4" spans="1:11" ht="36.75" thickBot="1">
      <c r="A4" s="180" t="s">
        <v>195</v>
      </c>
      <c r="B4" s="332" t="s">
        <v>42</v>
      </c>
      <c r="C4" s="178"/>
      <c r="D4" s="305">
        <f>+(((Salarios!$B$36+Salarios!$E$36+Salarios!$F$36+Salarios!$G$36)/2496)/12)*'P&amp;L Detallado x años (+ planes)'!$E$4</f>
        <v>2046.1910056089746</v>
      </c>
      <c r="E4" s="305">
        <f>+(((Salarios!$B$64+Salarios!$E$64+Salarios!$F$64+Salarios!$G$64)/2496)/12)*'P&amp;L Detallado x años (+ planes)'!$G$4</f>
        <v>2524.7085458956553</v>
      </c>
      <c r="F4" s="305">
        <f>+(((Salarios!$B$94+Salarios!$E$94+Salarios!$F$94+Salarios!$G$94)/2496)/12)*'P&amp;L Detallado x años (+ planes)'!$I$4</f>
        <v>3085.7320012575678</v>
      </c>
      <c r="G4" s="303" t="s">
        <v>392</v>
      </c>
      <c r="H4" s="301" t="s">
        <v>389</v>
      </c>
      <c r="I4" s="176">
        <v>12</v>
      </c>
      <c r="J4" s="176">
        <f>48*52</f>
        <v>2496</v>
      </c>
    </row>
    <row r="5" spans="1:11" ht="36.75" thickBot="1">
      <c r="A5" s="180" t="s">
        <v>195</v>
      </c>
      <c r="B5" s="332" t="s">
        <v>49</v>
      </c>
      <c r="C5" s="178"/>
      <c r="D5" s="305">
        <f>+(((Salarios!$B$36+Salarios!$E$36+Salarios!$F$36+Salarios!$G$36)/2496)/60)*'P&amp;L Detallado x años (+ planes)'!$E$4</f>
        <v>409.23820112179493</v>
      </c>
      <c r="E5" s="305">
        <f>+(((Salarios!$B$64+Salarios!$E$64+Salarios!$F$64+Salarios!$G$64)/2496)/60)*'P&amp;L Detallado x años (+ planes)'!$G$4</f>
        <v>504.94170917913112</v>
      </c>
      <c r="F5" s="305">
        <f>+(((Salarios!$B$94+Salarios!$E$94+Salarios!$F$94+Salarios!$G$94)/2496)/60)*'P&amp;L Detallado x años (+ planes)'!$I$4</f>
        <v>617.14640025151357</v>
      </c>
      <c r="G5" s="303" t="s">
        <v>392</v>
      </c>
      <c r="H5" s="301" t="s">
        <v>389</v>
      </c>
      <c r="I5" s="176">
        <v>60</v>
      </c>
      <c r="J5" s="176">
        <f>48*52</f>
        <v>2496</v>
      </c>
    </row>
    <row r="6" spans="1:11" ht="36.75" thickBot="1">
      <c r="A6" s="180" t="s">
        <v>196</v>
      </c>
      <c r="B6" s="332" t="s">
        <v>43</v>
      </c>
      <c r="C6" s="178"/>
      <c r="D6" s="305">
        <f>+(((Salarios!$B$34+Salarios!$E$34+Salarios!$F$34+Salarios!$G$34)/2496)/6)*'P&amp;L Detallado x años (+ planes)'!$E$4</f>
        <v>9215.1537237357552</v>
      </c>
      <c r="E6" s="305">
        <f>+(((Salarios!$B$62+Salarios!$E$62+Salarios!$F$62+Salarios!$G$62)/2496)/6)*'P&amp;L Detallado x años (+ planes)'!$G$4</f>
        <v>11122.476238648505</v>
      </c>
      <c r="F6" s="305">
        <f>+(((Salarios!$B$92+Salarios!$E$92+Salarios!$F$92+Salarios!$G$92)/2496)/6)*'P&amp;L Detallado x años (+ planes)'!$I$4</f>
        <v>13433.765376101765</v>
      </c>
      <c r="G6" s="301" t="s">
        <v>115</v>
      </c>
      <c r="H6" s="301" t="s">
        <v>389</v>
      </c>
    </row>
    <row r="7" spans="1:11" ht="36.75" thickBot="1">
      <c r="A7" s="180" t="s">
        <v>196</v>
      </c>
      <c r="B7" s="332" t="s">
        <v>44</v>
      </c>
      <c r="C7" s="178"/>
      <c r="D7" s="305">
        <f>+(((Salarios!$B$34+Salarios!$E$34+Salarios!$F$34+Salarios!$G$34)/2496)/5)*'P&amp;L Detallado x años (+ planes)'!$E$4</f>
        <v>11058.184468482905</v>
      </c>
      <c r="E7" s="305">
        <f>+(((Salarios!$B$62+Salarios!$E$62+Salarios!$F$62+Salarios!$G$62)/2496)/5)*'P&amp;L Detallado x años (+ planes)'!$G$4</f>
        <v>13346.971486378205</v>
      </c>
      <c r="F7" s="305">
        <f>+(((Salarios!$B$92+Salarios!$E$92+Salarios!$F$92+Salarios!$G$92)/2496)/5)*'P&amp;L Detallado x años (+ planes)'!$I$4</f>
        <v>16120.518451322117</v>
      </c>
      <c r="G7" s="301" t="s">
        <v>115</v>
      </c>
      <c r="H7" s="301" t="s">
        <v>389</v>
      </c>
    </row>
    <row r="8" spans="1:11" ht="36.75" thickBot="1">
      <c r="A8" s="180" t="s">
        <v>196</v>
      </c>
      <c r="B8" s="332" t="s">
        <v>197</v>
      </c>
      <c r="C8" s="178"/>
      <c r="D8" s="305">
        <f>+(((Salarios!$B$34+Salarios!$E$34+Salarios!$F$34+Salarios!$G$34)/2496)/10)*'P&amp;L Detallado x años (+ planes)'!$E$4</f>
        <v>5529.0922342414524</v>
      </c>
      <c r="E8" s="305">
        <f>+(((Salarios!$B$62+Salarios!$E$62+Salarios!$F$62+Salarios!$G$62)/2496)/10)*'P&amp;L Detallado x años (+ planes)'!$G$4</f>
        <v>6673.4857431891023</v>
      </c>
      <c r="F8" s="305">
        <f>+(((Salarios!$B$92+Salarios!$E$92+Salarios!$F$92+Salarios!$G$92)/2496)/10)*'P&amp;L Detallado x años (+ planes)'!$I$4</f>
        <v>8060.2592256610587</v>
      </c>
      <c r="G8" s="301" t="s">
        <v>115</v>
      </c>
      <c r="H8" s="301" t="s">
        <v>389</v>
      </c>
    </row>
    <row r="9" spans="1:11" ht="36.75" thickBot="1">
      <c r="A9" s="180" t="s">
        <v>196</v>
      </c>
      <c r="B9" s="332" t="s">
        <v>45</v>
      </c>
      <c r="C9" s="178"/>
      <c r="D9" s="305">
        <f>+(((Salarios!$B$34+Salarios!$E$34+Salarios!$F$34+Salarios!$G$34)/2496)/10)*'P&amp;L Detallado x años (+ planes)'!$E$4</f>
        <v>5529.0922342414524</v>
      </c>
      <c r="E9" s="305">
        <f>+(((Salarios!$B$62+Salarios!$E$62+Salarios!$F$62+Salarios!$G$62)/2496)/10)*'P&amp;L Detallado x años (+ planes)'!$G$4</f>
        <v>6673.4857431891023</v>
      </c>
      <c r="F9" s="305">
        <f>+(((Salarios!$B$92+Salarios!$E$92+Salarios!$F$92+Salarios!$G$92)/2496)/10)*'P&amp;L Detallado x años (+ planes)'!$I$4</f>
        <v>8060.2592256610587</v>
      </c>
      <c r="G9" s="301" t="s">
        <v>115</v>
      </c>
      <c r="H9" s="301" t="s">
        <v>389</v>
      </c>
    </row>
    <row r="10" spans="1:11" ht="36.75" thickBot="1">
      <c r="A10" s="180" t="s">
        <v>196</v>
      </c>
      <c r="B10" s="332" t="s">
        <v>46</v>
      </c>
      <c r="C10" s="305">
        <f>+(((Salarios!$B$5+Salarios!$E$5+Salarios!$F$5+Salarios!$G$5)/2496)/4)*'P&amp;L Detallado x años (+ planes)'!$E$4</f>
        <v>14745.854617498553</v>
      </c>
      <c r="D10" s="305">
        <f>+(((Salarios!$B$34+Salarios!$E$34+Salarios!$F$34+Salarios!$G$34)/2496)/4)*'P&amp;L Detallado x años (+ planes)'!$E$4</f>
        <v>13822.730585603631</v>
      </c>
      <c r="E10" s="305">
        <f>+(((Salarios!$B$62+Salarios!$E$62+Salarios!$F$62+Salarios!$G$62)/2496)/4)*'P&amp;L Detallado x años (+ planes)'!$G$4</f>
        <v>16683.714357972756</v>
      </c>
      <c r="F10" s="305">
        <f>+(((Salarios!$B$92+Salarios!$E$92+Salarios!$F$92+Salarios!$G$92)/2496)/4)*'P&amp;L Detallado x años (+ planes)'!$I$4</f>
        <v>20150.648064152643</v>
      </c>
      <c r="G10" s="301" t="s">
        <v>115</v>
      </c>
      <c r="H10" s="301" t="s">
        <v>389</v>
      </c>
    </row>
    <row r="11" spans="1:11" ht="36.75" thickBot="1">
      <c r="A11" s="180" t="s">
        <v>198</v>
      </c>
      <c r="B11" s="332" t="s">
        <v>47</v>
      </c>
      <c r="C11" s="178"/>
      <c r="D11" s="305">
        <f>+(((Salarios!$B$34+Salarios!$E$34+Salarios!$F$34+Salarios!$G$34)/2496)/6)*'P&amp;L Detallado x años (+ planes)'!$E$4</f>
        <v>9215.1537237357552</v>
      </c>
      <c r="E11" s="305">
        <f>+(((Salarios!$B$62+Salarios!$E$62+Salarios!$F$62+Salarios!$G$62)/2496)/6)*'P&amp;L Detallado x años (+ planes)'!$G$4</f>
        <v>11122.476238648505</v>
      </c>
      <c r="F11" s="305">
        <f>+(((Salarios!$B$92+Salarios!$E$92+Salarios!$F$92+Salarios!$G$92)/2496)/6)*'P&amp;L Detallado x años (+ planes)'!$I$4</f>
        <v>13433.765376101765</v>
      </c>
      <c r="G11" s="301" t="s">
        <v>115</v>
      </c>
      <c r="H11" s="301" t="s">
        <v>389</v>
      </c>
    </row>
    <row r="12" spans="1:11" ht="36.75" thickBot="1">
      <c r="A12" s="180" t="s">
        <v>196</v>
      </c>
      <c r="B12" s="332" t="s">
        <v>48</v>
      </c>
      <c r="C12" s="178"/>
      <c r="D12" s="305">
        <f>+(((Salarios!$B$34+Salarios!$E$34+Salarios!$F$34+Salarios!$G$34)/2496)/30)*'P&amp;L Detallado x años (+ planes)'!$E$4</f>
        <v>1843.0307447471507</v>
      </c>
      <c r="E12" s="305">
        <f>+(((Salarios!$B$62+Salarios!$E$62+Salarios!$F$62+Salarios!$G$62)/2496)/30)*'P&amp;L Detallado x años (+ planes)'!$G$4</f>
        <v>2224.4952477297011</v>
      </c>
      <c r="F12" s="305">
        <f>+(((Salarios!$B$92+Salarios!$E$92+Salarios!$F$92+Salarios!$G$92)/2496)/30)*'P&amp;L Detallado x años (+ planes)'!$I$4</f>
        <v>2686.7530752203525</v>
      </c>
      <c r="G12" s="301" t="s">
        <v>115</v>
      </c>
      <c r="H12" s="301" t="s">
        <v>389</v>
      </c>
    </row>
    <row r="13" spans="1:11" ht="24.75" thickBot="1">
      <c r="A13" s="180" t="s">
        <v>199</v>
      </c>
      <c r="B13" s="178" t="s">
        <v>200</v>
      </c>
      <c r="C13" s="178"/>
      <c r="D13" s="305">
        <v>88750</v>
      </c>
      <c r="E13" s="305">
        <v>16250</v>
      </c>
      <c r="F13" s="305"/>
      <c r="G13" s="301" t="s">
        <v>387</v>
      </c>
      <c r="H13" s="302" t="s">
        <v>391</v>
      </c>
    </row>
    <row r="14" spans="1:11" ht="24.75" thickBot="1">
      <c r="A14" s="181" t="s">
        <v>201</v>
      </c>
      <c r="B14" s="178" t="s">
        <v>202</v>
      </c>
      <c r="C14" s="178"/>
      <c r="D14" s="305">
        <v>90000</v>
      </c>
      <c r="E14" s="182"/>
      <c r="F14" s="182"/>
      <c r="G14" s="301" t="s">
        <v>115</v>
      </c>
      <c r="H14" s="302" t="s">
        <v>391</v>
      </c>
    </row>
    <row r="15" spans="1:11" ht="24.75" thickBot="1">
      <c r="A15" s="181" t="s">
        <v>203</v>
      </c>
      <c r="B15" s="178" t="s">
        <v>204</v>
      </c>
      <c r="C15" s="178"/>
      <c r="D15" s="305">
        <v>50000</v>
      </c>
      <c r="E15" s="179"/>
      <c r="F15" s="179"/>
      <c r="G15" s="301" t="s">
        <v>115</v>
      </c>
      <c r="H15" s="302" t="s">
        <v>391</v>
      </c>
    </row>
    <row r="16" spans="1:11" ht="24.75" thickBot="1">
      <c r="A16" s="181" t="s">
        <v>203</v>
      </c>
      <c r="B16" s="178" t="s">
        <v>205</v>
      </c>
      <c r="C16" s="178"/>
      <c r="D16" s="305">
        <v>60200</v>
      </c>
      <c r="E16" s="182"/>
      <c r="F16" s="182"/>
      <c r="G16" s="301" t="s">
        <v>115</v>
      </c>
      <c r="H16" s="302" t="s">
        <v>391</v>
      </c>
    </row>
    <row r="17" spans="1:8" ht="24.75" thickBot="1">
      <c r="A17" s="181" t="s">
        <v>203</v>
      </c>
      <c r="B17" s="178" t="s">
        <v>206</v>
      </c>
      <c r="C17" s="178"/>
      <c r="D17" s="182"/>
      <c r="E17" s="305">
        <v>47200</v>
      </c>
      <c r="F17" s="182"/>
      <c r="G17" s="301" t="s">
        <v>115</v>
      </c>
      <c r="H17" s="302" t="s">
        <v>391</v>
      </c>
    </row>
    <row r="18" spans="1:8" ht="24.75" thickBot="1">
      <c r="A18" s="181" t="s">
        <v>207</v>
      </c>
      <c r="B18" s="332" t="s">
        <v>208</v>
      </c>
      <c r="C18" s="178"/>
      <c r="D18" s="305">
        <v>19800</v>
      </c>
      <c r="E18" s="305">
        <v>19800</v>
      </c>
      <c r="F18" s="179"/>
      <c r="G18" s="301" t="s">
        <v>115</v>
      </c>
      <c r="H18" s="302" t="s">
        <v>391</v>
      </c>
    </row>
    <row r="19" spans="1:8" ht="12.75" thickBot="1">
      <c r="A19" s="401" t="s">
        <v>50</v>
      </c>
      <c r="B19" s="402"/>
      <c r="C19" s="306">
        <f>+SUM(C2:C18)</f>
        <v>17891.746204037016</v>
      </c>
      <c r="D19" s="306">
        <f>+SUM(D2:D18)</f>
        <v>373142.98232394049</v>
      </c>
      <c r="E19" s="306">
        <f>+SUM(E2:E18)</f>
        <v>161036.83645933494</v>
      </c>
      <c r="F19" s="306">
        <f>+SUM(F2:F18)</f>
        <v>93994.867172492653</v>
      </c>
    </row>
    <row r="20" spans="1:8">
      <c r="G20" s="417">
        <f>E13*3+40000</f>
        <v>88750</v>
      </c>
    </row>
    <row r="21" spans="1:8">
      <c r="A21" s="421" t="s">
        <v>159</v>
      </c>
      <c r="G21" s="417"/>
    </row>
    <row r="22" spans="1:8">
      <c r="B22" s="418" t="s">
        <v>442</v>
      </c>
      <c r="C22" s="418"/>
      <c r="D22" s="419">
        <f>SUM(D13:D17)</f>
        <v>288950</v>
      </c>
      <c r="E22" s="419">
        <f>SUM(E13:E18)</f>
        <v>83250</v>
      </c>
      <c r="F22" s="419">
        <f>SUM(F13:F18)</f>
        <v>0</v>
      </c>
    </row>
    <row r="23" spans="1:8">
      <c r="B23" s="418" t="s">
        <v>440</v>
      </c>
      <c r="C23" s="418"/>
      <c r="D23" s="420">
        <f>D22/5</f>
        <v>57790</v>
      </c>
      <c r="E23" s="420">
        <f t="shared" ref="E23:F23" si="0">E22/5</f>
        <v>16650</v>
      </c>
      <c r="F23" s="420">
        <f t="shared" si="0"/>
        <v>0</v>
      </c>
    </row>
    <row r="24" spans="1:8">
      <c r="B24" s="418" t="s">
        <v>441</v>
      </c>
      <c r="C24" s="420"/>
      <c r="D24" s="420">
        <f>D23</f>
        <v>57790</v>
      </c>
      <c r="E24" s="420">
        <f>E23+D24</f>
        <v>74440</v>
      </c>
      <c r="F24" s="420">
        <f>E24+F23</f>
        <v>74440</v>
      </c>
    </row>
    <row r="25" spans="1:8">
      <c r="B25" s="418" t="s">
        <v>443</v>
      </c>
      <c r="C25" s="420">
        <f>'P&amp;L Detallado x años (+ planes)'!C65*-1</f>
        <v>37507.15</v>
      </c>
      <c r="D25" s="420">
        <f>D24+(C25*(7/8))</f>
        <v>90608.756250000006</v>
      </c>
      <c r="E25" s="420">
        <f>D25+(C25*(6/8))</f>
        <v>118739.11875000001</v>
      </c>
      <c r="F25" s="420">
        <f>E25+(C25*(5/8))</f>
        <v>142181.08750000002</v>
      </c>
    </row>
    <row r="26" spans="1:8" ht="12.75" thickBot="1"/>
    <row r="27" spans="1:8" ht="12.75" thickBot="1">
      <c r="A27" s="173" t="s">
        <v>39</v>
      </c>
      <c r="B27" s="174" t="s">
        <v>51</v>
      </c>
      <c r="C27" s="174">
        <v>2016</v>
      </c>
      <c r="D27" s="175">
        <v>2017</v>
      </c>
      <c r="E27" s="174">
        <v>2018</v>
      </c>
      <c r="F27" s="174">
        <v>2019</v>
      </c>
    </row>
    <row r="28" spans="1:8" ht="24.75" thickBot="1">
      <c r="A28" s="181" t="s">
        <v>201</v>
      </c>
      <c r="B28" s="178" t="s">
        <v>202</v>
      </c>
      <c r="C28" s="178"/>
      <c r="D28" s="305">
        <v>90000</v>
      </c>
      <c r="E28" s="182"/>
      <c r="F28" s="182"/>
    </row>
    <row r="29" spans="1:8" ht="12.75" thickBot="1">
      <c r="A29" s="181" t="s">
        <v>203</v>
      </c>
      <c r="B29" s="178" t="s">
        <v>204</v>
      </c>
      <c r="C29" s="178"/>
      <c r="D29" s="305">
        <v>50000</v>
      </c>
      <c r="E29" s="179"/>
      <c r="F29" s="179"/>
    </row>
    <row r="30" spans="1:8" ht="12.75" thickBot="1">
      <c r="A30" s="181" t="s">
        <v>203</v>
      </c>
      <c r="B30" s="178" t="s">
        <v>205</v>
      </c>
      <c r="C30" s="178"/>
      <c r="D30" s="305">
        <v>60200</v>
      </c>
      <c r="E30" s="182"/>
      <c r="F30" s="182"/>
    </row>
    <row r="31" spans="1:8" ht="24.75" thickBot="1">
      <c r="A31" s="181" t="s">
        <v>203</v>
      </c>
      <c r="B31" s="178" t="s">
        <v>206</v>
      </c>
      <c r="C31" s="178"/>
      <c r="D31" s="182"/>
      <c r="E31" s="305">
        <v>47200</v>
      </c>
      <c r="F31" s="182"/>
    </row>
    <row r="32" spans="1:8" ht="12.75" thickBot="1">
      <c r="A32" s="180" t="s">
        <v>199</v>
      </c>
      <c r="B32" s="330" t="s">
        <v>418</v>
      </c>
      <c r="C32" s="178"/>
      <c r="D32" s="305">
        <f>16250*3</f>
        <v>48750</v>
      </c>
      <c r="E32" s="305"/>
      <c r="F32" s="182"/>
    </row>
    <row r="33" spans="1:6" ht="12.75" thickBot="1">
      <c r="A33" s="180" t="s">
        <v>199</v>
      </c>
      <c r="B33" s="330" t="s">
        <v>419</v>
      </c>
      <c r="C33" s="178"/>
      <c r="D33" s="305">
        <v>40000</v>
      </c>
      <c r="E33" s="305">
        <f>E13</f>
        <v>16250</v>
      </c>
      <c r="F33" s="182"/>
    </row>
    <row r="34" spans="1:6" ht="12.75" thickBot="1">
      <c r="A34" s="181" t="s">
        <v>203</v>
      </c>
      <c r="B34" s="178" t="s">
        <v>454</v>
      </c>
      <c r="C34" s="305">
        <f>'P&amp;L Detallado x años (+ planes)'!C68*-1</f>
        <v>185919.55937499998</v>
      </c>
      <c r="D34" s="305">
        <f>'P&amp;L Detallado x años (+ planes)'!E68*-1</f>
        <v>401160</v>
      </c>
      <c r="E34" s="305">
        <f>'P&amp;L Detallado x años (+ planes)'!G68*-1</f>
        <v>493218</v>
      </c>
      <c r="F34" s="305">
        <f>'P&amp;L Detallado x años (+ planes)'!I68*-1</f>
        <v>517879</v>
      </c>
    </row>
    <row r="35" spans="1:6" ht="12.75" thickBot="1">
      <c r="A35" s="181" t="s">
        <v>203</v>
      </c>
      <c r="B35" s="330" t="s">
        <v>449</v>
      </c>
      <c r="C35" s="305">
        <f>'P&amp;L Detallado x años (+ planes)'!C70*-1</f>
        <v>64369.923850888896</v>
      </c>
      <c r="D35" s="305">
        <f>'P&amp;L Detallado x años (+ planes)'!E70*-1</f>
        <v>56400</v>
      </c>
      <c r="E35" s="305">
        <f>'P&amp;L Detallado x años (+ planes)'!G70*-1</f>
        <v>56400</v>
      </c>
      <c r="F35" s="305">
        <f>'P&amp;L Detallado x años (+ planes)'!I70*-1</f>
        <v>56400</v>
      </c>
    </row>
    <row r="36" spans="1:6" ht="12.75" thickBot="1">
      <c r="A36" s="181" t="s">
        <v>203</v>
      </c>
      <c r="B36" s="330" t="s">
        <v>168</v>
      </c>
      <c r="C36" s="305">
        <f>'P&amp;L Detallado x años (+ planes)'!C72*-1</f>
        <v>22507.285990811011</v>
      </c>
      <c r="D36" s="305">
        <f>'P&amp;L Detallado x años (+ planes)'!E72*-1</f>
        <v>40000</v>
      </c>
      <c r="E36" s="305">
        <f>'P&amp;L Detallado x años (+ planes)'!G72*-1</f>
        <v>40000</v>
      </c>
      <c r="F36" s="305">
        <f>'P&amp;L Detallado x años (+ planes)'!I72*-1</f>
        <v>40000</v>
      </c>
    </row>
    <row r="37" spans="1:6" ht="24.75" thickBot="1">
      <c r="A37" s="330"/>
      <c r="B37" s="330" t="s">
        <v>451</v>
      </c>
      <c r="C37" s="305">
        <f>'P&amp;L Detallado x años (+ planes)'!C69*-1</f>
        <v>66833.141516963151</v>
      </c>
      <c r="D37" s="305">
        <f>'P&amp;L Detallado x años (+ planes)'!E69*-1</f>
        <v>144025.79999999999</v>
      </c>
      <c r="E37" s="305">
        <f>'P&amp;L Detallado x años (+ planes)'!G69*-1</f>
        <v>182005</v>
      </c>
      <c r="F37" s="305">
        <f>'P&amp;L Detallado x años (+ planes)'!I69*-1</f>
        <v>191947.96956402605</v>
      </c>
    </row>
    <row r="38" spans="1:6" ht="12.75" thickBot="1">
      <c r="A38" s="181" t="s">
        <v>203</v>
      </c>
      <c r="B38" s="436" t="s">
        <v>452</v>
      </c>
      <c r="C38" s="305">
        <f>('P&amp;L Detallado x años (+ planes)'!C64+'P&amp;L Detallado x años (+ planes)'!C67)*-1</f>
        <v>37761.639889790677</v>
      </c>
      <c r="D38" s="305">
        <f>('P&amp;L Detallado x años (+ planes)'!E64+'P&amp;L Detallado x años (+ planes)'!E67)*-1</f>
        <v>52400</v>
      </c>
      <c r="E38" s="305">
        <f>('P&amp;L Detallado x años (+ planes)'!G64+'P&amp;L Detallado x años (+ planes)'!G67)*-1</f>
        <v>52400</v>
      </c>
      <c r="F38" s="305">
        <f>('P&amp;L Detallado x años (+ planes)'!I64+'P&amp;L Detallado x años (+ planes)'!I67)*-1</f>
        <v>52400</v>
      </c>
    </row>
    <row r="39" spans="1:6" ht="12.75" thickBot="1">
      <c r="A39" s="435"/>
      <c r="B39" s="438" t="s">
        <v>161</v>
      </c>
      <c r="C39" s="305">
        <v>18211.492886906399</v>
      </c>
      <c r="D39" s="305">
        <v>22800</v>
      </c>
      <c r="E39" s="305">
        <v>22800</v>
      </c>
      <c r="F39" s="305">
        <v>22800</v>
      </c>
    </row>
    <row r="40" spans="1:6" ht="12.75" thickBot="1">
      <c r="A40" s="401" t="s">
        <v>50</v>
      </c>
      <c r="B40" s="437"/>
      <c r="C40" s="306">
        <f>SUM(C28:C39)</f>
        <v>395603.04351036006</v>
      </c>
      <c r="D40" s="306">
        <f t="shared" ref="D40:F40" si="1">SUM(D28:D39)</f>
        <v>1005735.8</v>
      </c>
      <c r="E40" s="306">
        <f t="shared" si="1"/>
        <v>910273</v>
      </c>
      <c r="F40" s="306">
        <f t="shared" si="1"/>
        <v>881426.96956402599</v>
      </c>
    </row>
    <row r="42" spans="1:6">
      <c r="B42" s="176" t="s">
        <v>455</v>
      </c>
      <c r="C42" s="416">
        <f>C40-SUM(C28:C31)-SUM(C32:C33)</f>
        <v>395603.04351036006</v>
      </c>
      <c r="D42" s="416">
        <f>D40-SUM(D28:D31)-SUM(D32:D33)</f>
        <v>716785.8</v>
      </c>
      <c r="E42" s="416">
        <f t="shared" ref="E42:F42" si="2">E40-SUM(E28:E31)-SUM(E32:E33)</f>
        <v>846823</v>
      </c>
      <c r="F42" s="416">
        <f t="shared" si="2"/>
        <v>881426.96956402599</v>
      </c>
    </row>
  </sheetData>
  <mergeCells count="2">
    <mergeCell ref="A19:B19"/>
    <mergeCell ref="A40:B4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="150" workbookViewId="0">
      <selection activeCell="B4" sqref="B4"/>
    </sheetView>
  </sheetViews>
  <sheetFormatPr baseColWidth="10" defaultColWidth="10.875" defaultRowHeight="15.75"/>
  <cols>
    <col min="1" max="2" width="26.875" style="13" customWidth="1"/>
    <col min="3" max="4" width="9.375" style="13" customWidth="1"/>
    <col min="5" max="5" width="10.125" style="13" bestFit="1" customWidth="1"/>
    <col min="6" max="6" width="11.375" style="13" bestFit="1" customWidth="1"/>
    <col min="7" max="7" width="14" style="13" bestFit="1" customWidth="1"/>
    <col min="8" max="16384" width="10.875" style="13"/>
  </cols>
  <sheetData>
    <row r="1" spans="1:8" ht="24.75" thickBot="1">
      <c r="A1" s="167" t="s">
        <v>39</v>
      </c>
      <c r="B1" s="184" t="s">
        <v>57</v>
      </c>
      <c r="C1" s="184">
        <v>2016</v>
      </c>
      <c r="D1" s="184">
        <v>2017</v>
      </c>
      <c r="E1" s="184">
        <v>2018</v>
      </c>
      <c r="F1" s="184">
        <v>2019</v>
      </c>
      <c r="G1" s="174" t="s">
        <v>386</v>
      </c>
      <c r="H1" s="174" t="s">
        <v>388</v>
      </c>
    </row>
    <row r="2" spans="1:8" ht="34.5" thickBot="1">
      <c r="A2" s="185" t="s">
        <v>226</v>
      </c>
      <c r="B2" s="170" t="s">
        <v>445</v>
      </c>
      <c r="C2" s="170"/>
      <c r="D2" s="307">
        <v>39900</v>
      </c>
      <c r="E2" s="307">
        <v>11117.97</v>
      </c>
      <c r="F2" s="307">
        <v>8935.94</v>
      </c>
      <c r="G2" s="312" t="s">
        <v>394</v>
      </c>
      <c r="H2" s="312" t="s">
        <v>395</v>
      </c>
    </row>
    <row r="3" spans="1:8" ht="23.25" thickBot="1">
      <c r="A3" s="185" t="s">
        <v>227</v>
      </c>
      <c r="B3" s="170" t="s">
        <v>228</v>
      </c>
      <c r="C3" s="170"/>
      <c r="D3" s="307">
        <f>+('P&amp;L Detallado x años (+ planes)'!E4*1%)*('P&amp;L Detallado x años (+ planes)'!E5+'P&amp;L Detallado x años (+ planes)'!E6)</f>
        <v>8015.5844000000006</v>
      </c>
      <c r="E3" s="307">
        <f>+('P&amp;L Detallado x años (+ planes)'!G4*1%)*('P&amp;L Detallado x años (+ planes)'!G5+'P&amp;L Detallado x años (+ planes)'!G6)</f>
        <v>8860.7273644594825</v>
      </c>
      <c r="F3" s="307">
        <f>+('P&amp;L Detallado x años (+ planes)'!I4*1%)*('P&amp;L Detallado x años (+ planes)'!I5+'P&amp;L Detallado x años (+ planes)'!I6)</f>
        <v>10328.557786455185</v>
      </c>
      <c r="G3" s="312" t="s">
        <v>400</v>
      </c>
      <c r="H3" s="312" t="s">
        <v>401</v>
      </c>
    </row>
    <row r="4" spans="1:8" ht="16.5" thickBot="1">
      <c r="A4" s="185" t="s">
        <v>229</v>
      </c>
      <c r="B4" s="422" t="s">
        <v>230</v>
      </c>
      <c r="C4" s="170"/>
      <c r="D4" s="310">
        <f>((+Salarios!B35+Salarios!E35+Salarios!F35+Salarios!G35)*50%)+(220/1.18)</f>
        <v>18198.274011299436</v>
      </c>
      <c r="E4" s="310">
        <f>((+Salarios!B63+Salarios!E63+Salarios!F63+Salarios!G63)*50%)+(220/1.18)</f>
        <v>19098.865677966103</v>
      </c>
      <c r="F4" s="310">
        <f>((+Salarios!B93+Salarios!E93+Salarios!F93+Salarios!G93)*50%)+(220/1.18)</f>
        <v>20044.486927966103</v>
      </c>
      <c r="G4" s="312" t="s">
        <v>133</v>
      </c>
      <c r="H4" s="312" t="s">
        <v>396</v>
      </c>
    </row>
    <row r="5" spans="1:8" ht="16.5" thickBot="1">
      <c r="A5" s="185" t="s">
        <v>58</v>
      </c>
      <c r="B5" s="422" t="s">
        <v>59</v>
      </c>
      <c r="C5" s="170"/>
      <c r="D5" s="310">
        <f>(Salarios!$B$32+Salarios!$E$32+Salarios!$F$32+Salarios!$G$32)*5%</f>
        <v>14458.390625</v>
      </c>
      <c r="E5" s="310">
        <f>(Salarios!$B$60+Salarios!$E$60+Salarios!$F$60+Salarios!$G$60)*5%</f>
        <v>15181.310156250001</v>
      </c>
      <c r="F5" s="171"/>
      <c r="G5" s="312" t="s">
        <v>394</v>
      </c>
      <c r="H5" s="312" t="s">
        <v>396</v>
      </c>
    </row>
    <row r="6" spans="1:8" ht="23.25" thickBot="1">
      <c r="A6" s="185" t="s">
        <v>231</v>
      </c>
      <c r="B6" s="422" t="s">
        <v>62</v>
      </c>
      <c r="C6" s="170"/>
      <c r="D6" s="310">
        <f>+Salarios!B52+Salarios!E52+Salarios!F52+Salarios!G52</f>
        <v>28676.069791666669</v>
      </c>
      <c r="E6" s="310">
        <f>+Salarios!B82+Salarios!E82+Salarios!F82+Salarios!G82</f>
        <v>57649.731250000004</v>
      </c>
      <c r="F6" s="310">
        <f>+Salarios!B112+Salarios!E112+Salarios!F112+Salarios!G112</f>
        <v>60788.890624999993</v>
      </c>
      <c r="G6" s="312" t="s">
        <v>399</v>
      </c>
      <c r="H6" s="312" t="s">
        <v>396</v>
      </c>
    </row>
    <row r="7" spans="1:8" ht="34.5" thickBot="1">
      <c r="A7" s="185" t="s">
        <v>232</v>
      </c>
      <c r="B7" s="170" t="s">
        <v>446</v>
      </c>
      <c r="C7" s="308">
        <v>106364.15</v>
      </c>
      <c r="D7" s="307">
        <v>511432.65</v>
      </c>
      <c r="E7" s="307">
        <v>586826.44999999995</v>
      </c>
      <c r="F7" s="307">
        <v>695991.15</v>
      </c>
      <c r="G7" s="312" t="s">
        <v>394</v>
      </c>
      <c r="H7" s="312" t="s">
        <v>398</v>
      </c>
    </row>
    <row r="8" spans="1:8" ht="16.5" thickBot="1">
      <c r="A8" s="411" t="s">
        <v>233</v>
      </c>
      <c r="B8" s="170" t="s">
        <v>61</v>
      </c>
      <c r="C8" s="309">
        <f>+Salarios!D25</f>
        <v>38634.089999999997</v>
      </c>
      <c r="D8" s="310">
        <f>+Salarios!D53+Salarios!D54</f>
        <v>64320</v>
      </c>
      <c r="E8" s="310">
        <f>+Salarios!D83+Salarios!D84</f>
        <v>73968</v>
      </c>
      <c r="F8" s="310">
        <f>+Salarios!D113+Salarios!D114</f>
        <v>81364.800000000003</v>
      </c>
      <c r="G8" s="312" t="s">
        <v>397</v>
      </c>
      <c r="H8" s="312" t="s">
        <v>396</v>
      </c>
    </row>
    <row r="9" spans="1:8" ht="16.5" thickBot="1">
      <c r="A9" s="412"/>
      <c r="B9" s="170" t="s">
        <v>234</v>
      </c>
      <c r="C9" s="308">
        <f>+'P&amp;L Detallado x años (+ planes)'!C8*12.5%*9%</f>
        <v>57951.194456043282</v>
      </c>
      <c r="D9" s="307">
        <f>+'P&amp;L Detallado x años (+ planes)'!E8*12.5%*10%</f>
        <v>76486.408500000005</v>
      </c>
      <c r="E9" s="307">
        <f>+'P&amp;L Detallado x años (+ planes)'!G8*12.5%*10%</f>
        <v>90265.464309711824</v>
      </c>
      <c r="F9" s="307">
        <f>+'P&amp;L Detallado x años (+ planes)'!I8*12.5%*10%</f>
        <v>109181.50232579804</v>
      </c>
      <c r="G9" s="312" t="s">
        <v>394</v>
      </c>
      <c r="H9" s="312"/>
    </row>
    <row r="10" spans="1:8" ht="16.5" thickBot="1">
      <c r="A10" s="413"/>
      <c r="B10" s="170" t="s">
        <v>447</v>
      </c>
      <c r="C10" s="170"/>
      <c r="D10" s="307">
        <v>26600</v>
      </c>
      <c r="E10" s="307">
        <v>29925</v>
      </c>
      <c r="F10" s="307">
        <v>34915</v>
      </c>
      <c r="G10" s="312" t="s">
        <v>394</v>
      </c>
      <c r="H10" s="312"/>
    </row>
    <row r="11" spans="1:8" ht="16.5" thickBot="1">
      <c r="A11" s="317"/>
      <c r="B11" s="318" t="s">
        <v>409</v>
      </c>
      <c r="C11" s="309">
        <f>+Salarios!D27-'Ppto MKT'!C9</f>
        <v>199609.4055439567</v>
      </c>
      <c r="D11" s="307">
        <f>+Salarios!D55-'Ppto MKT'!D9</f>
        <v>165283.09149999998</v>
      </c>
      <c r="E11" s="307">
        <f>+Salarios!D85-'Ppto MKT'!E9</f>
        <v>284197.53569028818</v>
      </c>
      <c r="F11" s="307">
        <f>+Salarios!D115-'Ppto MKT'!F8</f>
        <v>330544.5</v>
      </c>
      <c r="G11" s="312"/>
      <c r="H11" s="312"/>
    </row>
    <row r="12" spans="1:8" ht="16.5" thickBot="1">
      <c r="A12" s="406" t="s">
        <v>50</v>
      </c>
      <c r="B12" s="407"/>
      <c r="C12" s="311">
        <f>+SUM(C2:C11)</f>
        <v>402558.83999999997</v>
      </c>
      <c r="D12" s="311">
        <f>+SUM(D2:D11)</f>
        <v>953370.46882796613</v>
      </c>
      <c r="E12" s="311">
        <f>+SUM(E2:E11)</f>
        <v>1177091.0544486756</v>
      </c>
      <c r="F12" s="311">
        <f>+SUM(F2:F11)</f>
        <v>1352094.8276652195</v>
      </c>
    </row>
    <row r="14" spans="1:8">
      <c r="C14" s="13">
        <v>175</v>
      </c>
      <c r="D14" s="13" t="s">
        <v>444</v>
      </c>
    </row>
    <row r="15" spans="1:8">
      <c r="C15" s="13">
        <v>12</v>
      </c>
    </row>
    <row r="16" spans="1:8">
      <c r="C16" s="13">
        <v>1</v>
      </c>
    </row>
    <row r="17" spans="1:6">
      <c r="C17" s="13">
        <f>C14*C15*C16</f>
        <v>2100</v>
      </c>
    </row>
    <row r="18" spans="1:6" ht="16.5" thickBot="1"/>
    <row r="19" spans="1:6" ht="16.5" thickBot="1">
      <c r="A19" s="184" t="str">
        <f>A1</f>
        <v>Iniciativa</v>
      </c>
      <c r="B19" s="184" t="s">
        <v>57</v>
      </c>
      <c r="C19" s="184">
        <v>2016</v>
      </c>
      <c r="D19" s="184">
        <v>2017</v>
      </c>
      <c r="E19" s="184">
        <v>2018</v>
      </c>
      <c r="F19" s="184">
        <v>2019</v>
      </c>
    </row>
    <row r="20" spans="1:6" ht="34.5" thickBot="1">
      <c r="A20" s="170" t="str">
        <f>A3</f>
        <v>Garantía del producto.</v>
      </c>
      <c r="B20" s="170" t="s">
        <v>445</v>
      </c>
      <c r="C20" s="170"/>
      <c r="D20" s="307">
        <v>39900</v>
      </c>
      <c r="E20" s="307">
        <v>11117.97</v>
      </c>
      <c r="F20" s="307">
        <v>8935.94</v>
      </c>
    </row>
    <row r="21" spans="1:6" ht="23.25" thickBot="1">
      <c r="A21" s="170" t="str">
        <f>A3</f>
        <v>Garantía del producto.</v>
      </c>
      <c r="B21" s="170" t="str">
        <f>B3</f>
        <v>Cambio de productos que fallan dentro del periodo de garantía.</v>
      </c>
      <c r="C21" s="307">
        <f t="shared" ref="C21:F21" si="0">C3</f>
        <v>0</v>
      </c>
      <c r="D21" s="307">
        <f t="shared" si="0"/>
        <v>8015.5844000000006</v>
      </c>
      <c r="E21" s="307">
        <f t="shared" si="0"/>
        <v>8860.7273644594825</v>
      </c>
      <c r="F21" s="307">
        <f t="shared" si="0"/>
        <v>10328.557786455185</v>
      </c>
    </row>
    <row r="22" spans="1:6" ht="34.5" thickBot="1">
      <c r="A22" s="170" t="str">
        <f>A7</f>
        <v>Establecer un mix de medios de comunicación.</v>
      </c>
      <c r="B22" s="170" t="str">
        <f>B7:F7</f>
        <v>Mix de medios de Marketing y establececimiento de un plan de seguimiento de generación de ventas.</v>
      </c>
      <c r="C22" s="307">
        <f t="shared" ref="C22:F25" si="1">C7:G7</f>
        <v>106364.15</v>
      </c>
      <c r="D22" s="307">
        <f t="shared" si="1"/>
        <v>511432.65</v>
      </c>
      <c r="E22" s="307">
        <f t="shared" si="1"/>
        <v>586826.44999999995</v>
      </c>
      <c r="F22" s="307">
        <f t="shared" si="1"/>
        <v>695991.15</v>
      </c>
    </row>
    <row r="23" spans="1:6" ht="16.5" thickBot="1">
      <c r="A23" s="411" t="str">
        <f>A8</f>
        <v>Programa de fidelización de médicos ORL.</v>
      </c>
      <c r="B23" s="170" t="str">
        <f t="shared" ref="B23:B25" si="2">B8:F8</f>
        <v>Comisiones de visitadores médicos.</v>
      </c>
      <c r="C23" s="307">
        <f t="shared" si="1"/>
        <v>38634.089999999997</v>
      </c>
      <c r="D23" s="307">
        <f t="shared" si="1"/>
        <v>64320</v>
      </c>
      <c r="E23" s="307">
        <f t="shared" si="1"/>
        <v>73968</v>
      </c>
      <c r="F23" s="307">
        <f t="shared" si="1"/>
        <v>81364.800000000003</v>
      </c>
    </row>
    <row r="24" spans="1:6" ht="16.5" thickBot="1">
      <c r="A24" s="412"/>
      <c r="B24" s="170" t="str">
        <f t="shared" si="2"/>
        <v>Comisiones de médicos ORL.</v>
      </c>
      <c r="C24" s="307">
        <f t="shared" si="1"/>
        <v>57951.194456043282</v>
      </c>
      <c r="D24" s="307">
        <f t="shared" si="1"/>
        <v>76486.408500000005</v>
      </c>
      <c r="E24" s="307">
        <f t="shared" si="1"/>
        <v>90265.464309711824</v>
      </c>
      <c r="F24" s="307">
        <f t="shared" si="1"/>
        <v>109181.50232579804</v>
      </c>
    </row>
    <row r="25" spans="1:6" ht="16.5" thickBot="1">
      <c r="A25" s="413"/>
      <c r="B25" s="170" t="str">
        <f t="shared" si="2"/>
        <v>Premios por objetivos de  ventas.</v>
      </c>
      <c r="C25" s="307">
        <f t="shared" si="1"/>
        <v>0</v>
      </c>
      <c r="D25" s="307">
        <f t="shared" si="1"/>
        <v>26600</v>
      </c>
      <c r="E25" s="307">
        <f t="shared" si="1"/>
        <v>29925</v>
      </c>
      <c r="F25" s="307">
        <f t="shared" si="1"/>
        <v>34915</v>
      </c>
    </row>
    <row r="26" spans="1:6" ht="16.5" thickBot="1">
      <c r="A26" s="170" t="s">
        <v>410</v>
      </c>
      <c r="B26" s="170" t="str">
        <f>B11:F11</f>
        <v>Pago de comisiones por ventas</v>
      </c>
      <c r="C26" s="307">
        <f t="shared" ref="C26:F26" si="3">C11:G11</f>
        <v>199609.4055439567</v>
      </c>
      <c r="D26" s="307">
        <f t="shared" si="3"/>
        <v>165283.09149999998</v>
      </c>
      <c r="E26" s="307">
        <f t="shared" si="3"/>
        <v>284197.53569028818</v>
      </c>
      <c r="F26" s="307">
        <f t="shared" si="3"/>
        <v>330544.5</v>
      </c>
    </row>
    <row r="27" spans="1:6" ht="16.5" thickBot="1">
      <c r="A27" s="406" t="str">
        <f>A12</f>
        <v>TOTAL</v>
      </c>
      <c r="B27" s="407">
        <f>B12:F12</f>
        <v>0</v>
      </c>
      <c r="C27" s="311">
        <f>SUM(C20:C26)</f>
        <v>402558.83999999997</v>
      </c>
      <c r="D27" s="311">
        <f t="shared" ref="D27:F27" si="4">SUM(D20:D26)</f>
        <v>892037.73440000007</v>
      </c>
      <c r="E27" s="311">
        <f t="shared" si="4"/>
        <v>1085161.1473644595</v>
      </c>
      <c r="F27" s="311">
        <f t="shared" si="4"/>
        <v>1271261.4501122534</v>
      </c>
    </row>
  </sheetData>
  <mergeCells count="4">
    <mergeCell ref="A8:A10"/>
    <mergeCell ref="A12:B12"/>
    <mergeCell ref="A27:B27"/>
    <mergeCell ref="A23:A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7" zoomScale="167" workbookViewId="0">
      <selection activeCell="A10" sqref="A10:F14"/>
    </sheetView>
  </sheetViews>
  <sheetFormatPr baseColWidth="10" defaultColWidth="10.875" defaultRowHeight="15.75"/>
  <cols>
    <col min="1" max="2" width="26.625" style="13" customWidth="1"/>
    <col min="3" max="3" width="9.375" style="13" customWidth="1"/>
    <col min="4" max="16384" width="10.875" style="13"/>
  </cols>
  <sheetData>
    <row r="1" spans="1:8" ht="21.75" thickBot="1">
      <c r="A1" s="167" t="s">
        <v>39</v>
      </c>
      <c r="B1" s="168" t="s">
        <v>51</v>
      </c>
      <c r="C1" s="168">
        <v>2106</v>
      </c>
      <c r="D1" s="168">
        <v>2017</v>
      </c>
      <c r="E1" s="168">
        <v>2018</v>
      </c>
      <c r="F1" s="168">
        <v>2019</v>
      </c>
      <c r="G1" s="168" t="s">
        <v>386</v>
      </c>
      <c r="H1" s="168" t="s">
        <v>388</v>
      </c>
    </row>
    <row r="2" spans="1:8" ht="34.5" thickBot="1">
      <c r="A2" s="185" t="s">
        <v>66</v>
      </c>
      <c r="B2" s="423" t="s">
        <v>235</v>
      </c>
      <c r="C2" s="170"/>
      <c r="D2" s="314">
        <v>7000</v>
      </c>
      <c r="E2" s="314">
        <v>10000</v>
      </c>
      <c r="F2" s="314">
        <v>12000</v>
      </c>
      <c r="G2" s="301" t="s">
        <v>115</v>
      </c>
      <c r="H2" s="301" t="s">
        <v>405</v>
      </c>
    </row>
    <row r="3" spans="1:8" ht="34.5" thickBot="1">
      <c r="A3" s="185" t="s">
        <v>236</v>
      </c>
      <c r="B3" s="422" t="s">
        <v>237</v>
      </c>
      <c r="C3" s="170"/>
      <c r="D3" s="310">
        <f>(Salarios!$B$32+Salarios!$E$32+Salarios!$F$32+Salarios!$G$32)*1%</f>
        <v>2891.6781249999999</v>
      </c>
      <c r="E3" s="310">
        <f>(Salarios!$B$60+Salarios!$E$60+Salarios!$F$60+Salarios!$G$60)*1%</f>
        <v>3036.2620312499998</v>
      </c>
      <c r="F3" s="310">
        <f>(Salarios!$B$90+Salarios!$E$90+Salarios!$F$90+Salarios!$G$90)*1%</f>
        <v>3188.0751328125002</v>
      </c>
      <c r="G3" s="301" t="s">
        <v>394</v>
      </c>
      <c r="H3" s="301" t="s">
        <v>396</v>
      </c>
    </row>
    <row r="4" spans="1:8" ht="24.75" thickBot="1">
      <c r="A4" s="411" t="s">
        <v>238</v>
      </c>
      <c r="B4" s="170" t="s">
        <v>64</v>
      </c>
      <c r="C4" s="170"/>
      <c r="D4" s="305">
        <f>(Salarios!$B$36+Salarios!$E$36+Salarios!$F$36+Salarios!$G$36)*2%</f>
        <v>1018.0650000000001</v>
      </c>
      <c r="E4" s="305">
        <f>(Salarios!$B$64+Salarios!$E$64+Salarios!$F$64+Salarios!$G$64)*4%</f>
        <v>2185.5511666666666</v>
      </c>
      <c r="F4" s="305">
        <f>(Salarios!$B$94+Salarios!$E$94+Salarios!$F$94+Salarios!$G$94)*4%</f>
        <v>2322.2071583333336</v>
      </c>
      <c r="G4" s="301" t="s">
        <v>406</v>
      </c>
      <c r="H4" s="301" t="s">
        <v>396</v>
      </c>
    </row>
    <row r="5" spans="1:8" ht="24.75" thickBot="1">
      <c r="A5" s="412"/>
      <c r="B5" s="170" t="s">
        <v>65</v>
      </c>
      <c r="C5" s="170"/>
      <c r="D5" s="305">
        <f>(Salarios!$B$36+Salarios!$E$36+Salarios!$F$36+Salarios!$G$36)*2%</f>
        <v>1018.0650000000001</v>
      </c>
      <c r="E5" s="305">
        <f>(Salarios!$B$64+Salarios!$E$64+Salarios!$F$64+Salarios!$G$64)*2%</f>
        <v>1092.7755833333333</v>
      </c>
      <c r="F5" s="305">
        <f>(Salarios!$B$94+Salarios!$E$94+Salarios!$F$94+Salarios!$G$94)*2%</f>
        <v>1161.1035791666668</v>
      </c>
      <c r="G5" s="301" t="s">
        <v>406</v>
      </c>
      <c r="H5" s="301" t="s">
        <v>396</v>
      </c>
    </row>
    <row r="6" spans="1:8" ht="24.75" thickBot="1">
      <c r="A6" s="413"/>
      <c r="B6" s="170" t="s">
        <v>239</v>
      </c>
      <c r="C6" s="170"/>
      <c r="D6" s="314">
        <v>0</v>
      </c>
      <c r="E6" s="315">
        <f>+Salarios!B77+Salarios!E77+Salarios!F77+Salarios!G77</f>
        <v>32041.493750000001</v>
      </c>
      <c r="F6" s="315">
        <f>+Salarios!B107+Salarios!E107+Salarios!F107+Salarios!G107</f>
        <v>33643.568437499998</v>
      </c>
      <c r="G6" s="301" t="s">
        <v>407</v>
      </c>
      <c r="H6" s="301" t="s">
        <v>408</v>
      </c>
    </row>
    <row r="7" spans="1:8" ht="16.5" thickBot="1">
      <c r="A7" s="414" t="s">
        <v>50</v>
      </c>
      <c r="B7" s="415"/>
      <c r="C7" s="316">
        <f>+SUM(C2:C6)</f>
        <v>0</v>
      </c>
      <c r="D7" s="316">
        <f>+SUM(D2:D6)</f>
        <v>11927.808125000001</v>
      </c>
      <c r="E7" s="316">
        <f>+SUM(E2:E6)</f>
        <v>48356.082531250002</v>
      </c>
      <c r="F7" s="316">
        <f>+SUM(F2:F6)</f>
        <v>52314.954307812499</v>
      </c>
    </row>
    <row r="8" spans="1:8" ht="16.5" thickBot="1"/>
    <row r="9" spans="1:8" ht="16.5" thickBot="1">
      <c r="A9" s="167" t="s">
        <v>39</v>
      </c>
      <c r="B9" s="168" t="s">
        <v>51</v>
      </c>
      <c r="C9" s="168">
        <v>2106</v>
      </c>
      <c r="D9" s="168">
        <v>2017</v>
      </c>
      <c r="E9" s="168">
        <v>2018</v>
      </c>
      <c r="F9" s="168">
        <v>2019</v>
      </c>
    </row>
    <row r="10" spans="1:8" ht="34.5" thickBot="1">
      <c r="A10" s="356" t="str">
        <f>A2</f>
        <v>Disminución de los impactos ambientales causados por actividades de la empresa.</v>
      </c>
      <c r="B10" s="170" t="str">
        <f>B2</f>
        <v>Establecer una política de reciclaje de pilas, al proporcionar de forma gratuita una pila nueva por dos pilas usadas</v>
      </c>
      <c r="C10" s="314">
        <f t="shared" ref="C10:F10" si="0">C2</f>
        <v>0</v>
      </c>
      <c r="D10" s="314">
        <f t="shared" si="0"/>
        <v>7000</v>
      </c>
      <c r="E10" s="314">
        <f t="shared" si="0"/>
        <v>10000</v>
      </c>
      <c r="F10" s="314">
        <f t="shared" si="0"/>
        <v>12000</v>
      </c>
    </row>
    <row r="11" spans="1:8" ht="16.5" thickBot="1">
      <c r="A11" s="411" t="str">
        <f>A4</f>
        <v>Participar en forma proactiva en campañas de ayuda educativas o de despistaje en el Perú</v>
      </c>
      <c r="B11" s="170" t="str">
        <f>B4</f>
        <v>Campañas de despistaje auditivo gratuito.</v>
      </c>
      <c r="C11" s="314">
        <f t="shared" ref="C11:F11" si="1">C4</f>
        <v>0</v>
      </c>
      <c r="D11" s="314">
        <f t="shared" si="1"/>
        <v>1018.0650000000001</v>
      </c>
      <c r="E11" s="314">
        <f t="shared" si="1"/>
        <v>2185.5511666666666</v>
      </c>
      <c r="F11" s="314">
        <f t="shared" si="1"/>
        <v>2322.2071583333336</v>
      </c>
    </row>
    <row r="12" spans="1:8" ht="23.25" thickBot="1">
      <c r="A12" s="412"/>
      <c r="B12" s="170" t="str">
        <f>B5</f>
        <v>Campañas de educación para el cuidado auditivo en colegios.</v>
      </c>
      <c r="C12" s="314">
        <f t="shared" ref="C12:F12" si="2">C5</f>
        <v>0</v>
      </c>
      <c r="D12" s="314">
        <f t="shared" si="2"/>
        <v>1018.0650000000001</v>
      </c>
      <c r="E12" s="314">
        <f t="shared" si="2"/>
        <v>1092.7755833333333</v>
      </c>
      <c r="F12" s="314">
        <f t="shared" si="2"/>
        <v>1161.1035791666668</v>
      </c>
    </row>
    <row r="13" spans="1:8" ht="23.25" thickBot="1">
      <c r="A13" s="413"/>
      <c r="B13" s="170" t="str">
        <f>B6</f>
        <v>Contratación de personal técnico con discapacidad auditiva</v>
      </c>
      <c r="C13" s="314">
        <f t="shared" ref="C13:F13" si="3">C6</f>
        <v>0</v>
      </c>
      <c r="D13" s="314">
        <f t="shared" si="3"/>
        <v>0</v>
      </c>
      <c r="E13" s="314">
        <f t="shared" si="3"/>
        <v>32041.493750000001</v>
      </c>
      <c r="F13" s="314">
        <f t="shared" si="3"/>
        <v>33643.568437499998</v>
      </c>
    </row>
    <row r="14" spans="1:8" ht="16.5" thickBot="1">
      <c r="A14" s="414" t="s">
        <v>50</v>
      </c>
      <c r="B14" s="415"/>
      <c r="C14" s="316">
        <f>SUM(C10:C13)</f>
        <v>0</v>
      </c>
      <c r="D14" s="316">
        <f t="shared" ref="D14:F14" si="4">SUM(D10:D13)</f>
        <v>9036.130000000001</v>
      </c>
      <c r="E14" s="316">
        <f t="shared" si="4"/>
        <v>45319.820500000002</v>
      </c>
      <c r="F14" s="316">
        <f t="shared" si="4"/>
        <v>49126.879175000002</v>
      </c>
    </row>
  </sheetData>
  <mergeCells count="4">
    <mergeCell ref="A4:A6"/>
    <mergeCell ref="A7:B7"/>
    <mergeCell ref="A11:A13"/>
    <mergeCell ref="A14:B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7" zoomScale="176" workbookViewId="0">
      <selection activeCell="C12" sqref="C12"/>
    </sheetView>
  </sheetViews>
  <sheetFormatPr baseColWidth="10" defaultColWidth="10.875" defaultRowHeight="15.75"/>
  <cols>
    <col min="1" max="1" width="21.125" style="20" customWidth="1"/>
    <col min="2" max="2" width="24.5" style="20" customWidth="1"/>
    <col min="3" max="3" width="10.875" style="20" customWidth="1"/>
    <col min="4" max="4" width="10.5" style="20" customWidth="1"/>
    <col min="5" max="5" width="11.625" style="20" customWidth="1"/>
    <col min="6" max="6" width="11.25" style="20" customWidth="1"/>
    <col min="7" max="16384" width="10.875" style="20"/>
  </cols>
  <sheetData>
    <row r="1" spans="1:11" ht="24.75" thickBot="1">
      <c r="A1" s="167" t="s">
        <v>39</v>
      </c>
      <c r="B1" s="168" t="s">
        <v>51</v>
      </c>
      <c r="C1" s="168">
        <v>2016</v>
      </c>
      <c r="D1" s="168">
        <v>2017</v>
      </c>
      <c r="E1" s="168">
        <v>2018</v>
      </c>
      <c r="F1" s="168">
        <v>2019</v>
      </c>
      <c r="G1" s="174" t="s">
        <v>386</v>
      </c>
      <c r="H1" s="174" t="s">
        <v>388</v>
      </c>
    </row>
    <row r="2" spans="1:11" ht="23.25" thickBot="1">
      <c r="A2" s="408" t="s">
        <v>211</v>
      </c>
      <c r="B2" s="170" t="s">
        <v>212</v>
      </c>
      <c r="C2" s="170"/>
      <c r="D2" s="307">
        <f>+(Salarios!$B$33+Salarios!$E$33+Salarios!$F$33+Salarios!$G$33)*15%</f>
        <v>17639.84375</v>
      </c>
      <c r="E2" s="307">
        <f>+(Salarios!$B$61+Salarios!$E$61+Salarios!$F$61+Salarios!$G$61)*4%</f>
        <v>4939.15625</v>
      </c>
      <c r="F2" s="307">
        <f>+(Salarios!$B$91+Salarios!$E$91+Salarios!$F$91+Salarios!$G$91)*4%</f>
        <v>5186.1140624999998</v>
      </c>
      <c r="G2" s="20" t="s">
        <v>114</v>
      </c>
      <c r="H2" s="20" t="s">
        <v>396</v>
      </c>
    </row>
    <row r="3" spans="1:11" ht="23.25" thickBot="1">
      <c r="A3" s="410"/>
      <c r="B3" s="170" t="s">
        <v>52</v>
      </c>
      <c r="C3" s="170"/>
      <c r="D3" s="307">
        <f>+(Salarios!$B$33+Salarios!$E$33+Salarios!$F$33+Salarios!$G$33)*15%</f>
        <v>17639.84375</v>
      </c>
      <c r="E3" s="307">
        <f>+(Salarios!$B$61+Salarios!$E$61+Salarios!$F$61+Salarios!$G$61)*4%</f>
        <v>4939.15625</v>
      </c>
      <c r="F3" s="307">
        <f>+(Salarios!$B$91+Salarios!$E$91+Salarios!$F$91+Salarios!$G$91)*4%</f>
        <v>5186.1140624999998</v>
      </c>
      <c r="G3" s="20" t="s">
        <v>114</v>
      </c>
      <c r="H3" s="20" t="s">
        <v>396</v>
      </c>
    </row>
    <row r="4" spans="1:11" ht="34.5" thickBot="1">
      <c r="A4" s="172" t="s">
        <v>213</v>
      </c>
      <c r="B4" s="170" t="s">
        <v>214</v>
      </c>
      <c r="C4" s="170"/>
      <c r="D4" s="307">
        <f>+(Salarios!$B$33+Salarios!$E$33+Salarios!$F$33+Salarios!$G$33)*5%</f>
        <v>5879.947916666667</v>
      </c>
      <c r="E4" s="307">
        <f>+(Salarios!$B$61+Salarios!$E$61+Salarios!$F$61+Salarios!$G$61)*5%</f>
        <v>6173.9453125</v>
      </c>
      <c r="F4" s="307">
        <f>+(Salarios!$B$91+Salarios!$E$91+Salarios!$F$91+Salarios!$G$91)*5%</f>
        <v>6482.642578125</v>
      </c>
      <c r="G4" s="20" t="s">
        <v>114</v>
      </c>
      <c r="H4" s="20" t="s">
        <v>396</v>
      </c>
    </row>
    <row r="5" spans="1:11" ht="16.5" thickBot="1">
      <c r="A5" s="408" t="s">
        <v>215</v>
      </c>
      <c r="B5" s="170" t="s">
        <v>53</v>
      </c>
      <c r="C5" s="170"/>
      <c r="D5" s="307">
        <f>+(Salarios!$B$33+Salarios!$E$33+Salarios!$F$33+Salarios!$G$33)*15%</f>
        <v>17639.84375</v>
      </c>
      <c r="E5" s="307">
        <f>+(Salarios!$B$61+Salarios!$E$61+Salarios!$F$61+Salarios!$G$61)*4%</f>
        <v>4939.15625</v>
      </c>
      <c r="F5" s="307">
        <f>+(Salarios!$B$91+Salarios!$E$91+Salarios!$F$91+Salarios!$G$91)*4%</f>
        <v>5186.1140624999998</v>
      </c>
      <c r="G5" s="20" t="s">
        <v>114</v>
      </c>
      <c r="H5" s="20" t="s">
        <v>396</v>
      </c>
    </row>
    <row r="6" spans="1:11" ht="16.5" thickBot="1">
      <c r="A6" s="409"/>
      <c r="B6" s="170" t="s">
        <v>54</v>
      </c>
      <c r="C6" s="170"/>
      <c r="D6" s="307">
        <v>20000</v>
      </c>
      <c r="E6" s="307">
        <v>25000</v>
      </c>
      <c r="F6" s="307">
        <v>28000</v>
      </c>
      <c r="G6" s="20" t="s">
        <v>114</v>
      </c>
      <c r="H6" s="20" t="s">
        <v>403</v>
      </c>
    </row>
    <row r="7" spans="1:11" ht="23.25" thickBot="1">
      <c r="A7" s="409"/>
      <c r="B7" s="170" t="s">
        <v>216</v>
      </c>
      <c r="C7" s="170"/>
      <c r="D7" s="307">
        <f>+(Salarios!$B$33+Salarios!$E$33+Salarios!$F$33+Salarios!$G$33)*10%</f>
        <v>11759.895833333334</v>
      </c>
      <c r="E7" s="307">
        <f>+(Salarios!$B$61+Salarios!$E$61+Salarios!$F$61+Salarios!$G$61)*10%</f>
        <v>12347.890625</v>
      </c>
      <c r="F7" s="307">
        <f>+(Salarios!$B$91+Salarios!$E$91+Salarios!$F$91+Salarios!$G$91)*10%</f>
        <v>12965.28515625</v>
      </c>
      <c r="G7" s="20" t="s">
        <v>114</v>
      </c>
      <c r="H7" s="20" t="s">
        <v>396</v>
      </c>
    </row>
    <row r="8" spans="1:11" ht="16.5" thickBot="1">
      <c r="A8" s="409"/>
      <c r="B8" s="183" t="s">
        <v>217</v>
      </c>
      <c r="C8" s="183"/>
      <c r="D8" s="307">
        <v>15000</v>
      </c>
      <c r="E8" s="307">
        <v>10000</v>
      </c>
      <c r="F8" s="307">
        <v>10000</v>
      </c>
      <c r="G8" s="20" t="s">
        <v>114</v>
      </c>
      <c r="H8" s="20" t="s">
        <v>403</v>
      </c>
    </row>
    <row r="9" spans="1:11" ht="23.25" thickBot="1">
      <c r="A9" s="410"/>
      <c r="B9" s="170" t="s">
        <v>218</v>
      </c>
      <c r="C9" s="170"/>
      <c r="D9" s="307">
        <v>32500</v>
      </c>
      <c r="E9" s="307">
        <v>32500</v>
      </c>
      <c r="F9" s="307">
        <v>32500</v>
      </c>
      <c r="G9" s="20" t="s">
        <v>114</v>
      </c>
      <c r="H9" s="20" t="s">
        <v>403</v>
      </c>
    </row>
    <row r="10" spans="1:11" ht="34.5" thickBot="1">
      <c r="A10" s="408" t="s">
        <v>219</v>
      </c>
      <c r="B10" s="170" t="s">
        <v>220</v>
      </c>
      <c r="C10" s="170"/>
      <c r="D10" s="307">
        <f>+(Salarios!$B$33+Salarios!$E$33+Salarios!$F$33+Salarios!$G$33)*10%</f>
        <v>11759.895833333334</v>
      </c>
      <c r="E10" s="307">
        <f>+(Salarios!$B$61+Salarios!$E$61+Salarios!$F$61+Salarios!$G$61)*10%</f>
        <v>12347.890625</v>
      </c>
      <c r="F10" s="307">
        <f>+(Salarios!$B$91+Salarios!$E$91+Salarios!$F$91+Salarios!$G$91)*10%</f>
        <v>12965.28515625</v>
      </c>
      <c r="G10" s="20" t="s">
        <v>114</v>
      </c>
      <c r="H10" s="20" t="s">
        <v>396</v>
      </c>
    </row>
    <row r="11" spans="1:11" ht="16.5" thickBot="1">
      <c r="A11" s="409"/>
      <c r="B11" s="170" t="s">
        <v>55</v>
      </c>
      <c r="C11" s="309">
        <f>+Salarios!C27</f>
        <v>182867.4</v>
      </c>
      <c r="D11" s="310">
        <f>+Salarios!C55</f>
        <v>235170</v>
      </c>
      <c r="E11" s="310">
        <f>+Salarios!C85</f>
        <v>306726</v>
      </c>
      <c r="F11" s="310">
        <f>+Salarios!C115</f>
        <v>322062.3</v>
      </c>
      <c r="G11" s="20" t="s">
        <v>114</v>
      </c>
      <c r="H11" s="20" t="s">
        <v>396</v>
      </c>
    </row>
    <row r="12" spans="1:11" ht="16.5" thickBot="1">
      <c r="A12" s="410"/>
      <c r="B12" s="170" t="s">
        <v>463</v>
      </c>
      <c r="C12" s="309">
        <f>+Salarios!B27+Salarios!E27+Salarios!F27+Salarios!G27</f>
        <v>1002578.5286791668</v>
      </c>
      <c r="D12" s="310">
        <f>+Salarios!B55+Salarios!E55+Salarios!F55+Salarios!G55</f>
        <v>1110364.5559027777</v>
      </c>
      <c r="E12" s="310">
        <f>+Salarios!B85+Salarios!E85+Salarios!F85+Salarios!G85</f>
        <v>1443491.7593749999</v>
      </c>
      <c r="F12" s="310">
        <f>+Salarios!B115+Salarios!E115+Salarios!F115+Salarios!G115</f>
        <v>1522596.5132812499</v>
      </c>
      <c r="G12" s="20" t="s">
        <v>114</v>
      </c>
      <c r="H12" s="20" t="s">
        <v>396</v>
      </c>
      <c r="I12" s="429" t="s">
        <v>456</v>
      </c>
    </row>
    <row r="13" spans="1:11" ht="34.5" thickBot="1">
      <c r="A13" s="169" t="s">
        <v>221</v>
      </c>
      <c r="B13" s="170" t="s">
        <v>56</v>
      </c>
      <c r="C13" s="170"/>
      <c r="D13" s="307">
        <v>14000</v>
      </c>
      <c r="E13" s="307">
        <v>19650</v>
      </c>
      <c r="F13" s="307">
        <v>22900</v>
      </c>
      <c r="G13" s="20" t="s">
        <v>114</v>
      </c>
      <c r="H13" s="20" t="s">
        <v>261</v>
      </c>
      <c r="I13" s="20">
        <v>877591.76019253745</v>
      </c>
      <c r="J13" s="20">
        <v>1157583.8473626997</v>
      </c>
      <c r="K13" s="20">
        <v>1246516.4740136038</v>
      </c>
    </row>
    <row r="14" spans="1:11" ht="23.25" thickBot="1">
      <c r="A14" s="172" t="s">
        <v>222</v>
      </c>
      <c r="B14" s="170" t="s">
        <v>223</v>
      </c>
      <c r="C14" s="170"/>
      <c r="D14" s="307">
        <v>15000</v>
      </c>
      <c r="E14" s="307">
        <v>12000</v>
      </c>
      <c r="F14" s="307">
        <v>12000</v>
      </c>
      <c r="G14" s="20" t="s">
        <v>114</v>
      </c>
      <c r="H14" s="20" t="s">
        <v>403</v>
      </c>
    </row>
    <row r="15" spans="1:11" ht="23.25" thickBot="1">
      <c r="A15" s="169" t="s">
        <v>224</v>
      </c>
      <c r="B15" s="170" t="s">
        <v>225</v>
      </c>
      <c r="C15" s="170"/>
      <c r="D15" s="307">
        <v>0</v>
      </c>
      <c r="E15" s="307">
        <f>+(Salarios!$B$61+Salarios!$E$61+Salarios!$F$61+Salarios!$G$61)*10%</f>
        <v>12347.890625</v>
      </c>
      <c r="F15" s="307">
        <f>+(Salarios!$B$91+Salarios!$E$91+Salarios!$F$91+Salarios!$G$91)*10%</f>
        <v>12965.28515625</v>
      </c>
      <c r="G15" s="20" t="s">
        <v>114</v>
      </c>
      <c r="H15" s="20" t="s">
        <v>396</v>
      </c>
    </row>
    <row r="16" spans="1:11" ht="16.5" thickBot="1">
      <c r="A16" s="406" t="s">
        <v>50</v>
      </c>
      <c r="B16" s="407"/>
      <c r="C16" s="313">
        <f>+SUM(C2:C15)</f>
        <v>1185445.9286791668</v>
      </c>
      <c r="D16" s="313">
        <f>+SUM(D2:D15)</f>
        <v>1524353.8267361112</v>
      </c>
      <c r="E16" s="313">
        <f>+SUM(E2:E15)</f>
        <v>1907402.8453124999</v>
      </c>
      <c r="F16" s="313">
        <f>+SUM(F2:F15)</f>
        <v>2010995.6535156248</v>
      </c>
    </row>
    <row r="17" spans="1:6" ht="16.5" thickBot="1"/>
    <row r="18" spans="1:6" ht="16.5" thickBot="1">
      <c r="A18" s="167" t="str">
        <f t="shared" ref="A18:F26" si="0">A1</f>
        <v>Iniciativa</v>
      </c>
      <c r="B18" s="167" t="str">
        <f t="shared" si="0"/>
        <v>Actividades</v>
      </c>
      <c r="C18" s="167">
        <f t="shared" si="0"/>
        <v>2016</v>
      </c>
      <c r="D18" s="167">
        <f t="shared" si="0"/>
        <v>2017</v>
      </c>
      <c r="E18" s="167">
        <f t="shared" si="0"/>
        <v>2018</v>
      </c>
      <c r="F18" s="167">
        <f t="shared" si="0"/>
        <v>2019</v>
      </c>
    </row>
    <row r="19" spans="1:6" ht="23.25" thickBot="1">
      <c r="A19" s="408" t="str">
        <f t="shared" si="0"/>
        <v>Implementar un plan de seguimiento de contrataciones.</v>
      </c>
      <c r="B19" s="170" t="str">
        <f t="shared" si="0"/>
        <v>Elaboración de puestos, perfiles y compentencias.</v>
      </c>
      <c r="C19" s="307">
        <f t="shared" si="0"/>
        <v>0</v>
      </c>
      <c r="D19" s="307">
        <f t="shared" si="0"/>
        <v>17639.84375</v>
      </c>
      <c r="E19" s="307">
        <f t="shared" si="0"/>
        <v>4939.15625</v>
      </c>
      <c r="F19" s="307">
        <f t="shared" si="0"/>
        <v>5186.1140624999998</v>
      </c>
    </row>
    <row r="20" spans="1:6" ht="16.5" thickBot="1">
      <c r="A20" s="410"/>
      <c r="B20" s="423"/>
      <c r="C20" s="307">
        <f t="shared" si="0"/>
        <v>0</v>
      </c>
      <c r="D20" s="307"/>
      <c r="E20" s="307"/>
      <c r="F20" s="307"/>
    </row>
    <row r="21" spans="1:6" ht="34.5" thickBot="1">
      <c r="A21" s="172" t="str">
        <f t="shared" si="0"/>
        <v>Fomentar la formación de equipos de trabajo multidisciplinares para la implementación de iniciativas.</v>
      </c>
      <c r="B21" s="170" t="str">
        <f t="shared" si="0"/>
        <v>Proyectos propuestos por iniciativa de los colaboradores (experiencia de ventas).</v>
      </c>
      <c r="C21" s="307">
        <f t="shared" si="0"/>
        <v>0</v>
      </c>
      <c r="D21" s="307">
        <f t="shared" si="0"/>
        <v>5879.947916666667</v>
      </c>
      <c r="E21" s="307">
        <f t="shared" si="0"/>
        <v>6173.9453125</v>
      </c>
      <c r="F21" s="307">
        <f t="shared" si="0"/>
        <v>6482.642578125</v>
      </c>
    </row>
    <row r="22" spans="1:6" ht="16.5" thickBot="1">
      <c r="A22" s="408" t="str">
        <f t="shared" si="0"/>
        <v>Capacitación local y en la matriz para colaboradores.</v>
      </c>
      <c r="B22" s="170" t="str">
        <f t="shared" si="0"/>
        <v>Establecer políticas de capacitación.</v>
      </c>
      <c r="C22" s="307">
        <f t="shared" si="0"/>
        <v>0</v>
      </c>
      <c r="D22" s="307"/>
      <c r="E22" s="307"/>
      <c r="F22" s="307"/>
    </row>
    <row r="23" spans="1:6" ht="16.5" thickBot="1">
      <c r="A23" s="409">
        <f t="shared" si="0"/>
        <v>0</v>
      </c>
      <c r="B23" s="170" t="str">
        <f t="shared" si="0"/>
        <v>Taller de gestión de ventas.</v>
      </c>
      <c r="C23" s="307">
        <f t="shared" si="0"/>
        <v>0</v>
      </c>
      <c r="D23" s="307">
        <f t="shared" si="0"/>
        <v>20000</v>
      </c>
      <c r="E23" s="307">
        <f t="shared" si="0"/>
        <v>25000</v>
      </c>
      <c r="F23" s="307">
        <f t="shared" si="0"/>
        <v>28000</v>
      </c>
    </row>
    <row r="24" spans="1:6" ht="23.25" thickBot="1">
      <c r="A24" s="409">
        <f t="shared" si="0"/>
        <v>0</v>
      </c>
      <c r="B24" s="170" t="str">
        <f t="shared" si="0"/>
        <v>Actualización en herramientas de gestión.</v>
      </c>
      <c r="C24" s="307">
        <f t="shared" si="0"/>
        <v>0</v>
      </c>
      <c r="D24" s="307">
        <f t="shared" si="0"/>
        <v>11759.895833333334</v>
      </c>
      <c r="E24" s="307">
        <f t="shared" si="0"/>
        <v>12347.890625</v>
      </c>
      <c r="F24" s="307">
        <f t="shared" si="0"/>
        <v>12965.28515625</v>
      </c>
    </row>
    <row r="25" spans="1:6" ht="16.5" thickBot="1">
      <c r="A25" s="409">
        <f t="shared" si="0"/>
        <v>0</v>
      </c>
      <c r="B25" s="170" t="str">
        <f t="shared" si="0"/>
        <v>Coaching de competencias gerenciales.</v>
      </c>
      <c r="C25" s="307">
        <f t="shared" si="0"/>
        <v>0</v>
      </c>
      <c r="D25" s="307">
        <f t="shared" si="0"/>
        <v>15000</v>
      </c>
      <c r="E25" s="307">
        <f t="shared" si="0"/>
        <v>10000</v>
      </c>
      <c r="F25" s="307">
        <f t="shared" si="0"/>
        <v>10000</v>
      </c>
    </row>
    <row r="26" spans="1:6" ht="23.25" thickBot="1">
      <c r="A26" s="410">
        <f t="shared" si="0"/>
        <v>0</v>
      </c>
      <c r="B26" s="170" t="str">
        <f t="shared" si="0"/>
        <v>Pasantías en la matriz de Starkey Laboratories.</v>
      </c>
      <c r="C26" s="307">
        <f t="shared" si="0"/>
        <v>0</v>
      </c>
      <c r="D26" s="307">
        <f t="shared" si="0"/>
        <v>32500</v>
      </c>
      <c r="E26" s="307">
        <f t="shared" si="0"/>
        <v>32500</v>
      </c>
      <c r="F26" s="307">
        <f t="shared" si="0"/>
        <v>32500</v>
      </c>
    </row>
    <row r="27" spans="1:6" ht="34.5" thickBot="1">
      <c r="A27" s="408" t="str">
        <f>A10</f>
        <v>Aumentar el porcentaje de colaboradores con salario variable  ligados a evaluaciones por desempeño</v>
      </c>
      <c r="B27" s="170" t="str">
        <f>B10</f>
        <v>Desarrollar plan de gestión de desempeño (Transparencia y simplicidad en el cálculo salarial).</v>
      </c>
      <c r="C27" s="307">
        <f>C10</f>
        <v>0</v>
      </c>
      <c r="D27" s="307">
        <f>D10</f>
        <v>11759.895833333334</v>
      </c>
      <c r="E27" s="307">
        <f>E10</f>
        <v>12347.890625</v>
      </c>
      <c r="F27" s="307">
        <f>F10</f>
        <v>12965.28515625</v>
      </c>
    </row>
    <row r="28" spans="1:6" ht="16.5" thickBot="1">
      <c r="A28" s="409">
        <f t="shared" ref="A28:F37" si="1">A11</f>
        <v>0</v>
      </c>
      <c r="B28" s="170" t="str">
        <f t="shared" si="1"/>
        <v>Bonificaciones de desempeño.</v>
      </c>
      <c r="C28" s="307">
        <f t="shared" si="1"/>
        <v>182867.4</v>
      </c>
      <c r="D28" s="307">
        <f t="shared" si="1"/>
        <v>235170</v>
      </c>
      <c r="E28" s="307">
        <f t="shared" si="1"/>
        <v>306726</v>
      </c>
      <c r="F28" s="307">
        <f t="shared" si="1"/>
        <v>322062.3</v>
      </c>
    </row>
    <row r="29" spans="1:6" ht="16.5" thickBot="1">
      <c r="A29" s="410">
        <f t="shared" si="1"/>
        <v>0</v>
      </c>
      <c r="B29" s="170" t="str">
        <f t="shared" si="1"/>
        <v>Salarios</v>
      </c>
      <c r="C29" s="307">
        <f t="shared" si="1"/>
        <v>1002578.5286791668</v>
      </c>
      <c r="D29" s="307">
        <f t="shared" si="1"/>
        <v>1110364.5559027777</v>
      </c>
      <c r="E29" s="307">
        <f t="shared" si="1"/>
        <v>1443491.7593749999</v>
      </c>
      <c r="F29" s="307">
        <f t="shared" si="1"/>
        <v>1522596.5132812499</v>
      </c>
    </row>
    <row r="30" spans="1:6" ht="34.5" thickBot="1">
      <c r="A30" s="355" t="str">
        <f t="shared" si="1"/>
        <v>Aumentar el porcentaje de colaboradores que participan de programas relacionados a la salud.</v>
      </c>
      <c r="B30" s="170" t="str">
        <f t="shared" si="1"/>
        <v>Bonificaciones sobre retos de salud.</v>
      </c>
      <c r="C30" s="307">
        <f t="shared" si="1"/>
        <v>0</v>
      </c>
      <c r="D30" s="307">
        <f t="shared" si="1"/>
        <v>14000</v>
      </c>
      <c r="E30" s="307">
        <f t="shared" si="1"/>
        <v>19650</v>
      </c>
      <c r="F30" s="307">
        <f t="shared" si="1"/>
        <v>22900</v>
      </c>
    </row>
    <row r="31" spans="1:6" ht="23.25" thickBot="1">
      <c r="A31" s="172" t="str">
        <f t="shared" si="1"/>
        <v>Reforzar cultura organizacional y ética.</v>
      </c>
      <c r="B31" s="170" t="str">
        <f t="shared" si="1"/>
        <v>Charlas y talleres de cultura organizacional y ética.</v>
      </c>
      <c r="C31" s="307">
        <f t="shared" si="1"/>
        <v>0</v>
      </c>
      <c r="D31" s="307">
        <f t="shared" si="1"/>
        <v>15000</v>
      </c>
      <c r="E31" s="307">
        <f t="shared" si="1"/>
        <v>12000</v>
      </c>
      <c r="F31" s="307">
        <f t="shared" si="1"/>
        <v>12000</v>
      </c>
    </row>
    <row r="32" spans="1:6" ht="23.25" thickBot="1">
      <c r="A32" s="355" t="str">
        <f t="shared" si="1"/>
        <v>Mejorar el índice de rotación de los colaboradores.</v>
      </c>
      <c r="B32" s="170" t="str">
        <f t="shared" si="1"/>
        <v>Herramientas de medición sobre clima laboral.</v>
      </c>
      <c r="C32" s="307">
        <f t="shared" si="1"/>
        <v>0</v>
      </c>
      <c r="D32" s="307">
        <f t="shared" si="1"/>
        <v>0</v>
      </c>
      <c r="E32" s="307">
        <f t="shared" si="1"/>
        <v>12347.890625</v>
      </c>
      <c r="F32" s="307">
        <f t="shared" si="1"/>
        <v>12965.28515625</v>
      </c>
    </row>
    <row r="33" spans="1:9" ht="16.5" thickBot="1">
      <c r="A33" s="406" t="s">
        <v>50</v>
      </c>
      <c r="B33" s="407"/>
      <c r="C33" s="313">
        <f>SUM(C19:C32)</f>
        <v>1185445.9286791668</v>
      </c>
      <c r="D33" s="313">
        <f>SUM(D19:D32)</f>
        <v>1489074.139236111</v>
      </c>
      <c r="E33" s="313">
        <f>SUM(E19:E32)</f>
        <v>1897524.5328124999</v>
      </c>
      <c r="F33" s="313">
        <f>SUM(F19:F32)</f>
        <v>2000623.4253906249</v>
      </c>
    </row>
    <row r="35" spans="1:9">
      <c r="D35" s="20">
        <v>1489074.139236111</v>
      </c>
      <c r="E35" s="20">
        <v>1897524.5328124999</v>
      </c>
      <c r="F35" s="20">
        <v>2000623.4253906249</v>
      </c>
    </row>
    <row r="38" spans="1:9">
      <c r="A38" s="20" t="s">
        <v>464</v>
      </c>
      <c r="B38" s="20">
        <v>-74852.647376257592</v>
      </c>
      <c r="C38" s="20">
        <v>-1.4531059987411228E-2</v>
      </c>
      <c r="D38" s="20">
        <v>-25700</v>
      </c>
      <c r="E38" s="20">
        <v>-4.200092621684544E-3</v>
      </c>
      <c r="F38" s="20">
        <v>-25100</v>
      </c>
      <c r="G38" s="20">
        <v>-3.475858706309707E-3</v>
      </c>
      <c r="H38" s="20">
        <v>-43100</v>
      </c>
      <c r="I38" s="20">
        <v>-4.9344439169958284E-3</v>
      </c>
    </row>
  </sheetData>
  <mergeCells count="8">
    <mergeCell ref="A22:A26"/>
    <mergeCell ref="A27:A29"/>
    <mergeCell ref="A33:B33"/>
    <mergeCell ref="A16:B16"/>
    <mergeCell ref="A5:A9"/>
    <mergeCell ref="A10:A12"/>
    <mergeCell ref="A2:A3"/>
    <mergeCell ref="A19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</vt:i4>
      </vt:variant>
    </vt:vector>
  </HeadingPairs>
  <TitlesOfParts>
    <vt:vector size="19" baseType="lpstr">
      <vt:lpstr>Hoja2</vt:lpstr>
      <vt:lpstr>PROYECCION DE VENTAS</vt:lpstr>
      <vt:lpstr>P&amp;L</vt:lpstr>
      <vt:lpstr>Flujo de caja</vt:lpstr>
      <vt:lpstr>P&amp;L Detallado x años (+ planes)</vt:lpstr>
      <vt:lpstr>Ppto Operaciones</vt:lpstr>
      <vt:lpstr>Ppto MKT</vt:lpstr>
      <vt:lpstr>Ppto RS</vt:lpstr>
      <vt:lpstr>Ppto RRHH</vt:lpstr>
      <vt:lpstr>Salarios</vt:lpstr>
      <vt:lpstr>Capacidad instalada</vt:lpstr>
      <vt:lpstr>P&amp;L Detallado x años</vt:lpstr>
      <vt:lpstr>Flujo de caja &amp; VAN (Inc. IR)</vt:lpstr>
      <vt:lpstr>Estado de resultados</vt:lpstr>
      <vt:lpstr>Balance proyectado</vt:lpstr>
      <vt:lpstr>EERR (2104-2016)</vt:lpstr>
      <vt:lpstr>TAA S.A. 2015-2016</vt:lpstr>
      <vt:lpstr>'TAA S.A. 2015-2016'!Área_de_impresión</vt:lpstr>
      <vt:lpstr>'TAA S.A. 2015-2016'!Títulos_a_imprimir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Montjoy Pita</cp:lastModifiedBy>
  <dcterms:created xsi:type="dcterms:W3CDTF">2017-03-31T15:46:07Z</dcterms:created>
  <dcterms:modified xsi:type="dcterms:W3CDTF">2017-10-12T23:37:32Z</dcterms:modified>
</cp:coreProperties>
</file>